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4"/>
  </bookViews>
  <sheets>
    <sheet name="10601" sheetId="6" r:id="rId1"/>
    <sheet name="10602" sheetId="40" r:id="rId2"/>
    <sheet name="10610" sheetId="38" r:id="rId3"/>
    <sheet name="50603" sheetId="37" r:id="rId4"/>
    <sheet name="50604" sheetId="39" r:id="rId5"/>
  </sheets>
  <definedNames>
    <definedName name="_xlnm.Print_Area" localSheetId="0">'10601'!$A$1:$N$46</definedName>
    <definedName name="_xlnm.Print_Area" localSheetId="1">'10602'!$A$1:$G$16</definedName>
    <definedName name="_xlnm.Print_Area" localSheetId="2">'10610'!$A$1:$P$42</definedName>
    <definedName name="_xlnm.Print_Area" localSheetId="3">'50603'!$A$1:$N$42</definedName>
    <definedName name="_xlnm.Print_Area" localSheetId="4">'50604'!$B$1:$L$131</definedName>
    <definedName name="Excel_BuiltIn_Print_Area" localSheetId="4">'50604'!$B$1:$L$121</definedName>
    <definedName name="_xlnm.Print_Titles" localSheetId="4">'50604'!$1:$14</definedName>
  </definedNames>
  <calcPr calcId="144525"/>
</workbook>
</file>

<file path=xl/calcChain.xml><?xml version="1.0" encoding="utf-8"?>
<calcChain xmlns="http://schemas.openxmlformats.org/spreadsheetml/2006/main">
  <c r="H15" i="40" l="1"/>
  <c r="G15" i="40"/>
  <c r="F15" i="40"/>
  <c r="E15" i="40"/>
  <c r="D15" i="40"/>
  <c r="J121" i="39" l="1"/>
  <c r="K121" i="39" s="1"/>
  <c r="I121" i="39"/>
  <c r="H121" i="39"/>
  <c r="G121" i="39"/>
  <c r="F121" i="39"/>
  <c r="D121" i="39"/>
  <c r="E121" i="39" s="1"/>
  <c r="L121" i="39" s="1"/>
  <c r="C121" i="39"/>
  <c r="J117" i="39"/>
  <c r="K117" i="39" s="1"/>
  <c r="I117" i="39"/>
  <c r="G117" i="39"/>
  <c r="F117" i="39"/>
  <c r="H117" i="39" s="1"/>
  <c r="D117" i="39"/>
  <c r="E117" i="39" s="1"/>
  <c r="L117" i="39" s="1"/>
  <c r="C117" i="39"/>
  <c r="J115" i="39"/>
  <c r="K115" i="39" s="1"/>
  <c r="I115" i="39"/>
  <c r="H115" i="39"/>
  <c r="G115" i="39"/>
  <c r="F115" i="39"/>
  <c r="D115" i="39"/>
  <c r="E115" i="39" s="1"/>
  <c r="L115" i="39" s="1"/>
  <c r="C115" i="39"/>
  <c r="J111" i="39"/>
  <c r="K111" i="39" s="1"/>
  <c r="I111" i="39"/>
  <c r="G111" i="39"/>
  <c r="F111" i="39"/>
  <c r="H111" i="39" s="1"/>
  <c r="D111" i="39"/>
  <c r="E111" i="39" s="1"/>
  <c r="C111" i="39"/>
  <c r="J107" i="39"/>
  <c r="K107" i="39" s="1"/>
  <c r="I107" i="39"/>
  <c r="H107" i="39"/>
  <c r="G107" i="39"/>
  <c r="F107" i="39"/>
  <c r="D107" i="39"/>
  <c r="E107" i="39" s="1"/>
  <c r="L107" i="39" s="1"/>
  <c r="C107" i="39"/>
  <c r="J106" i="39"/>
  <c r="K106" i="39" s="1"/>
  <c r="I106" i="39"/>
  <c r="G106" i="39"/>
  <c r="F106" i="39"/>
  <c r="H106" i="39" s="1"/>
  <c r="D106" i="39"/>
  <c r="E106" i="39" s="1"/>
  <c r="C106" i="39"/>
  <c r="J105" i="39"/>
  <c r="K105" i="39" s="1"/>
  <c r="I105" i="39"/>
  <c r="G105" i="39"/>
  <c r="F105" i="39"/>
  <c r="H105" i="39" s="1"/>
  <c r="D105" i="39"/>
  <c r="E105" i="39" s="1"/>
  <c r="L105" i="39" s="1"/>
  <c r="C105" i="39"/>
  <c r="J101" i="39"/>
  <c r="K101" i="39" s="1"/>
  <c r="H101" i="39"/>
  <c r="E101" i="39"/>
  <c r="L101" i="39" s="1"/>
  <c r="J100" i="39"/>
  <c r="I100" i="39"/>
  <c r="K100" i="39" s="1"/>
  <c r="G100" i="39"/>
  <c r="H100" i="39" s="1"/>
  <c r="F100" i="39"/>
  <c r="D100" i="39"/>
  <c r="C100" i="39"/>
  <c r="E100" i="39" s="1"/>
  <c r="J99" i="39"/>
  <c r="I99" i="39"/>
  <c r="K99" i="39" s="1"/>
  <c r="G99" i="39"/>
  <c r="H99" i="39" s="1"/>
  <c r="F99" i="39"/>
  <c r="E99" i="39"/>
  <c r="D99" i="39"/>
  <c r="C99" i="39"/>
  <c r="K95" i="39"/>
  <c r="J95" i="39"/>
  <c r="I95" i="39"/>
  <c r="G95" i="39"/>
  <c r="H95" i="39" s="1"/>
  <c r="F95" i="39"/>
  <c r="D95" i="39"/>
  <c r="C95" i="39"/>
  <c r="E95" i="39" s="1"/>
  <c r="L95" i="39" s="1"/>
  <c r="J94" i="39"/>
  <c r="I94" i="39"/>
  <c r="K94" i="39" s="1"/>
  <c r="G94" i="39"/>
  <c r="H94" i="39" s="1"/>
  <c r="F94" i="39"/>
  <c r="D94" i="39"/>
  <c r="C94" i="39"/>
  <c r="E94" i="39" s="1"/>
  <c r="J93" i="39"/>
  <c r="I93" i="39"/>
  <c r="K93" i="39" s="1"/>
  <c r="G93" i="39"/>
  <c r="H93" i="39" s="1"/>
  <c r="F93" i="39"/>
  <c r="D93" i="39"/>
  <c r="C93" i="39"/>
  <c r="E93" i="39" s="1"/>
  <c r="L93" i="39" s="1"/>
  <c r="J89" i="39"/>
  <c r="I89" i="39"/>
  <c r="K89" i="39" s="1"/>
  <c r="G89" i="39"/>
  <c r="H89" i="39" s="1"/>
  <c r="F89" i="39"/>
  <c r="D89" i="39"/>
  <c r="C89" i="39"/>
  <c r="E89" i="39" s="1"/>
  <c r="K88" i="39"/>
  <c r="J88" i="39"/>
  <c r="I88" i="39"/>
  <c r="G88" i="39"/>
  <c r="H88" i="39" s="1"/>
  <c r="F88" i="39"/>
  <c r="D88" i="39"/>
  <c r="C88" i="39"/>
  <c r="E88" i="39" s="1"/>
  <c r="J87" i="39"/>
  <c r="I87" i="39"/>
  <c r="K87" i="39" s="1"/>
  <c r="G87" i="39"/>
  <c r="H87" i="39" s="1"/>
  <c r="F87" i="39"/>
  <c r="E87" i="39"/>
  <c r="D87" i="39"/>
  <c r="C87" i="39"/>
  <c r="J86" i="39"/>
  <c r="I86" i="39"/>
  <c r="K86" i="39" s="1"/>
  <c r="G86" i="39"/>
  <c r="H86" i="39" s="1"/>
  <c r="F86" i="39"/>
  <c r="D86" i="39"/>
  <c r="C86" i="39"/>
  <c r="E86" i="39" s="1"/>
  <c r="L86" i="39" s="1"/>
  <c r="J85" i="39"/>
  <c r="I85" i="39"/>
  <c r="K85" i="39" s="1"/>
  <c r="G85" i="39"/>
  <c r="H85" i="39" s="1"/>
  <c r="F85" i="39"/>
  <c r="E85" i="39"/>
  <c r="D85" i="39"/>
  <c r="C85" i="39"/>
  <c r="K81" i="39"/>
  <c r="J81" i="39"/>
  <c r="I81" i="39"/>
  <c r="G81" i="39"/>
  <c r="H81" i="39" s="1"/>
  <c r="F81" i="39"/>
  <c r="D81" i="39"/>
  <c r="C81" i="39"/>
  <c r="E81" i="39" s="1"/>
  <c r="L81" i="39" s="1"/>
  <c r="J80" i="39"/>
  <c r="I80" i="39"/>
  <c r="K80" i="39" s="1"/>
  <c r="G80" i="39"/>
  <c r="H80" i="39" s="1"/>
  <c r="F80" i="39"/>
  <c r="E80" i="39"/>
  <c r="D80" i="39"/>
  <c r="C80" i="39"/>
  <c r="K79" i="39"/>
  <c r="J79" i="39"/>
  <c r="I79" i="39"/>
  <c r="G79" i="39"/>
  <c r="H79" i="39" s="1"/>
  <c r="F79" i="39"/>
  <c r="D79" i="39"/>
  <c r="C79" i="39"/>
  <c r="E79" i="39" s="1"/>
  <c r="L79" i="39" s="1"/>
  <c r="J78" i="39"/>
  <c r="I78" i="39"/>
  <c r="K78" i="39" s="1"/>
  <c r="G78" i="39"/>
  <c r="H78" i="39" s="1"/>
  <c r="F78" i="39"/>
  <c r="E78" i="39"/>
  <c r="D78" i="39"/>
  <c r="C78" i="39"/>
  <c r="K77" i="39"/>
  <c r="J77" i="39"/>
  <c r="I77" i="39"/>
  <c r="G77" i="39"/>
  <c r="H77" i="39" s="1"/>
  <c r="F77" i="39"/>
  <c r="D77" i="39"/>
  <c r="C77" i="39"/>
  <c r="E77" i="39" s="1"/>
  <c r="L77" i="39" s="1"/>
  <c r="J73" i="39"/>
  <c r="I73" i="39"/>
  <c r="K73" i="39" s="1"/>
  <c r="G73" i="39"/>
  <c r="H73" i="39" s="1"/>
  <c r="F73" i="39"/>
  <c r="E73" i="39"/>
  <c r="D73" i="39"/>
  <c r="C73" i="39"/>
  <c r="J72" i="39"/>
  <c r="I72" i="39"/>
  <c r="K72" i="39" s="1"/>
  <c r="G72" i="39"/>
  <c r="H72" i="39" s="1"/>
  <c r="F72" i="39"/>
  <c r="D72" i="39"/>
  <c r="C72" i="39"/>
  <c r="E72" i="39" s="1"/>
  <c r="J68" i="39"/>
  <c r="I68" i="39"/>
  <c r="K68" i="39" s="1"/>
  <c r="G68" i="39"/>
  <c r="H68" i="39" s="1"/>
  <c r="F68" i="39"/>
  <c r="D68" i="39"/>
  <c r="C68" i="39"/>
  <c r="E68" i="39" s="1"/>
  <c r="L68" i="39" s="1"/>
  <c r="K67" i="39"/>
  <c r="J67" i="39"/>
  <c r="I67" i="39"/>
  <c r="G67" i="39"/>
  <c r="H67" i="39" s="1"/>
  <c r="F67" i="39"/>
  <c r="D67" i="39"/>
  <c r="C67" i="39"/>
  <c r="E67" i="39" s="1"/>
  <c r="L67" i="39" s="1"/>
  <c r="K66" i="39"/>
  <c r="J66" i="39"/>
  <c r="I66" i="39"/>
  <c r="G66" i="39"/>
  <c r="H66" i="39" s="1"/>
  <c r="F66" i="39"/>
  <c r="D66" i="39"/>
  <c r="C66" i="39"/>
  <c r="E66" i="39" s="1"/>
  <c r="L66" i="39" s="1"/>
  <c r="K65" i="39"/>
  <c r="J65" i="39"/>
  <c r="I65" i="39"/>
  <c r="G65" i="39"/>
  <c r="H65" i="39" s="1"/>
  <c r="F65" i="39"/>
  <c r="D65" i="39"/>
  <c r="C65" i="39"/>
  <c r="E65" i="39" s="1"/>
  <c r="L65" i="39" s="1"/>
  <c r="K64" i="39"/>
  <c r="J64" i="39"/>
  <c r="I64" i="39"/>
  <c r="G64" i="39"/>
  <c r="H64" i="39" s="1"/>
  <c r="F64" i="39"/>
  <c r="D64" i="39"/>
  <c r="C64" i="39"/>
  <c r="E64" i="39" s="1"/>
  <c r="L64" i="39" s="1"/>
  <c r="K63" i="39"/>
  <c r="J63" i="39"/>
  <c r="I63" i="39"/>
  <c r="G63" i="39"/>
  <c r="H63" i="39" s="1"/>
  <c r="F63" i="39"/>
  <c r="D63" i="39"/>
  <c r="C63" i="39"/>
  <c r="E63" i="39" s="1"/>
  <c r="L63" i="39" s="1"/>
  <c r="J62" i="39"/>
  <c r="I62" i="39"/>
  <c r="K62" i="39" s="1"/>
  <c r="G62" i="39"/>
  <c r="H62" i="39" s="1"/>
  <c r="F62" i="39"/>
  <c r="D62" i="39"/>
  <c r="C62" i="39"/>
  <c r="E62" i="39" s="1"/>
  <c r="L62" i="39" s="1"/>
  <c r="J61" i="39"/>
  <c r="I61" i="39"/>
  <c r="K61" i="39" s="1"/>
  <c r="G61" i="39"/>
  <c r="H61" i="39" s="1"/>
  <c r="F61" i="39"/>
  <c r="D61" i="39"/>
  <c r="C61" i="39"/>
  <c r="E61" i="39" s="1"/>
  <c r="L61" i="39" s="1"/>
  <c r="J60" i="39"/>
  <c r="I60" i="39"/>
  <c r="K60" i="39" s="1"/>
  <c r="G60" i="39"/>
  <c r="H60" i="39" s="1"/>
  <c r="F60" i="39"/>
  <c r="D60" i="39"/>
  <c r="C60" i="39"/>
  <c r="E60" i="39" s="1"/>
  <c r="L60" i="39" s="1"/>
  <c r="J59" i="39"/>
  <c r="I59" i="39"/>
  <c r="K59" i="39" s="1"/>
  <c r="G59" i="39"/>
  <c r="H59" i="39" s="1"/>
  <c r="F59" i="39"/>
  <c r="D59" i="39"/>
  <c r="C59" i="39"/>
  <c r="E59" i="39" s="1"/>
  <c r="L59" i="39" s="1"/>
  <c r="K58" i="39"/>
  <c r="J58" i="39"/>
  <c r="I58" i="39"/>
  <c r="G58" i="39"/>
  <c r="H58" i="39" s="1"/>
  <c r="F58" i="39"/>
  <c r="D58" i="39"/>
  <c r="C58" i="39"/>
  <c r="E58" i="39" s="1"/>
  <c r="L58" i="39" s="1"/>
  <c r="J54" i="39"/>
  <c r="I54" i="39"/>
  <c r="K54" i="39" s="1"/>
  <c r="G54" i="39"/>
  <c r="H54" i="39" s="1"/>
  <c r="F54" i="39"/>
  <c r="D54" i="39"/>
  <c r="C54" i="39"/>
  <c r="E54" i="39" s="1"/>
  <c r="L54" i="39" s="1"/>
  <c r="J53" i="39"/>
  <c r="I53" i="39"/>
  <c r="K53" i="39" s="1"/>
  <c r="G53" i="39"/>
  <c r="H53" i="39" s="1"/>
  <c r="F53" i="39"/>
  <c r="D53" i="39"/>
  <c r="C53" i="39"/>
  <c r="E53" i="39" s="1"/>
  <c r="L53" i="39" s="1"/>
  <c r="J52" i="39"/>
  <c r="I52" i="39"/>
  <c r="K52" i="39" s="1"/>
  <c r="G52" i="39"/>
  <c r="H52" i="39" s="1"/>
  <c r="F52" i="39"/>
  <c r="D52" i="39"/>
  <c r="C52" i="39"/>
  <c r="E52" i="39" s="1"/>
  <c r="L52" i="39" s="1"/>
  <c r="J51" i="39"/>
  <c r="I51" i="39"/>
  <c r="K51" i="39" s="1"/>
  <c r="G51" i="39"/>
  <c r="H51" i="39" s="1"/>
  <c r="F51" i="39"/>
  <c r="D51" i="39"/>
  <c r="C51" i="39"/>
  <c r="E51" i="39" s="1"/>
  <c r="L51" i="39" s="1"/>
  <c r="J50" i="39"/>
  <c r="I50" i="39"/>
  <c r="K50" i="39" s="1"/>
  <c r="G50" i="39"/>
  <c r="H50" i="39" s="1"/>
  <c r="F50" i="39"/>
  <c r="D50" i="39"/>
  <c r="C50" i="39"/>
  <c r="E50" i="39" s="1"/>
  <c r="L50" i="39" s="1"/>
  <c r="J49" i="39"/>
  <c r="I49" i="39"/>
  <c r="K49" i="39" s="1"/>
  <c r="G49" i="39"/>
  <c r="H49" i="39" s="1"/>
  <c r="F49" i="39"/>
  <c r="D49" i="39"/>
  <c r="C49" i="39"/>
  <c r="E49" i="39" s="1"/>
  <c r="L49" i="39" s="1"/>
  <c r="J48" i="39"/>
  <c r="I48" i="39"/>
  <c r="K48" i="39" s="1"/>
  <c r="G48" i="39"/>
  <c r="H48" i="39" s="1"/>
  <c r="F48" i="39"/>
  <c r="D48" i="39"/>
  <c r="C48" i="39"/>
  <c r="E48" i="39" s="1"/>
  <c r="L48" i="39" s="1"/>
  <c r="J47" i="39"/>
  <c r="I47" i="39"/>
  <c r="K47" i="39" s="1"/>
  <c r="G47" i="39"/>
  <c r="H47" i="39" s="1"/>
  <c r="F47" i="39"/>
  <c r="D47" i="39"/>
  <c r="C47" i="39"/>
  <c r="E47" i="39" s="1"/>
  <c r="L47" i="39" s="1"/>
  <c r="J46" i="39"/>
  <c r="I46" i="39"/>
  <c r="K46" i="39" s="1"/>
  <c r="G46" i="39"/>
  <c r="H46" i="39" s="1"/>
  <c r="F46" i="39"/>
  <c r="D46" i="39"/>
  <c r="C46" i="39"/>
  <c r="E46" i="39" s="1"/>
  <c r="L46" i="39" s="1"/>
  <c r="J45" i="39"/>
  <c r="I45" i="39"/>
  <c r="K45" i="39" s="1"/>
  <c r="G45" i="39"/>
  <c r="H45" i="39" s="1"/>
  <c r="F45" i="39"/>
  <c r="D45" i="39"/>
  <c r="C45" i="39"/>
  <c r="E45" i="39" s="1"/>
  <c r="L45" i="39" s="1"/>
  <c r="J44" i="39"/>
  <c r="I44" i="39"/>
  <c r="K44" i="39" s="1"/>
  <c r="G44" i="39"/>
  <c r="H44" i="39" s="1"/>
  <c r="F44" i="39"/>
  <c r="D44" i="39"/>
  <c r="C44" i="39"/>
  <c r="E44" i="39" s="1"/>
  <c r="L44" i="39" s="1"/>
  <c r="J43" i="39"/>
  <c r="I43" i="39"/>
  <c r="K43" i="39" s="1"/>
  <c r="G43" i="39"/>
  <c r="H43" i="39" s="1"/>
  <c r="F43" i="39"/>
  <c r="D43" i="39"/>
  <c r="C43" i="39"/>
  <c r="E43" i="39" s="1"/>
  <c r="L43" i="39" s="1"/>
  <c r="J42" i="39"/>
  <c r="I42" i="39"/>
  <c r="K42" i="39" s="1"/>
  <c r="G42" i="39"/>
  <c r="H42" i="39" s="1"/>
  <c r="F42" i="39"/>
  <c r="D42" i="39"/>
  <c r="C42" i="39"/>
  <c r="E42" i="39" s="1"/>
  <c r="L42" i="39" s="1"/>
  <c r="J41" i="39"/>
  <c r="I41" i="39"/>
  <c r="K41" i="39" s="1"/>
  <c r="G41" i="39"/>
  <c r="H41" i="39" s="1"/>
  <c r="F41" i="39"/>
  <c r="D41" i="39"/>
  <c r="C41" i="39"/>
  <c r="E41" i="39" s="1"/>
  <c r="L41" i="39" s="1"/>
  <c r="J40" i="39"/>
  <c r="I40" i="39"/>
  <c r="K40" i="39" s="1"/>
  <c r="G40" i="39"/>
  <c r="H40" i="39" s="1"/>
  <c r="F40" i="39"/>
  <c r="D40" i="39"/>
  <c r="C40" i="39"/>
  <c r="E40" i="39" s="1"/>
  <c r="L40" i="39" s="1"/>
  <c r="J39" i="39"/>
  <c r="I39" i="39"/>
  <c r="K39" i="39" s="1"/>
  <c r="G39" i="39"/>
  <c r="H39" i="39" s="1"/>
  <c r="F39" i="39"/>
  <c r="D39" i="39"/>
  <c r="C39" i="39"/>
  <c r="E39" i="39" s="1"/>
  <c r="L39" i="39" s="1"/>
  <c r="J38" i="39"/>
  <c r="I38" i="39"/>
  <c r="K38" i="39" s="1"/>
  <c r="G38" i="39"/>
  <c r="H38" i="39" s="1"/>
  <c r="F38" i="39"/>
  <c r="D38" i="39"/>
  <c r="C38" i="39"/>
  <c r="E38" i="39" s="1"/>
  <c r="L38" i="39" s="1"/>
  <c r="J37" i="39"/>
  <c r="I37" i="39"/>
  <c r="K37" i="39" s="1"/>
  <c r="G37" i="39"/>
  <c r="H37" i="39" s="1"/>
  <c r="F37" i="39"/>
  <c r="D37" i="39"/>
  <c r="C37" i="39"/>
  <c r="E37" i="39" s="1"/>
  <c r="L37" i="39" s="1"/>
  <c r="J36" i="39"/>
  <c r="I36" i="39"/>
  <c r="K36" i="39" s="1"/>
  <c r="G36" i="39"/>
  <c r="H36" i="39" s="1"/>
  <c r="F36" i="39"/>
  <c r="D36" i="39"/>
  <c r="C36" i="39"/>
  <c r="E36" i="39" s="1"/>
  <c r="L36" i="39" s="1"/>
  <c r="J35" i="39"/>
  <c r="I35" i="39"/>
  <c r="K35" i="39" s="1"/>
  <c r="G35" i="39"/>
  <c r="H35" i="39" s="1"/>
  <c r="F35" i="39"/>
  <c r="D35" i="39"/>
  <c r="C35" i="39"/>
  <c r="E35" i="39" s="1"/>
  <c r="L35" i="39" s="1"/>
  <c r="J34" i="39"/>
  <c r="I34" i="39"/>
  <c r="K34" i="39" s="1"/>
  <c r="G34" i="39"/>
  <c r="H34" i="39" s="1"/>
  <c r="F34" i="39"/>
  <c r="D34" i="39"/>
  <c r="C34" i="39"/>
  <c r="E34" i="39" s="1"/>
  <c r="L34" i="39" s="1"/>
  <c r="J33" i="39"/>
  <c r="I33" i="39"/>
  <c r="K33" i="39" s="1"/>
  <c r="G33" i="39"/>
  <c r="H33" i="39" s="1"/>
  <c r="F33" i="39"/>
  <c r="D33" i="39"/>
  <c r="C33" i="39"/>
  <c r="E33" i="39" s="1"/>
  <c r="L33" i="39" s="1"/>
  <c r="J32" i="39"/>
  <c r="I32" i="39"/>
  <c r="K32" i="39" s="1"/>
  <c r="G32" i="39"/>
  <c r="H32" i="39" s="1"/>
  <c r="F32" i="39"/>
  <c r="D32" i="39"/>
  <c r="C32" i="39"/>
  <c r="E32" i="39" s="1"/>
  <c r="L32" i="39" s="1"/>
  <c r="J31" i="39"/>
  <c r="I31" i="39"/>
  <c r="K31" i="39" s="1"/>
  <c r="G31" i="39"/>
  <c r="H31" i="39" s="1"/>
  <c r="F31" i="39"/>
  <c r="D31" i="39"/>
  <c r="C31" i="39"/>
  <c r="E31" i="39" s="1"/>
  <c r="L31" i="39" s="1"/>
  <c r="J30" i="39"/>
  <c r="I30" i="39"/>
  <c r="K30" i="39" s="1"/>
  <c r="G30" i="39"/>
  <c r="H30" i="39" s="1"/>
  <c r="F30" i="39"/>
  <c r="D30" i="39"/>
  <c r="C30" i="39"/>
  <c r="E30" i="39" s="1"/>
  <c r="L30" i="39" s="1"/>
  <c r="J29" i="39"/>
  <c r="I29" i="39"/>
  <c r="K29" i="39" s="1"/>
  <c r="G29" i="39"/>
  <c r="H29" i="39" s="1"/>
  <c r="F29" i="39"/>
  <c r="D29" i="39"/>
  <c r="C29" i="39"/>
  <c r="E29" i="39" s="1"/>
  <c r="L29" i="39" s="1"/>
  <c r="J28" i="39"/>
  <c r="I28" i="39"/>
  <c r="K28" i="39" s="1"/>
  <c r="G28" i="39"/>
  <c r="H28" i="39" s="1"/>
  <c r="F28" i="39"/>
  <c r="D28" i="39"/>
  <c r="C28" i="39"/>
  <c r="E28" i="39" s="1"/>
  <c r="L28" i="39" s="1"/>
  <c r="J27" i="39"/>
  <c r="I27" i="39"/>
  <c r="K27" i="39" s="1"/>
  <c r="G27" i="39"/>
  <c r="H27" i="39" s="1"/>
  <c r="F27" i="39"/>
  <c r="D27" i="39"/>
  <c r="C27" i="39"/>
  <c r="E27" i="39" s="1"/>
  <c r="L27" i="39" s="1"/>
  <c r="K26" i="39"/>
  <c r="J26" i="39"/>
  <c r="I26" i="39"/>
  <c r="G26" i="39"/>
  <c r="H26" i="39" s="1"/>
  <c r="F26" i="39"/>
  <c r="D26" i="39"/>
  <c r="C26" i="39"/>
  <c r="E26" i="39" s="1"/>
  <c r="L26" i="39" s="1"/>
  <c r="J25" i="39"/>
  <c r="I25" i="39"/>
  <c r="K25" i="39" s="1"/>
  <c r="G25" i="39"/>
  <c r="H25" i="39" s="1"/>
  <c r="F25" i="39"/>
  <c r="D25" i="39"/>
  <c r="C25" i="39"/>
  <c r="E25" i="39" s="1"/>
  <c r="L25" i="39" s="1"/>
  <c r="J24" i="39"/>
  <c r="I24" i="39"/>
  <c r="K24" i="39" s="1"/>
  <c r="G24" i="39"/>
  <c r="H24" i="39" s="1"/>
  <c r="F24" i="39"/>
  <c r="D24" i="39"/>
  <c r="C24" i="39"/>
  <c r="E24" i="39" s="1"/>
  <c r="L24" i="39" s="1"/>
  <c r="J23" i="39"/>
  <c r="I23" i="39"/>
  <c r="K23" i="39" s="1"/>
  <c r="G23" i="39"/>
  <c r="H23" i="39" s="1"/>
  <c r="F23" i="39"/>
  <c r="D23" i="39"/>
  <c r="C23" i="39"/>
  <c r="E23" i="39" s="1"/>
  <c r="L23" i="39" s="1"/>
  <c r="J22" i="39"/>
  <c r="I22" i="39"/>
  <c r="K22" i="39" s="1"/>
  <c r="G22" i="39"/>
  <c r="H22" i="39" s="1"/>
  <c r="F22" i="39"/>
  <c r="D22" i="39"/>
  <c r="C22" i="39"/>
  <c r="E22" i="39" s="1"/>
  <c r="L22" i="39" s="1"/>
  <c r="J21" i="39"/>
  <c r="I21" i="39"/>
  <c r="K21" i="39" s="1"/>
  <c r="G21" i="39"/>
  <c r="H21" i="39" s="1"/>
  <c r="F21" i="39"/>
  <c r="D21" i="39"/>
  <c r="C21" i="39"/>
  <c r="E21" i="39" s="1"/>
  <c r="L21" i="39" s="1"/>
  <c r="J20" i="39"/>
  <c r="I20" i="39"/>
  <c r="K20" i="39" s="1"/>
  <c r="G20" i="39"/>
  <c r="H20" i="39" s="1"/>
  <c r="F20" i="39"/>
  <c r="D20" i="39"/>
  <c r="C20" i="39"/>
  <c r="E20" i="39" s="1"/>
  <c r="L20" i="39" s="1"/>
  <c r="J19" i="39"/>
  <c r="I19" i="39"/>
  <c r="K19" i="39" s="1"/>
  <c r="G19" i="39"/>
  <c r="H19" i="39" s="1"/>
  <c r="F19" i="39"/>
  <c r="D19" i="39"/>
  <c r="C19" i="39"/>
  <c r="E19" i="39" s="1"/>
  <c r="L19" i="39" s="1"/>
  <c r="J18" i="39"/>
  <c r="I18" i="39"/>
  <c r="K18" i="39" s="1"/>
  <c r="G18" i="39"/>
  <c r="H18" i="39" s="1"/>
  <c r="F18" i="39"/>
  <c r="D18" i="39"/>
  <c r="C18" i="39"/>
  <c r="E18" i="39" s="1"/>
  <c r="L18" i="39" s="1"/>
  <c r="J17" i="39"/>
  <c r="I17" i="39"/>
  <c r="K17" i="39" s="1"/>
  <c r="G17" i="39"/>
  <c r="H17" i="39" s="1"/>
  <c r="F17" i="39"/>
  <c r="D17" i="39"/>
  <c r="C17" i="39"/>
  <c r="E17" i="39" s="1"/>
  <c r="L17" i="39" s="1"/>
  <c r="K42" i="38"/>
  <c r="K41" i="38"/>
  <c r="M30" i="38"/>
  <c r="L30" i="38"/>
  <c r="K30" i="38"/>
  <c r="M24" i="38"/>
  <c r="M23" i="38" s="1"/>
  <c r="L24" i="38"/>
  <c r="L23" i="38" s="1"/>
  <c r="K24" i="38"/>
  <c r="K23" i="38"/>
  <c r="L78" i="39" l="1"/>
  <c r="L85" i="39"/>
  <c r="L99" i="39"/>
  <c r="L87" i="39"/>
  <c r="L89" i="39"/>
  <c r="L94" i="39"/>
  <c r="L100" i="39"/>
  <c r="L106" i="39"/>
  <c r="L72" i="39"/>
  <c r="L73" i="39"/>
  <c r="L80" i="39"/>
  <c r="L88" i="39"/>
  <c r="L111" i="39"/>
  <c r="E42" i="37"/>
  <c r="M41" i="37"/>
  <c r="N41" i="37" s="1"/>
  <c r="I41" i="37"/>
  <c r="H40" i="37"/>
  <c r="I40" i="37" s="1"/>
  <c r="G40" i="37"/>
  <c r="M40" i="37" s="1"/>
  <c r="N40" i="37" s="1"/>
  <c r="M39" i="37"/>
  <c r="N39" i="37" s="1"/>
  <c r="I39" i="37"/>
  <c r="H39" i="37"/>
  <c r="H37" i="37"/>
  <c r="G37" i="37"/>
  <c r="M36" i="37"/>
  <c r="M35" i="37" s="1"/>
  <c r="I36" i="37"/>
  <c r="I35" i="37" s="1"/>
  <c r="H36" i="37"/>
  <c r="G36" i="37"/>
  <c r="N35" i="37"/>
  <c r="G35" i="37"/>
  <c r="H34" i="37"/>
  <c r="M32" i="37"/>
  <c r="G32" i="37"/>
  <c r="M31" i="37"/>
  <c r="N31" i="37" s="1"/>
  <c r="G31" i="37"/>
  <c r="G30" i="37"/>
  <c r="M30" i="37" s="1"/>
  <c r="N30" i="37" s="1"/>
  <c r="G29" i="37"/>
  <c r="M29" i="37" s="1"/>
  <c r="N29" i="37" s="1"/>
  <c r="N28" i="37"/>
  <c r="M28" i="37"/>
  <c r="G28" i="37"/>
  <c r="M27" i="37"/>
  <c r="N27" i="37" s="1"/>
  <c r="G27" i="37"/>
  <c r="I26" i="37"/>
  <c r="H26" i="37"/>
  <c r="G26" i="37" s="1"/>
  <c r="M26" i="37" s="1"/>
  <c r="N26" i="37" s="1"/>
  <c r="M25" i="37"/>
  <c r="N25" i="37" s="1"/>
  <c r="G25" i="37"/>
  <c r="G24" i="37"/>
  <c r="M24" i="37" s="1"/>
  <c r="N24" i="37" s="1"/>
  <c r="G23" i="37"/>
  <c r="M23" i="37" s="1"/>
  <c r="N23" i="37" s="1"/>
  <c r="N22" i="37"/>
  <c r="M22" i="37"/>
  <c r="G22" i="37"/>
  <c r="G19" i="37"/>
  <c r="I18" i="37"/>
  <c r="G18" i="37"/>
  <c r="M18" i="37" s="1"/>
  <c r="N18" i="37" s="1"/>
  <c r="I15" i="37"/>
  <c r="H15" i="37"/>
  <c r="G15" i="37"/>
  <c r="G14" i="37"/>
  <c r="M14" i="37" s="1"/>
  <c r="N13" i="37"/>
  <c r="M13" i="37"/>
  <c r="I12" i="37"/>
  <c r="H12" i="37"/>
  <c r="G11" i="37"/>
  <c r="G10" i="37"/>
  <c r="M10" i="37" s="1"/>
  <c r="N10" i="37" s="1"/>
  <c r="N9" i="37"/>
  <c r="M9" i="37"/>
  <c r="G9" i="37"/>
  <c r="N8" i="37"/>
  <c r="M8" i="37"/>
  <c r="G8" i="37"/>
  <c r="M7" i="37"/>
  <c r="N7" i="37" s="1"/>
  <c r="G7" i="37"/>
  <c r="M15" i="37" l="1"/>
  <c r="N14" i="37"/>
  <c r="N15" i="37" s="1"/>
  <c r="I42" i="37"/>
  <c r="G12" i="37"/>
  <c r="H42" i="37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<sst xmlns="http://schemas.openxmlformats.org/spreadsheetml/2006/main" count="511" uniqueCount="260">
  <si>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</si>
  <si>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</si>
  <si>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</si>
  <si>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</si>
  <si>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</si>
  <si>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</si>
  <si>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</si>
  <si>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</si>
  <si>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</si>
  <si>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</si>
  <si>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</si>
  <si>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</si>
  <si>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</si>
  <si>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</si>
  <si>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</si>
  <si>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</si>
  <si>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</si>
  <si>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</si>
  <si>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</si>
  <si>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</si>
  <si>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</si>
  <si>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</si>
  <si>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</si>
  <si>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</si>
  <si>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</si>
  <si>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</si>
  <si>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</si>
  <si>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</si>
  <si>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</si>
  <si>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</si>
  <si>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</si>
  <si>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</si>
  <si>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</si>
  <si>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</si>
  <si>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</si>
  <si>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</si>
  <si>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</si>
  <si>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</si>
  <si>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</si>
  <si>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</si>
  <si>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</si>
  <si>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</si>
  <si>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</si>
  <si>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</si>
  <si>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</si>
  <si>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</si>
  <si>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</si>
  <si>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</si>
  <si>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</si>
  <si>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</si>
  <si>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</si>
  <si>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</si>
  <si>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</si>
  <si>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</si>
  <si>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</si>
  <si>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</si>
  <si>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</si>
  <si>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</si>
  <si>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</si>
  <si>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</si>
  <si>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</si>
  <si>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</si>
  <si>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</si>
  <si>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</si>
  <si>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</si>
  <si>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</si>
  <si>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</si>
  <si>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</si>
  <si>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</si>
  <si>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</si>
  <si>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</si>
  <si>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</si>
  <si>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</si>
  <si>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</si>
  <si>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</si>
  <si>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</si>
  <si>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</si>
  <si>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</si>
  <si>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</si>
  <si>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</si>
  <si>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</si>
  <si>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</si>
  <si>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</si>
  <si>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</si>
  <si>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</si>
  <si>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</si>
  <si>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</si>
  <si>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</si>
  <si>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</si>
  <si>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</si>
  <si>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</si>
  <si>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</si>
  <si>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</si>
  <si>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</si>
  <si>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</si>
  <si>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</si>
  <si>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</si>
  <si>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</si>
  <si>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</si>
  <si>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</si>
  <si>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</si>
  <si>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</si>
  <si>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</si>
  <si>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</si>
  <si>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</si>
  <si>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</si>
  <si>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</si>
  <si>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</si>
  <si>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</si>
  <si>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</si>
  <si>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</si>
  <si>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</si>
  <si>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</si>
  <si>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</si>
  <si>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</si>
  <si>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</si>
  <si>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</si>
  <si>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</si>
  <si>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</si>
  <si>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</si>
  <si>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</si>
  <si>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</si>
  <si>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</si>
  <si>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</si>
  <si>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</si>
  <si>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</si>
  <si>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</si>
  <si>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</si>
  <si>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</si>
  <si>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</si>
  <si>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</si>
  <si>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</si>
  <si>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</si>
  <si>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</si>
  <si>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</si>
  <si>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</si>
  <si>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</si>
  <si>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</si>
  <si>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</si>
  <si>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</si>
  <si>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</si>
  <si>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</si>
  <si>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</si>
  <si>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</si>
  <si>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</si>
  <si>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</si>
  <si>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</si>
  <si>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</si>
  <si>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</si>
  <si>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</si>
  <si>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</si>
  <si>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</si>
  <si>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</si>
  <si>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2017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</si>
  <si>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</si>
  <si>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</si>
  <si>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</si>
  <si>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</si>
  <si>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</si>
  <si>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</si>
  <si>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DIRECCIÓN GENERAL DE RENTAS</t>
  </si>
  <si>
    <t>INTELIGENCIA FISCAL</t>
  </si>
  <si>
    <t>FISCALIZACIÓN PERMANENTE</t>
  </si>
  <si>
    <t>FISCALIZACIÓN EXTERNA</t>
  </si>
  <si>
    <t>SELLOS Y TASA DE JUSTICIA</t>
  </si>
  <si>
    <t>PATRIMONIALES GESTIÓN INTERNA</t>
  </si>
  <si>
    <t>PATRIMONIALES ATENCIÓN CONTRIBUYENTES</t>
  </si>
  <si>
    <t>CONTACT CENTER</t>
  </si>
  <si>
    <t>AGENTE DE RETENCIÓN, PERCEPCIÓN E INFORMACIÓN</t>
  </si>
  <si>
    <t>ACTIVIDADES ECONÓMICAS – ATENCIÓN CONTRIBUYENTE</t>
  </si>
  <si>
    <t>DETERMINACIÓN DE OFICIO</t>
  </si>
  <si>
    <t>GRANDES CONTRIBUYENTES</t>
  </si>
  <si>
    <t>RECEPTORIA CORRALITOS</t>
  </si>
  <si>
    <t>RECEPTORIA RODEO DE LA CRUZ</t>
  </si>
  <si>
    <t>RECEPTORIA MAIPÚ</t>
  </si>
  <si>
    <t>RECEPTORIA LUJAN DE CUYO</t>
  </si>
  <si>
    <t>RECEPTORIA LAS HERAS</t>
  </si>
  <si>
    <t>RECEPTORIA LAVALLE</t>
  </si>
  <si>
    <t>RECEPTORIA GODOY CRUZ</t>
  </si>
  <si>
    <t>RECEPTORIA CONSEJO PROFESIONAL</t>
  </si>
  <si>
    <t>RECEPTORIA VILLA ATUEL</t>
  </si>
  <si>
    <t>-</t>
  </si>
  <si>
    <t>RECEPTORIA MALARGÜE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</si>
  <si>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</si>
  <si>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</si>
  <si>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</si>
  <si>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</si>
  <si>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</si>
  <si>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</si>
  <si>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</si>
  <si>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</si>
  <si>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</si>
  <si>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</si>
  <si>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</si>
  <si>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</si>
  <si>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DELEGACIÓN CAPITAL FEDERAL</t>
  </si>
  <si>
    <t>GESTIÓN DE COBRANZAS</t>
  </si>
  <si>
    <t>DIRECCIÓN GENERAL DE CATASTRO</t>
  </si>
  <si>
    <t>MENSURA</t>
  </si>
  <si>
    <t>JURÍDICO</t>
  </si>
  <si>
    <t>ECONÓMICO</t>
  </si>
  <si>
    <t>DELEGACIÓN ZONA SUR</t>
  </si>
  <si>
    <t>FISCALIZACIÓN</t>
  </si>
  <si>
    <t>DELEGACIÓN VALLE DE UCO</t>
  </si>
  <si>
    <t>CARTOGRAFÍA</t>
  </si>
  <si>
    <t>IDEM</t>
  </si>
  <si>
    <t>DEPÓSITO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</si>
  <si>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</si>
  <si>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</si>
  <si>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</si>
  <si>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</si>
  <si>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</si>
  <si>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</si>
  <si>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</si>
  <si>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ASISTENCIA TÉCNICA Y NORMATIVA</t>
  </si>
  <si>
    <t>ASUNTOS LEGALES</t>
  </si>
  <si>
    <t>PROCESOS UNIVERSALES</t>
  </si>
  <si>
    <t>RECURSOS DE REVOCATORIA</t>
  </si>
  <si>
    <t>RECURSOS JERÁRQUICOS</t>
  </si>
  <si>
    <t>DIRECCIÓN TECNOLOGÍAS DE LA INFORMACIÓN</t>
  </si>
  <si>
    <t>COI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</si>
  <si>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</si>
  <si>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</si>
  <si>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</si>
  <si>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</si>
  <si>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</si>
  <si>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</si>
  <si>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</si>
  <si>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</si>
  <si>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</si>
  <si>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ADMINISTRACIÓN GENERAL</t>
  </si>
  <si>
    <t>DESPACHO</t>
  </si>
  <si>
    <t>PLANIFICACIÓN ESTRATÉGICA</t>
  </si>
  <si>
    <t>COMUNICACIÓN Y PRENSA</t>
  </si>
  <si>
    <t>GESTIÓN DE CALIDAD</t>
  </si>
  <si>
    <t>CONSEJO DE LOTEO</t>
  </si>
  <si>
    <t>CUADRO DE INDICADORES Y METAS  - META ANUAL y  2do TRIMESTRE 2017</t>
  </si>
  <si>
    <t>C.J.U.O. 1 - 06 - 10 - 2º TRIMESTE 2017</t>
  </si>
  <si>
    <r>
      <t>LRF LEY Nº 7.314 - ANEXO 30 - ART. 44 Y 45  - 2</t>
    </r>
    <r>
      <rPr>
        <b/>
        <vertAlign val="superscript"/>
        <sz val="16"/>
        <color indexed="8"/>
        <rFont val="Calibri"/>
        <family val="2"/>
      </rPr>
      <t>DO</t>
    </r>
    <r>
      <rPr>
        <b/>
        <sz val="16"/>
        <color indexed="8"/>
        <rFont val="Calibri"/>
        <family val="2"/>
      </rPr>
      <t xml:space="preserve"> TRIMESTRE 2017</t>
    </r>
  </si>
  <si>
    <t>RESOLUCIÓN INTERNA ATM Nº 143/16 - INDICADORES DE GESTIÓN</t>
  </si>
  <si>
    <t>ÁREA</t>
  </si>
  <si>
    <t>ABRIL</t>
  </si>
  <si>
    <t>MAYO</t>
  </si>
  <si>
    <t>JUNIO</t>
  </si>
  <si>
    <t>PROMEDIO DE RATIO</t>
  </si>
  <si>
    <t>RECEPTORIA JUNÍN</t>
  </si>
  <si>
    <t>FÍSICO</t>
  </si>
  <si>
    <t>DIRECCIÓN GENERAL DE REGALÍAS</t>
  </si>
  <si>
    <t>TESORERÍA</t>
  </si>
  <si>
    <t>GESTIÓN ADMINISTRATIVA</t>
  </si>
  <si>
    <t>OTRAS ÁREAS</t>
  </si>
  <si>
    <t>Confeccionó</t>
  </si>
  <si>
    <t>Supervisó</t>
  </si>
  <si>
    <t xml:space="preserve">Revisó </t>
  </si>
  <si>
    <t>Aprobó</t>
  </si>
  <si>
    <t>Fecha de Aprobación</t>
  </si>
  <si>
    <t>Edgardo Sosa</t>
  </si>
  <si>
    <t>CPN Raul Abel Mercado</t>
  </si>
  <si>
    <t>CPN Rodolfo Quiroga</t>
  </si>
  <si>
    <t>CPN. Fernando Orellano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</si>
</sst>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_-* #,##0\ _€_-;\-* #,##0\ _€_-;_-* &quot;-&quot;\ _€_-;_-@_-"/>
    <numFmt numFmtId="171" formatCode="#,##0_ ;\-#,##0\ "/>
    <numFmt numFmtId="172" formatCode="#,##0.00\ _€"/>
    <numFmt numFmtId="173" formatCode="0.0"/>
    <numFmt numFmtId="174" formatCode="dd/mm/yy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vertAlign val="superscript"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i/>
      <sz val="10"/>
      <color indexed="8"/>
      <name val="Calibri"/>
      <family val="2"/>
    </font>
    <font>
      <b/>
      <sz val="7"/>
      <name val="Arial"/>
      <family val="2"/>
    </font>
    <font>
      <i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26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6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4" borderId="0" applyNumberFormat="0" applyBorder="0" applyAlignment="0" applyProtection="0"/>
    <xf numFmtId="0" fontId="21" fillId="16" borderId="1" applyNumberFormat="0" applyAlignment="0" applyProtection="0"/>
    <xf numFmtId="0" fontId="22" fillId="1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1" borderId="0" applyNumberFormat="0" applyBorder="0" applyAlignment="0" applyProtection="0"/>
    <xf numFmtId="0" fontId="25" fillId="7" borderId="1" applyNumberFormat="0" applyAlignment="0" applyProtection="0"/>
    <xf numFmtId="0" fontId="26" fillId="3" borderId="0" applyNumberFormat="0" applyBorder="0" applyAlignment="0" applyProtection="0"/>
    <xf numFmtId="165" fontId="9" fillId="0" borderId="0" applyFont="0" applyFill="0" applyBorder="0" applyAlignment="0" applyProtection="0"/>
    <xf numFmtId="0" fontId="27" fillId="22" borderId="0" applyNumberFormat="0" applyBorder="0" applyAlignment="0" applyProtection="0"/>
    <xf numFmtId="0" fontId="9" fillId="23" borderId="4" applyNumberFormat="0" applyFont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4" fillId="0" borderId="8" applyNumberFormat="0" applyFill="0" applyAlignment="0" applyProtection="0"/>
    <xf numFmtId="0" fontId="34" fillId="0" borderId="9" applyNumberFormat="0" applyFill="0" applyAlignment="0" applyProtection="0"/>
    <xf numFmtId="0" fontId="14" fillId="0" borderId="0"/>
    <xf numFmtId="165" fontId="1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8" fillId="0" borderId="0"/>
    <xf numFmtId="9" fontId="18" fillId="0" borderId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5" fillId="0" borderId="0"/>
    <xf numFmtId="9" fontId="9" fillId="0" borderId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43">
    <xf numFmtId="0" fontId="0" fillId="0" borderId="0" xfId="0"/>
    <xf numFmtId="0" fontId="13" fillId="0" borderId="0" xfId="0" applyFont="1"/>
    <xf numFmtId="0" fontId="14" fillId="0" borderId="0" xfId="0" applyFont="1"/>
    <xf numFmtId="1" fontId="16" fillId="24" borderId="11" xfId="32" applyNumberFormat="1" applyFont="1" applyFill="1" applyBorder="1" applyAlignment="1">
      <alignment horizontal="center" vertical="center"/>
    </xf>
    <xf numFmtId="0" fontId="10" fillId="24" borderId="14" xfId="0" applyFont="1" applyFill="1" applyBorder="1"/>
    <xf numFmtId="1" fontId="16" fillId="24" borderId="15" xfId="32" applyNumberFormat="1" applyFont="1" applyFill="1" applyBorder="1" applyAlignment="1">
      <alignment horizontal="center" vertical="center"/>
    </xf>
    <xf numFmtId="0" fontId="16" fillId="24" borderId="16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7" fillId="0" borderId="17" xfId="0" applyFont="1" applyBorder="1" applyAlignment="1"/>
    <xf numFmtId="0" fontId="17" fillId="0" borderId="11" xfId="0" applyFont="1" applyBorder="1"/>
    <xf numFmtId="0" fontId="17" fillId="0" borderId="0" xfId="0" applyFont="1"/>
    <xf numFmtId="0" fontId="17" fillId="0" borderId="17" xfId="0" applyFont="1" applyFill="1" applyBorder="1" applyAlignment="1"/>
    <xf numFmtId="0" fontId="17" fillId="0" borderId="0" xfId="0" applyFont="1" applyFill="1"/>
    <xf numFmtId="0" fontId="17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7" fillId="26" borderId="15" xfId="0" applyFont="1" applyFill="1" applyBorder="1"/>
    <xf numFmtId="1" fontId="17" fillId="26" borderId="15" xfId="0" applyNumberFormat="1" applyFont="1" applyFill="1" applyBorder="1"/>
    <xf numFmtId="0" fontId="14" fillId="26" borderId="15" xfId="0" applyFont="1" applyFill="1" applyBorder="1"/>
    <xf numFmtId="0" fontId="14" fillId="26" borderId="16" xfId="0" applyFont="1" applyFill="1" applyBorder="1"/>
    <xf numFmtId="0" fontId="17" fillId="0" borderId="24" xfId="0" applyFont="1" applyBorder="1"/>
    <xf numFmtId="0" fontId="17" fillId="0" borderId="25" xfId="0" applyFont="1" applyBorder="1"/>
    <xf numFmtId="0" fontId="17" fillId="26" borderId="26" xfId="0" applyFont="1" applyFill="1" applyBorder="1"/>
    <xf numFmtId="0" fontId="17" fillId="0" borderId="11" xfId="0" applyFont="1" applyFill="1" applyBorder="1"/>
    <xf numFmtId="0" fontId="17" fillId="0" borderId="20" xfId="0" applyFont="1" applyBorder="1"/>
    <xf numFmtId="0" fontId="17" fillId="0" borderId="27" xfId="0" applyFont="1" applyBorder="1"/>
    <xf numFmtId="0" fontId="14" fillId="26" borderId="30" xfId="0" applyFont="1" applyFill="1" applyBorder="1"/>
    <xf numFmtId="0" fontId="13" fillId="0" borderId="0" xfId="0" applyFont="1" applyBorder="1" applyAlignment="1"/>
    <xf numFmtId="0" fontId="13" fillId="0" borderId="32" xfId="0" applyFont="1" applyBorder="1"/>
    <xf numFmtId="0" fontId="11" fillId="0" borderId="0" xfId="0" applyFont="1" applyBorder="1" applyAlignment="1">
      <alignment horizontal="center"/>
    </xf>
    <xf numFmtId="0" fontId="11" fillId="0" borderId="31" xfId="0" applyFont="1" applyBorder="1" applyAlignment="1">
      <alignment vertical="center"/>
    </xf>
    <xf numFmtId="0" fontId="17" fillId="0" borderId="17" xfId="0" applyFont="1" applyBorder="1"/>
    <xf numFmtId="0" fontId="17" fillId="0" borderId="34" xfId="0" applyFont="1" applyBorder="1" applyAlignment="1"/>
    <xf numFmtId="0" fontId="17" fillId="0" borderId="29" xfId="0" applyFont="1" applyBorder="1"/>
    <xf numFmtId="0" fontId="17" fillId="0" borderId="35" xfId="0" applyFont="1" applyBorder="1"/>
    <xf numFmtId="0" fontId="17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4" fillId="26" borderId="23" xfId="0" applyFont="1" applyFill="1" applyBorder="1"/>
    <xf numFmtId="0" fontId="10" fillId="25" borderId="37" xfId="0" applyFont="1" applyFill="1" applyBorder="1"/>
    <xf numFmtId="0" fontId="10" fillId="25" borderId="38" xfId="0" applyFont="1" applyFill="1" applyBorder="1"/>
    <xf numFmtId="0" fontId="14" fillId="26" borderId="26" xfId="0" applyFont="1" applyFill="1" applyBorder="1"/>
    <xf numFmtId="0" fontId="16" fillId="25" borderId="43" xfId="0" applyFont="1" applyFill="1" applyBorder="1" applyAlignment="1"/>
    <xf numFmtId="0" fontId="17" fillId="25" borderId="37" xfId="0" applyFont="1" applyFill="1" applyBorder="1"/>
    <xf numFmtId="0" fontId="16" fillId="25" borderId="44" xfId="0" applyFont="1" applyFill="1" applyBorder="1"/>
    <xf numFmtId="0" fontId="17" fillId="25" borderId="45" xfId="0" applyFont="1" applyFill="1" applyBorder="1"/>
    <xf numFmtId="0" fontId="17" fillId="25" borderId="39" xfId="0" applyFont="1" applyFill="1" applyBorder="1"/>
    <xf numFmtId="0" fontId="17" fillId="0" borderId="34" xfId="0" applyFont="1" applyBorder="1"/>
    <xf numFmtId="0" fontId="17" fillId="0" borderId="19" xfId="0" applyFont="1" applyBorder="1"/>
    <xf numFmtId="0" fontId="17" fillId="0" borderId="12" xfId="0" applyFont="1" applyFill="1" applyBorder="1"/>
    <xf numFmtId="0" fontId="17" fillId="0" borderId="12" xfId="0" applyFont="1" applyBorder="1"/>
    <xf numFmtId="0" fontId="17" fillId="0" borderId="21" xfId="0" applyFont="1" applyBorder="1"/>
    <xf numFmtId="0" fontId="16" fillId="25" borderId="43" xfId="0" applyFont="1" applyFill="1" applyBorder="1"/>
    <xf numFmtId="0" fontId="17" fillId="0" borderId="34" xfId="0" applyFont="1" applyFill="1" applyBorder="1"/>
    <xf numFmtId="3" fontId="17" fillId="26" borderId="10" xfId="0" applyNumberFormat="1" applyFont="1" applyFill="1" applyBorder="1"/>
    <xf numFmtId="3" fontId="17" fillId="26" borderId="29" xfId="0" applyNumberFormat="1" applyFont="1" applyFill="1" applyBorder="1"/>
    <xf numFmtId="3" fontId="17" fillId="0" borderId="29" xfId="0" applyNumberFormat="1" applyFont="1" applyFill="1" applyBorder="1"/>
    <xf numFmtId="0" fontId="17" fillId="0" borderId="24" xfId="0" applyFont="1" applyFill="1" applyBorder="1"/>
    <xf numFmtId="3" fontId="17" fillId="26" borderId="48" xfId="0" applyNumberFormat="1" applyFont="1" applyFill="1" applyBorder="1"/>
    <xf numFmtId="3" fontId="17" fillId="26" borderId="25" xfId="0" applyNumberFormat="1" applyFont="1" applyFill="1" applyBorder="1"/>
    <xf numFmtId="3" fontId="17" fillId="0" borderId="25" xfId="0" applyNumberFormat="1" applyFont="1" applyFill="1" applyBorder="1"/>
    <xf numFmtId="0" fontId="17" fillId="0" borderId="49" xfId="0" applyFont="1" applyFill="1" applyBorder="1"/>
    <xf numFmtId="0" fontId="17" fillId="0" borderId="50" xfId="0" applyFont="1" applyBorder="1"/>
    <xf numFmtId="0" fontId="17" fillId="0" borderId="42" xfId="0" applyFont="1" applyBorder="1"/>
    <xf numFmtId="4" fontId="14" fillId="0" borderId="0" xfId="0" applyNumberFormat="1" applyFont="1"/>
    <xf numFmtId="0" fontId="16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13" fillId="0" borderId="31" xfId="0" applyFont="1" applyBorder="1"/>
    <xf numFmtId="0" fontId="0" fillId="0" borderId="55" xfId="0" applyBorder="1"/>
    <xf numFmtId="0" fontId="0" fillId="0" borderId="31" xfId="0" applyBorder="1"/>
    <xf numFmtId="0" fontId="11" fillId="0" borderId="0" xfId="0" applyFont="1" applyBorder="1" applyAlignment="1"/>
    <xf numFmtId="0" fontId="16" fillId="24" borderId="10" xfId="0" applyFont="1" applyFill="1" applyBorder="1" applyAlignment="1">
      <alignment horizontal="center" vertical="center" wrapText="1"/>
    </xf>
    <xf numFmtId="0" fontId="16" fillId="24" borderId="11" xfId="0" applyFont="1" applyFill="1" applyBorder="1" applyAlignment="1">
      <alignment horizontal="center" vertical="center" wrapText="1"/>
    </xf>
    <xf numFmtId="0" fontId="16" fillId="24" borderId="12" xfId="0" applyFont="1" applyFill="1" applyBorder="1" applyAlignment="1">
      <alignment horizontal="center" vertical="center" wrapText="1"/>
    </xf>
    <xf numFmtId="1" fontId="16" fillId="24" borderId="56" xfId="32" applyNumberFormat="1" applyFont="1" applyFill="1" applyBorder="1" applyAlignment="1">
      <alignment horizontal="center" vertical="center"/>
    </xf>
    <xf numFmtId="0" fontId="16" fillId="24" borderId="60" xfId="0" applyFont="1" applyFill="1" applyBorder="1" applyAlignment="1">
      <alignment horizontal="center"/>
    </xf>
    <xf numFmtId="0" fontId="17" fillId="0" borderId="61" xfId="0" applyFont="1" applyFill="1" applyBorder="1"/>
    <xf numFmtId="1" fontId="17" fillId="0" borderId="56" xfId="0" applyNumberFormat="1" applyFont="1" applyFill="1" applyBorder="1"/>
    <xf numFmtId="0" fontId="17" fillId="0" borderId="56" xfId="0" applyFont="1" applyFill="1" applyBorder="1"/>
    <xf numFmtId="0" fontId="17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14" fillId="0" borderId="56" xfId="0" applyFont="1" applyFill="1" applyBorder="1"/>
    <xf numFmtId="3" fontId="14" fillId="0" borderId="56" xfId="0" applyNumberFormat="1" applyFont="1" applyFill="1" applyBorder="1"/>
    <xf numFmtId="0" fontId="14" fillId="0" borderId="66" xfId="0" applyFont="1" applyFill="1" applyBorder="1"/>
    <xf numFmtId="3" fontId="14" fillId="0" borderId="61" xfId="0" applyNumberFormat="1" applyFont="1" applyFill="1" applyBorder="1"/>
    <xf numFmtId="3" fontId="14" fillId="0" borderId="63" xfId="0" applyNumberFormat="1" applyFont="1" applyFill="1" applyBorder="1"/>
    <xf numFmtId="0" fontId="14" fillId="0" borderId="61" xfId="0" applyFont="1" applyFill="1" applyBorder="1"/>
    <xf numFmtId="0" fontId="14" fillId="0" borderId="54" xfId="0" applyFont="1" applyFill="1" applyBorder="1"/>
    <xf numFmtId="0" fontId="11" fillId="0" borderId="67" xfId="0" applyFont="1" applyBorder="1" applyAlignment="1"/>
    <xf numFmtId="0" fontId="11" fillId="0" borderId="13" xfId="0" applyFont="1" applyBorder="1" applyAlignment="1"/>
    <xf numFmtId="0" fontId="13" fillId="0" borderId="13" xfId="0" applyFont="1" applyBorder="1" applyAlignment="1"/>
    <xf numFmtId="0" fontId="13" fillId="0" borderId="13" xfId="0" applyFont="1" applyBorder="1"/>
    <xf numFmtId="0" fontId="13" fillId="0" borderId="59" xfId="0" applyFont="1" applyBorder="1"/>
    <xf numFmtId="0" fontId="17" fillId="25" borderId="38" xfId="0" applyFont="1" applyFill="1" applyBorder="1"/>
    <xf numFmtId="3" fontId="17" fillId="0" borderId="15" xfId="0" applyNumberFormat="1" applyFont="1" applyFill="1" applyBorder="1"/>
    <xf numFmtId="3" fontId="17" fillId="0" borderId="23" xfId="0" applyNumberFormat="1" applyFont="1" applyFill="1" applyBorder="1"/>
    <xf numFmtId="3" fontId="17" fillId="0" borderId="26" xfId="0" applyNumberFormat="1" applyFont="1" applyFill="1" applyBorder="1"/>
    <xf numFmtId="3" fontId="17" fillId="26" borderId="36" xfId="0" applyNumberFormat="1" applyFont="1" applyFill="1" applyBorder="1"/>
    <xf numFmtId="3" fontId="17" fillId="26" borderId="11" xfId="0" applyNumberFormat="1" applyFont="1" applyFill="1" applyBorder="1"/>
    <xf numFmtId="3" fontId="17" fillId="26" borderId="28" xfId="0" applyNumberFormat="1" applyFont="1" applyFill="1" applyBorder="1"/>
    <xf numFmtId="3" fontId="17" fillId="0" borderId="11" xfId="0" applyNumberFormat="1" applyFont="1" applyFill="1" applyBorder="1"/>
    <xf numFmtId="3" fontId="17" fillId="26" borderId="33" xfId="0" applyNumberFormat="1" applyFont="1" applyFill="1" applyBorder="1"/>
    <xf numFmtId="3" fontId="17" fillId="25" borderId="45" xfId="0" applyNumberFormat="1" applyFont="1" applyFill="1" applyBorder="1"/>
    <xf numFmtId="3" fontId="17" fillId="25" borderId="46" xfId="0" applyNumberFormat="1" applyFont="1" applyFill="1" applyBorder="1"/>
    <xf numFmtId="3" fontId="16" fillId="25" borderId="46" xfId="0" applyNumberFormat="1" applyFont="1" applyFill="1" applyBorder="1"/>
    <xf numFmtId="3" fontId="16" fillId="25" borderId="45" xfId="0" applyNumberFormat="1" applyFont="1" applyFill="1" applyBorder="1"/>
    <xf numFmtId="3" fontId="17" fillId="25" borderId="40" xfId="0" applyNumberFormat="1" applyFont="1" applyFill="1" applyBorder="1"/>
    <xf numFmtId="3" fontId="17" fillId="0" borderId="36" xfId="0" applyNumberFormat="1" applyFont="1" applyBorder="1"/>
    <xf numFmtId="3" fontId="16" fillId="25" borderId="36" xfId="0" applyNumberFormat="1" applyFont="1" applyFill="1" applyBorder="1"/>
    <xf numFmtId="3" fontId="16" fillId="25" borderId="29" xfId="0" applyNumberFormat="1" applyFont="1" applyFill="1" applyBorder="1"/>
    <xf numFmtId="3" fontId="17" fillId="25" borderId="23" xfId="0" applyNumberFormat="1" applyFont="1" applyFill="1" applyBorder="1"/>
    <xf numFmtId="3" fontId="17" fillId="0" borderId="28" xfId="0" applyNumberFormat="1" applyFont="1" applyBorder="1"/>
    <xf numFmtId="3" fontId="16" fillId="25" borderId="28" xfId="0" applyNumberFormat="1" applyFont="1" applyFill="1" applyBorder="1"/>
    <xf numFmtId="3" fontId="16" fillId="25" borderId="11" xfId="0" applyNumberFormat="1" applyFont="1" applyFill="1" applyBorder="1"/>
    <xf numFmtId="3" fontId="17" fillId="25" borderId="15" xfId="0" applyNumberFormat="1" applyFont="1" applyFill="1" applyBorder="1"/>
    <xf numFmtId="3" fontId="17" fillId="26" borderId="12" xfId="0" applyNumberFormat="1" applyFont="1" applyFill="1" applyBorder="1"/>
    <xf numFmtId="3" fontId="17" fillId="0" borderId="12" xfId="0" applyNumberFormat="1" applyFont="1" applyFill="1" applyBorder="1"/>
    <xf numFmtId="3" fontId="17" fillId="0" borderId="16" xfId="0" applyNumberFormat="1" applyFont="1" applyFill="1" applyBorder="1"/>
    <xf numFmtId="3" fontId="17" fillId="25" borderId="37" xfId="0" applyNumberFormat="1" applyFont="1" applyFill="1" applyBorder="1"/>
    <xf numFmtId="3" fontId="16" fillId="25" borderId="37" xfId="0" applyNumberFormat="1" applyFont="1" applyFill="1" applyBorder="1"/>
    <xf numFmtId="3" fontId="16" fillId="25" borderId="38" xfId="0" applyNumberFormat="1" applyFont="1" applyFill="1" applyBorder="1"/>
    <xf numFmtId="3" fontId="17" fillId="26" borderId="50" xfId="0" applyNumberFormat="1" applyFont="1" applyFill="1" applyBorder="1"/>
    <xf numFmtId="3" fontId="17" fillId="26" borderId="51" xfId="0" applyNumberFormat="1" applyFont="1" applyFill="1" applyBorder="1"/>
    <xf numFmtId="3" fontId="17" fillId="0" borderId="50" xfId="0" applyNumberFormat="1" applyFont="1" applyFill="1" applyBorder="1"/>
    <xf numFmtId="3" fontId="17" fillId="0" borderId="30" xfId="0" applyNumberFormat="1" applyFont="1" applyFill="1" applyBorder="1"/>
    <xf numFmtId="0" fontId="15" fillId="0" borderId="0" xfId="53" applyFont="1" applyAlignment="1">
      <alignment horizontal="left" vertical="center"/>
    </xf>
    <xf numFmtId="0" fontId="9" fillId="0" borderId="0" xfId="53" applyAlignment="1">
      <alignment horizontal="center" vertical="center"/>
    </xf>
    <xf numFmtId="0" fontId="10" fillId="0" borderId="0" xfId="53" applyFont="1" applyAlignment="1">
      <alignment horizontal="center" vertical="center"/>
    </xf>
    <xf numFmtId="0" fontId="11" fillId="0" borderId="0" xfId="53" applyFont="1" applyAlignment="1">
      <alignment horizontal="left" vertical="center"/>
    </xf>
    <xf numFmtId="0" fontId="13" fillId="0" borderId="0" xfId="53" applyFont="1" applyAlignment="1">
      <alignment horizontal="center" vertical="center"/>
    </xf>
    <xf numFmtId="0" fontId="11" fillId="0" borderId="0" xfId="53" applyFont="1" applyBorder="1" applyAlignment="1">
      <alignment horizontal="left" vertical="center"/>
    </xf>
    <xf numFmtId="0" fontId="9" fillId="0" borderId="13" xfId="53" applyBorder="1"/>
    <xf numFmtId="0" fontId="16" fillId="24" borderId="11" xfId="53" applyFont="1" applyFill="1" applyBorder="1" applyAlignment="1">
      <alignment horizontal="center" vertical="center"/>
    </xf>
    <xf numFmtId="0" fontId="16" fillId="24" borderId="20" xfId="53" applyFont="1" applyFill="1" applyBorder="1" applyAlignment="1">
      <alignment horizontal="center" vertical="center" wrapText="1"/>
    </xf>
    <xf numFmtId="0" fontId="16" fillId="24" borderId="21" xfId="53" applyFont="1" applyFill="1" applyBorder="1" applyAlignment="1">
      <alignment horizontal="center" vertical="center" wrapText="1"/>
    </xf>
    <xf numFmtId="0" fontId="16" fillId="24" borderId="52" xfId="53" applyFont="1" applyFill="1" applyBorder="1" applyAlignment="1">
      <alignment horizontal="center" vertical="center" wrapText="1"/>
    </xf>
    <xf numFmtId="0" fontId="17" fillId="0" borderId="17" xfId="53" applyFont="1" applyBorder="1" applyAlignment="1">
      <alignment horizontal="left" vertical="center"/>
    </xf>
    <xf numFmtId="0" fontId="17" fillId="0" borderId="11" xfId="53" applyFont="1" applyBorder="1" applyAlignment="1">
      <alignment horizontal="center" vertical="center"/>
    </xf>
    <xf numFmtId="0" fontId="17" fillId="0" borderId="11" xfId="53" quotePrefix="1" applyFont="1" applyBorder="1" applyAlignment="1">
      <alignment horizontal="center" vertical="center" wrapText="1"/>
    </xf>
    <xf numFmtId="0" fontId="16" fillId="0" borderId="18" xfId="53" applyFont="1" applyBorder="1" applyAlignment="1">
      <alignment horizontal="center" vertical="center"/>
    </xf>
    <xf numFmtId="0" fontId="17" fillId="26" borderId="11" xfId="53" applyFont="1" applyFill="1" applyBorder="1" applyAlignment="1">
      <alignment horizontal="right" vertical="center"/>
    </xf>
    <xf numFmtId="0" fontId="17" fillId="28" borderId="15" xfId="53" applyFont="1" applyFill="1" applyBorder="1" applyAlignment="1">
      <alignment horizontal="center" vertical="center"/>
    </xf>
    <xf numFmtId="0" fontId="17" fillId="26" borderId="11" xfId="53" quotePrefix="1" applyFont="1" applyFill="1" applyBorder="1" applyAlignment="1">
      <alignment horizontal="right" vertical="center" wrapText="1"/>
    </xf>
    <xf numFmtId="0" fontId="17" fillId="28" borderId="15" xfId="53" quotePrefix="1" applyFont="1" applyFill="1" applyBorder="1" applyAlignment="1">
      <alignment horizontal="center" vertical="center" wrapText="1"/>
    </xf>
    <xf numFmtId="0" fontId="16" fillId="0" borderId="18" xfId="53" quotePrefix="1" applyFont="1" applyBorder="1" applyAlignment="1">
      <alignment horizontal="center" vertical="center" wrapText="1"/>
    </xf>
    <xf numFmtId="0" fontId="17" fillId="26" borderId="11" xfId="53" applyFont="1" applyFill="1" applyBorder="1" applyAlignment="1">
      <alignment horizontal="right" vertical="center" wrapText="1"/>
    </xf>
    <xf numFmtId="0" fontId="17" fillId="28" borderId="15" xfId="53" applyFont="1" applyFill="1" applyBorder="1" applyAlignment="1">
      <alignment horizontal="center" vertical="center" wrapText="1"/>
    </xf>
    <xf numFmtId="3" fontId="17" fillId="0" borderId="11" xfId="55" quotePrefix="1" applyNumberFormat="1" applyFont="1" applyBorder="1" applyAlignment="1">
      <alignment horizontal="right" vertical="center" wrapText="1"/>
    </xf>
    <xf numFmtId="3" fontId="17" fillId="0" borderId="11" xfId="55" applyNumberFormat="1" applyFont="1" applyBorder="1" applyAlignment="1">
      <alignment horizontal="right" vertical="center"/>
    </xf>
    <xf numFmtId="4" fontId="17" fillId="26" borderId="11" xfId="55" applyNumberFormat="1" applyFont="1" applyFill="1" applyBorder="1" applyAlignment="1">
      <alignment horizontal="right" vertical="center"/>
    </xf>
    <xf numFmtId="4" fontId="17" fillId="28" borderId="15" xfId="55" applyNumberFormat="1" applyFont="1" applyFill="1" applyBorder="1" applyAlignment="1">
      <alignment horizontal="right" vertical="center"/>
    </xf>
    <xf numFmtId="3" fontId="16" fillId="0" borderId="18" xfId="53" applyNumberFormat="1" applyFont="1" applyBorder="1" applyAlignment="1">
      <alignment horizontal="center" vertical="center"/>
    </xf>
    <xf numFmtId="3" fontId="17" fillId="0" borderId="11" xfId="53" quotePrefix="1" applyNumberFormat="1" applyFont="1" applyBorder="1" applyAlignment="1">
      <alignment horizontal="right" vertical="center" wrapText="1"/>
    </xf>
    <xf numFmtId="3" fontId="17" fillId="0" borderId="11" xfId="53" applyNumberFormat="1" applyFont="1" applyBorder="1" applyAlignment="1">
      <alignment horizontal="right" vertical="center"/>
    </xf>
    <xf numFmtId="3" fontId="17" fillId="26" borderId="11" xfId="53" applyNumberFormat="1" applyFont="1" applyFill="1" applyBorder="1" applyAlignment="1">
      <alignment horizontal="right" vertical="center"/>
    </xf>
    <xf numFmtId="3" fontId="17" fillId="28" borderId="15" xfId="53" applyNumberFormat="1" applyFont="1" applyFill="1" applyBorder="1" applyAlignment="1">
      <alignment horizontal="right" vertical="center"/>
    </xf>
    <xf numFmtId="167" fontId="17" fillId="26" borderId="11" xfId="53" applyNumberFormat="1" applyFont="1" applyFill="1" applyBorder="1" applyAlignment="1">
      <alignment horizontal="right" vertical="center" wrapText="1"/>
    </xf>
    <xf numFmtId="166" fontId="17" fillId="26" borderId="11" xfId="53" quotePrefix="1" applyNumberFormat="1" applyFont="1" applyFill="1" applyBorder="1" applyAlignment="1">
      <alignment horizontal="right" vertical="center" wrapText="1"/>
    </xf>
    <xf numFmtId="167" fontId="17" fillId="28" borderId="15" xfId="53" quotePrefix="1" applyNumberFormat="1" applyFont="1" applyFill="1" applyBorder="1" applyAlignment="1">
      <alignment horizontal="right" vertical="center" wrapText="1"/>
    </xf>
    <xf numFmtId="166" fontId="16" fillId="0" borderId="18" xfId="53" applyNumberFormat="1" applyFont="1" applyBorder="1" applyAlignment="1">
      <alignment horizontal="right" vertical="center"/>
    </xf>
    <xf numFmtId="0" fontId="17" fillId="26" borderId="12" xfId="53" applyFont="1" applyFill="1" applyBorder="1" applyAlignment="1">
      <alignment horizontal="right" vertical="center"/>
    </xf>
    <xf numFmtId="0" fontId="17" fillId="26" borderId="12" xfId="53" applyFont="1" applyFill="1" applyBorder="1" applyAlignment="1">
      <alignment horizontal="center" vertical="center"/>
    </xf>
    <xf numFmtId="0" fontId="17" fillId="28" borderId="16" xfId="53" applyFont="1" applyFill="1" applyBorder="1" applyAlignment="1">
      <alignment horizontal="center" vertical="center"/>
    </xf>
    <xf numFmtId="0" fontId="16" fillId="25" borderId="17" xfId="53" applyFont="1" applyFill="1" applyBorder="1" applyAlignment="1">
      <alignment horizontal="left" vertical="center"/>
    </xf>
    <xf numFmtId="0" fontId="17" fillId="25" borderId="11" xfId="53" applyFont="1" applyFill="1" applyBorder="1" applyAlignment="1">
      <alignment horizontal="center" vertical="center"/>
    </xf>
    <xf numFmtId="0" fontId="17" fillId="25" borderId="22" xfId="53" applyFont="1" applyFill="1" applyBorder="1" applyAlignment="1">
      <alignment horizontal="center" vertical="center"/>
    </xf>
    <xf numFmtId="0" fontId="17" fillId="25" borderId="10" xfId="53" applyFont="1" applyFill="1" applyBorder="1" applyAlignment="1">
      <alignment horizontal="center" vertical="center"/>
    </xf>
    <xf numFmtId="0" fontId="17" fillId="25" borderId="14" xfId="53" applyFont="1" applyFill="1" applyBorder="1" applyAlignment="1">
      <alignment horizontal="center" vertical="center"/>
    </xf>
    <xf numFmtId="0" fontId="16" fillId="25" borderId="18" xfId="53" applyFont="1" applyFill="1" applyBorder="1" applyAlignment="1">
      <alignment horizontal="center" vertical="center"/>
    </xf>
    <xf numFmtId="0" fontId="16" fillId="0" borderId="17" xfId="53" applyFont="1" applyBorder="1" applyAlignment="1">
      <alignment horizontal="left" vertical="center"/>
    </xf>
    <xf numFmtId="0" fontId="17" fillId="28" borderId="17" xfId="53" applyFont="1" applyFill="1" applyBorder="1" applyAlignment="1">
      <alignment horizontal="center" vertical="center"/>
    </xf>
    <xf numFmtId="0" fontId="17" fillId="26" borderId="28" xfId="53" applyFont="1" applyFill="1" applyBorder="1" applyAlignment="1">
      <alignment horizontal="center" vertical="center"/>
    </xf>
    <xf numFmtId="0" fontId="17" fillId="26" borderId="11" xfId="53" applyFont="1" applyFill="1" applyBorder="1" applyAlignment="1">
      <alignment horizontal="center" vertical="center"/>
    </xf>
    <xf numFmtId="0" fontId="17" fillId="25" borderId="17" xfId="53" applyFont="1" applyFill="1" applyBorder="1" applyAlignment="1">
      <alignment horizontal="center" vertical="center"/>
    </xf>
    <xf numFmtId="0" fontId="17" fillId="25" borderId="28" xfId="53" applyFont="1" applyFill="1" applyBorder="1" applyAlignment="1">
      <alignment horizontal="center" vertical="center"/>
    </xf>
    <xf numFmtId="0" fontId="17" fillId="25" borderId="18" xfId="53" applyFont="1" applyFill="1" applyBorder="1" applyAlignment="1">
      <alignment horizontal="center" vertical="center"/>
    </xf>
    <xf numFmtId="0" fontId="17" fillId="0" borderId="20" xfId="53" applyFont="1" applyBorder="1" applyAlignment="1">
      <alignment horizontal="center" vertical="center"/>
    </xf>
    <xf numFmtId="0" fontId="17" fillId="26" borderId="0" xfId="53" applyFont="1" applyFill="1" applyBorder="1" applyAlignment="1">
      <alignment horizontal="center" vertical="center"/>
    </xf>
    <xf numFmtId="0" fontId="17" fillId="0" borderId="19" xfId="53" applyFont="1" applyBorder="1" applyAlignment="1">
      <alignment horizontal="left" vertical="center"/>
    </xf>
    <xf numFmtId="0" fontId="17" fillId="0" borderId="12" xfId="53" applyFont="1" applyBorder="1" applyAlignment="1">
      <alignment horizontal="center" vertical="center"/>
    </xf>
    <xf numFmtId="0" fontId="17" fillId="0" borderId="21" xfId="53" applyFont="1" applyBorder="1" applyAlignment="1">
      <alignment horizontal="center" vertical="center"/>
    </xf>
    <xf numFmtId="0" fontId="17" fillId="28" borderId="19" xfId="53" applyFont="1" applyFill="1" applyBorder="1" applyAlignment="1">
      <alignment horizontal="center" vertical="center"/>
    </xf>
    <xf numFmtId="0" fontId="17" fillId="26" borderId="47" xfId="53" applyFont="1" applyFill="1" applyBorder="1" applyAlignment="1">
      <alignment horizontal="center" vertical="center"/>
    </xf>
    <xf numFmtId="0" fontId="16" fillId="0" borderId="52" xfId="53" applyFont="1" applyBorder="1" applyAlignment="1">
      <alignment horizontal="center" vertical="center"/>
    </xf>
    <xf numFmtId="0" fontId="37" fillId="0" borderId="0" xfId="0" applyFont="1"/>
    <xf numFmtId="0" fontId="37" fillId="0" borderId="0" xfId="0" applyFont="1" applyAlignment="1"/>
    <xf numFmtId="0" fontId="36" fillId="0" borderId="0" xfId="0" applyFont="1" applyAlignment="1">
      <alignment vertical="center"/>
    </xf>
    <xf numFmtId="0" fontId="38" fillId="0" borderId="0" xfId="0" applyFont="1" applyAlignment="1"/>
    <xf numFmtId="0" fontId="39" fillId="0" borderId="0" xfId="0" applyFont="1" applyAlignment="1"/>
    <xf numFmtId="0" fontId="39" fillId="0" borderId="0" xfId="0" applyFont="1"/>
    <xf numFmtId="0" fontId="38" fillId="24" borderId="50" xfId="0" applyFont="1" applyFill="1" applyBorder="1" applyAlignment="1">
      <alignment horizontal="center" vertical="center" wrapText="1"/>
    </xf>
    <xf numFmtId="0" fontId="38" fillId="24" borderId="40" xfId="0" applyFont="1" applyFill="1" applyBorder="1" applyAlignment="1">
      <alignment horizontal="center" vertical="center" wrapText="1"/>
    </xf>
    <xf numFmtId="0" fontId="35" fillId="0" borderId="34" xfId="0" applyFont="1" applyBorder="1" applyAlignment="1"/>
    <xf numFmtId="0" fontId="35" fillId="0" borderId="29" xfId="0" applyFont="1" applyBorder="1" applyAlignment="1">
      <alignment horizontal="center"/>
    </xf>
    <xf numFmtId="1" fontId="35" fillId="0" borderId="29" xfId="0" applyNumberFormat="1" applyFont="1" applyBorder="1"/>
    <xf numFmtId="1" fontId="35" fillId="26" borderId="29" xfId="0" applyNumberFormat="1" applyFont="1" applyFill="1" applyBorder="1"/>
    <xf numFmtId="1" fontId="35" fillId="0" borderId="29" xfId="0" applyNumberFormat="1" applyFont="1" applyFill="1" applyBorder="1"/>
    <xf numFmtId="0" fontId="40" fillId="0" borderId="0" xfId="0" applyFont="1"/>
    <xf numFmtId="0" fontId="35" fillId="0" borderId="17" xfId="0" applyFont="1" applyBorder="1" applyAlignment="1"/>
    <xf numFmtId="0" fontId="35" fillId="0" borderId="11" xfId="0" applyFont="1" applyBorder="1" applyAlignment="1">
      <alignment horizontal="center"/>
    </xf>
    <xf numFmtId="1" fontId="35" fillId="0" borderId="11" xfId="0" applyNumberFormat="1" applyFont="1" applyBorder="1"/>
    <xf numFmtId="1" fontId="35" fillId="26" borderId="11" xfId="0" applyNumberFormat="1" applyFont="1" applyFill="1" applyBorder="1"/>
    <xf numFmtId="1" fontId="35" fillId="0" borderId="11" xfId="0" applyNumberFormat="1" applyFont="1" applyFill="1" applyBorder="1"/>
    <xf numFmtId="0" fontId="35" fillId="0" borderId="17" xfId="0" applyFont="1" applyFill="1" applyBorder="1" applyAlignment="1"/>
    <xf numFmtId="1" fontId="41" fillId="0" borderId="11" xfId="0" applyNumberFormat="1" applyFont="1" applyBorder="1"/>
    <xf numFmtId="0" fontId="39" fillId="0" borderId="0" xfId="0" applyFont="1" applyFill="1"/>
    <xf numFmtId="0" fontId="35" fillId="0" borderId="19" xfId="0" applyFont="1" applyFill="1" applyBorder="1"/>
    <xf numFmtId="0" fontId="35" fillId="0" borderId="12" xfId="0" applyFont="1" applyBorder="1"/>
    <xf numFmtId="0" fontId="35" fillId="26" borderId="12" xfId="0" applyFont="1" applyFill="1" applyBorder="1"/>
    <xf numFmtId="0" fontId="35" fillId="0" borderId="12" xfId="0" applyFont="1" applyFill="1" applyBorder="1"/>
    <xf numFmtId="0" fontId="17" fillId="28" borderId="26" xfId="53" applyFont="1" applyFill="1" applyBorder="1" applyAlignment="1">
      <alignment horizontal="center" vertical="center"/>
    </xf>
    <xf numFmtId="0" fontId="17" fillId="28" borderId="23" xfId="53" applyFont="1" applyFill="1" applyBorder="1" applyAlignment="1">
      <alignment horizontal="center" vertical="center"/>
    </xf>
    <xf numFmtId="0" fontId="17" fillId="0" borderId="20" xfId="53" quotePrefix="1" applyFont="1" applyBorder="1" applyAlignment="1">
      <alignment horizontal="center" vertical="center" wrapText="1"/>
    </xf>
    <xf numFmtId="1" fontId="40" fillId="0" borderId="0" xfId="0" applyNumberFormat="1" applyFont="1"/>
    <xf numFmtId="0" fontId="17" fillId="0" borderId="68" xfId="53" applyFont="1" applyBorder="1" applyAlignment="1">
      <alignment horizontal="center" vertical="center"/>
    </xf>
    <xf numFmtId="0" fontId="17" fillId="0" borderId="69" xfId="53" applyFont="1" applyBorder="1" applyAlignment="1">
      <alignment horizontal="center" vertical="center"/>
    </xf>
    <xf numFmtId="0" fontId="17" fillId="0" borderId="17" xfId="53" applyFont="1" applyBorder="1" applyAlignment="1">
      <alignment horizontal="right" vertical="center"/>
    </xf>
    <xf numFmtId="0" fontId="17" fillId="0" borderId="69" xfId="53" quotePrefix="1" applyFont="1" applyBorder="1" applyAlignment="1">
      <alignment horizontal="center" vertical="center" wrapText="1"/>
    </xf>
    <xf numFmtId="0" fontId="17" fillId="0" borderId="17" xfId="53" quotePrefix="1" applyFont="1" applyBorder="1" applyAlignment="1">
      <alignment horizontal="right" vertical="center" wrapText="1"/>
    </xf>
    <xf numFmtId="3" fontId="17" fillId="0" borderId="20" xfId="55" applyNumberFormat="1" applyFont="1" applyBorder="1" applyAlignment="1">
      <alignment horizontal="right" vertical="center"/>
    </xf>
    <xf numFmtId="3" fontId="17" fillId="0" borderId="70" xfId="53" applyNumberFormat="1" applyFont="1" applyBorder="1" applyAlignment="1">
      <alignment horizontal="center" vertical="center"/>
    </xf>
    <xf numFmtId="4" fontId="17" fillId="0" borderId="70" xfId="53" applyNumberFormat="1" applyFont="1" applyBorder="1" applyAlignment="1">
      <alignment horizontal="center" vertical="center"/>
    </xf>
    <xf numFmtId="3" fontId="17" fillId="0" borderId="20" xfId="53" applyNumberFormat="1" applyFont="1" applyBorder="1" applyAlignment="1">
      <alignment horizontal="right" vertical="center"/>
    </xf>
    <xf numFmtId="3" fontId="17" fillId="0" borderId="69" xfId="53" applyNumberFormat="1" applyFont="1" applyBorder="1" applyAlignment="1">
      <alignment horizontal="center" vertical="center"/>
    </xf>
    <xf numFmtId="3" fontId="17" fillId="0" borderId="17" xfId="53" applyNumberFormat="1" applyFont="1" applyBorder="1" applyAlignment="1">
      <alignment horizontal="right" vertical="center"/>
    </xf>
    <xf numFmtId="166" fontId="17" fillId="0" borderId="20" xfId="53" quotePrefix="1" applyNumberFormat="1" applyFont="1" applyBorder="1" applyAlignment="1">
      <alignment horizontal="right" vertical="center" wrapText="1"/>
    </xf>
    <xf numFmtId="166" fontId="17" fillId="0" borderId="69" xfId="53" applyNumberFormat="1" applyFont="1" applyBorder="1" applyAlignment="1">
      <alignment horizontal="right" vertical="center"/>
    </xf>
    <xf numFmtId="167" fontId="17" fillId="0" borderId="69" xfId="53" applyNumberFormat="1" applyFont="1" applyBorder="1" applyAlignment="1">
      <alignment horizontal="right" vertical="center"/>
    </xf>
    <xf numFmtId="166" fontId="17" fillId="0" borderId="17" xfId="53" applyNumberFormat="1" applyFont="1" applyBorder="1" applyAlignment="1">
      <alignment horizontal="right" vertical="center" wrapText="1"/>
    </xf>
    <xf numFmtId="0" fontId="17" fillId="0" borderId="71" xfId="53" applyFont="1" applyBorder="1" applyAlignment="1">
      <alignment horizontal="center" vertical="center"/>
    </xf>
    <xf numFmtId="0" fontId="17" fillId="0" borderId="19" xfId="53" applyFont="1" applyBorder="1" applyAlignment="1">
      <alignment horizontal="center" vertical="center"/>
    </xf>
    <xf numFmtId="0" fontId="17" fillId="26" borderId="25" xfId="53" applyFont="1" applyFill="1" applyBorder="1" applyAlignment="1">
      <alignment horizontal="center" vertical="center"/>
    </xf>
    <xf numFmtId="0" fontId="17" fillId="28" borderId="18" xfId="53" applyFont="1" applyFill="1" applyBorder="1" applyAlignment="1">
      <alignment horizontal="center" vertical="center"/>
    </xf>
    <xf numFmtId="0" fontId="17" fillId="26" borderId="29" xfId="53" applyFont="1" applyFill="1" applyBorder="1" applyAlignment="1">
      <alignment horizontal="center" vertical="center"/>
    </xf>
    <xf numFmtId="0" fontId="9" fillId="0" borderId="0" xfId="53"/>
    <xf numFmtId="0" fontId="46" fillId="0" borderId="0" xfId="53" applyFont="1"/>
    <xf numFmtId="0" fontId="46" fillId="0" borderId="0" xfId="53" applyFont="1" applyAlignment="1">
      <alignment horizontal="center" vertical="center"/>
    </xf>
    <xf numFmtId="0" fontId="47" fillId="0" borderId="0" xfId="53" applyFont="1" applyFill="1" applyAlignment="1">
      <alignment vertical="center"/>
    </xf>
    <xf numFmtId="0" fontId="47" fillId="0" borderId="0" xfId="53" applyFont="1" applyAlignment="1">
      <alignment horizontal="center" vertical="center"/>
    </xf>
    <xf numFmtId="10" fontId="47" fillId="0" borderId="0" xfId="53" applyNumberFormat="1" applyFont="1" applyAlignment="1">
      <alignment horizontal="center" vertical="center"/>
    </xf>
    <xf numFmtId="0" fontId="48" fillId="0" borderId="0" xfId="53" applyFont="1" applyAlignment="1">
      <alignment vertical="center" wrapText="1"/>
    </xf>
    <xf numFmtId="0" fontId="50" fillId="0" borderId="0" xfId="53" applyFont="1" applyAlignment="1">
      <alignment vertical="center"/>
    </xf>
    <xf numFmtId="0" fontId="47" fillId="0" borderId="0" xfId="53" applyFont="1" applyFill="1" applyAlignment="1">
      <alignment horizontal="center" vertical="center"/>
    </xf>
    <xf numFmtId="10" fontId="54" fillId="29" borderId="73" xfId="53" applyNumberFormat="1" applyFont="1" applyFill="1" applyBorder="1" applyAlignment="1">
      <alignment horizontal="center" vertical="center" wrapText="1"/>
    </xf>
    <xf numFmtId="0" fontId="46" fillId="0" borderId="0" xfId="53" applyFont="1" applyFill="1" applyBorder="1" applyAlignment="1">
      <alignment horizontal="center" vertical="center"/>
    </xf>
    <xf numFmtId="0" fontId="53" fillId="0" borderId="0" xfId="53" applyFont="1" applyFill="1" applyBorder="1" applyAlignment="1">
      <alignment horizontal="center" vertical="center"/>
    </xf>
    <xf numFmtId="10" fontId="53" fillId="0" borderId="0" xfId="53" applyNumberFormat="1" applyFont="1" applyFill="1" applyBorder="1" applyAlignment="1">
      <alignment horizontal="center" vertical="center" wrapText="1"/>
    </xf>
    <xf numFmtId="0" fontId="54" fillId="30" borderId="0" xfId="53" applyFont="1" applyFill="1" applyBorder="1" applyAlignment="1">
      <alignment horizontal="center" vertical="center"/>
    </xf>
    <xf numFmtId="0" fontId="52" fillId="30" borderId="0" xfId="53" applyFont="1" applyFill="1" applyBorder="1" applyAlignment="1">
      <alignment horizontal="center" vertical="center"/>
    </xf>
    <xf numFmtId="10" fontId="53" fillId="30" borderId="0" xfId="53" applyNumberFormat="1" applyFont="1" applyFill="1" applyBorder="1" applyAlignment="1">
      <alignment horizontal="center" vertical="center" wrapText="1"/>
    </xf>
    <xf numFmtId="0" fontId="47" fillId="31" borderId="73" xfId="53" applyFont="1" applyFill="1" applyBorder="1" applyAlignment="1">
      <alignment horizontal="left" vertical="center" wrapText="1"/>
    </xf>
    <xf numFmtId="0" fontId="47" fillId="31" borderId="73" xfId="53" applyNumberFormat="1" applyFont="1" applyFill="1" applyBorder="1" applyAlignment="1">
      <alignment horizontal="center" vertical="center"/>
    </xf>
    <xf numFmtId="0" fontId="46" fillId="31" borderId="73" xfId="53" applyNumberFormat="1" applyFont="1" applyFill="1" applyBorder="1" applyAlignment="1">
      <alignment horizontal="center" vertical="center"/>
    </xf>
    <xf numFmtId="173" fontId="46" fillId="32" borderId="73" xfId="53" applyNumberFormat="1" applyFont="1" applyFill="1" applyBorder="1" applyAlignment="1">
      <alignment horizontal="center" vertical="center"/>
    </xf>
    <xf numFmtId="0" fontId="47" fillId="0" borderId="73" xfId="53" applyFont="1" applyBorder="1" applyAlignment="1">
      <alignment horizontal="left" vertical="center" wrapText="1"/>
    </xf>
    <xf numFmtId="0" fontId="47" fillId="0" borderId="73" xfId="53" applyNumberFormat="1" applyFont="1" applyBorder="1" applyAlignment="1">
      <alignment horizontal="center" vertical="center"/>
    </xf>
    <xf numFmtId="0" fontId="47" fillId="0" borderId="73" xfId="58" applyNumberFormat="1" applyFont="1" applyFill="1" applyBorder="1" applyAlignment="1">
      <alignment horizontal="center" vertical="center"/>
    </xf>
    <xf numFmtId="173" fontId="46" fillId="0" borderId="73" xfId="53" applyNumberFormat="1" applyFont="1" applyFill="1" applyBorder="1" applyAlignment="1">
      <alignment horizontal="center" vertical="center"/>
    </xf>
    <xf numFmtId="0" fontId="47" fillId="0" borderId="73" xfId="58" applyNumberFormat="1" applyFont="1" applyBorder="1" applyAlignment="1">
      <alignment horizontal="center" vertical="center"/>
    </xf>
    <xf numFmtId="0" fontId="47" fillId="31" borderId="73" xfId="59" applyNumberFormat="1" applyFont="1" applyFill="1" applyBorder="1" applyAlignment="1" applyProtection="1">
      <alignment horizontal="center" vertical="center"/>
    </xf>
    <xf numFmtId="0" fontId="47" fillId="0" borderId="73" xfId="59" applyNumberFormat="1" applyFont="1" applyFill="1" applyBorder="1" applyAlignment="1" applyProtection="1">
      <alignment horizontal="center" vertical="center"/>
    </xf>
    <xf numFmtId="0" fontId="46" fillId="0" borderId="73" xfId="59" applyNumberFormat="1" applyFont="1" applyFill="1" applyBorder="1" applyAlignment="1" applyProtection="1">
      <alignment horizontal="center" vertical="center"/>
    </xf>
    <xf numFmtId="0" fontId="46" fillId="31" borderId="73" xfId="59" applyNumberFormat="1" applyFont="1" applyFill="1" applyBorder="1" applyAlignment="1" applyProtection="1">
      <alignment horizontal="center" vertical="center"/>
    </xf>
    <xf numFmtId="0" fontId="47" fillId="0" borderId="73" xfId="53" applyFont="1" applyFill="1" applyBorder="1" applyAlignment="1">
      <alignment horizontal="left" vertical="center" wrapText="1"/>
    </xf>
    <xf numFmtId="0" fontId="47" fillId="33" borderId="73" xfId="53" applyFont="1" applyFill="1" applyBorder="1" applyAlignment="1">
      <alignment horizontal="left" vertical="center" wrapText="1"/>
    </xf>
    <xf numFmtId="0" fontId="46" fillId="33" borderId="73" xfId="59" applyNumberFormat="1" applyFont="1" applyFill="1" applyBorder="1" applyAlignment="1" applyProtection="1">
      <alignment horizontal="center" vertical="center"/>
    </xf>
    <xf numFmtId="0" fontId="47" fillId="33" borderId="73" xfId="53" applyNumberFormat="1" applyFont="1" applyFill="1" applyBorder="1" applyAlignment="1">
      <alignment horizontal="center" vertical="center"/>
    </xf>
    <xf numFmtId="0" fontId="47" fillId="33" borderId="73" xfId="59" applyNumberFormat="1" applyFont="1" applyFill="1" applyBorder="1" applyAlignment="1" applyProtection="1">
      <alignment horizontal="center" vertical="center"/>
    </xf>
    <xf numFmtId="0" fontId="47" fillId="0" borderId="0" xfId="53" applyFont="1" applyBorder="1" applyAlignment="1">
      <alignment horizontal="center" vertical="center" wrapText="1"/>
    </xf>
    <xf numFmtId="0" fontId="47" fillId="0" borderId="0" xfId="53" applyNumberFormat="1" applyFont="1" applyBorder="1" applyAlignment="1">
      <alignment horizontal="center" vertical="center"/>
    </xf>
    <xf numFmtId="0" fontId="54" fillId="30" borderId="0" xfId="53" applyFont="1" applyFill="1" applyBorder="1" applyAlignment="1">
      <alignment horizontal="center" vertical="center" wrapText="1"/>
    </xf>
    <xf numFmtId="0" fontId="53" fillId="30" borderId="0" xfId="53" applyNumberFormat="1" applyFont="1" applyFill="1" applyBorder="1" applyAlignment="1">
      <alignment horizontal="center" vertical="center"/>
    </xf>
    <xf numFmtId="0" fontId="53" fillId="30" borderId="0" xfId="53" applyNumberFormat="1" applyFont="1" applyFill="1" applyBorder="1" applyAlignment="1">
      <alignment horizontal="center" vertical="center" wrapText="1"/>
    </xf>
    <xf numFmtId="0" fontId="47" fillId="0" borderId="73" xfId="53" applyNumberFormat="1" applyFont="1" applyFill="1" applyBorder="1" applyAlignment="1">
      <alignment horizontal="center" vertical="center"/>
    </xf>
    <xf numFmtId="0" fontId="47" fillId="0" borderId="0" xfId="53" applyFont="1" applyFill="1" applyBorder="1" applyAlignment="1">
      <alignment horizontal="center" vertical="center" wrapText="1"/>
    </xf>
    <xf numFmtId="0" fontId="47" fillId="0" borderId="0" xfId="53" applyNumberFormat="1" applyFont="1" applyFill="1" applyBorder="1" applyAlignment="1">
      <alignment horizontal="center" vertical="center"/>
    </xf>
    <xf numFmtId="0" fontId="47" fillId="0" borderId="0" xfId="59" applyNumberFormat="1" applyFont="1" applyFill="1" applyBorder="1" applyAlignment="1" applyProtection="1">
      <alignment horizontal="center" vertical="center"/>
    </xf>
    <xf numFmtId="0" fontId="46" fillId="0" borderId="0" xfId="59" applyNumberFormat="1" applyFont="1" applyFill="1" applyBorder="1" applyAlignment="1" applyProtection="1">
      <alignment horizontal="center" vertical="center"/>
    </xf>
    <xf numFmtId="0" fontId="47" fillId="0" borderId="0" xfId="53" applyNumberFormat="1" applyFont="1" applyFill="1" applyAlignment="1">
      <alignment vertical="center"/>
    </xf>
    <xf numFmtId="0" fontId="34" fillId="30" borderId="0" xfId="53" applyFont="1" applyFill="1" applyBorder="1" applyAlignment="1">
      <alignment horizontal="center" vertical="center" wrapText="1"/>
    </xf>
    <xf numFmtId="0" fontId="55" fillId="30" borderId="0" xfId="53" applyNumberFormat="1" applyFont="1" applyFill="1" applyBorder="1" applyAlignment="1">
      <alignment horizontal="center" vertical="center"/>
    </xf>
    <xf numFmtId="0" fontId="56" fillId="30" borderId="0" xfId="59" applyNumberFormat="1" applyFont="1" applyFill="1" applyBorder="1" applyAlignment="1" applyProtection="1">
      <alignment horizontal="center" vertical="center"/>
    </xf>
    <xf numFmtId="0" fontId="47" fillId="0" borderId="0" xfId="53" applyFont="1" applyAlignment="1">
      <alignment horizontal="center" vertical="center" wrapText="1"/>
    </xf>
    <xf numFmtId="0" fontId="47" fillId="0" borderId="0" xfId="53" applyNumberFormat="1" applyFont="1" applyAlignment="1">
      <alignment horizontal="center" vertical="center"/>
    </xf>
    <xf numFmtId="0" fontId="46" fillId="0" borderId="73" xfId="53" applyFont="1" applyFill="1" applyBorder="1" applyAlignment="1">
      <alignment horizontal="left" vertical="center" wrapText="1"/>
    </xf>
    <xf numFmtId="0" fontId="46" fillId="0" borderId="73" xfId="53" applyNumberFormat="1" applyFont="1" applyFill="1" applyBorder="1" applyAlignment="1">
      <alignment horizontal="center" vertical="center"/>
    </xf>
    <xf numFmtId="0" fontId="47" fillId="30" borderId="0" xfId="59" applyNumberFormat="1" applyFont="1" applyFill="1" applyBorder="1" applyAlignment="1" applyProtection="1">
      <alignment horizontal="center" vertical="center"/>
    </xf>
    <xf numFmtId="0" fontId="47" fillId="0" borderId="0" xfId="53" applyFont="1" applyFill="1" applyBorder="1" applyAlignment="1">
      <alignment vertical="center"/>
    </xf>
    <xf numFmtId="0" fontId="9" fillId="0" borderId="0" xfId="53" applyFill="1"/>
    <xf numFmtId="0" fontId="47" fillId="33" borderId="0" xfId="53" applyFont="1" applyFill="1" applyBorder="1" applyAlignment="1">
      <alignment horizontal="center" vertical="center" wrapText="1"/>
    </xf>
    <xf numFmtId="0" fontId="47" fillId="33" borderId="0" xfId="53" applyNumberFormat="1" applyFont="1" applyFill="1" applyBorder="1" applyAlignment="1">
      <alignment horizontal="center" vertical="center"/>
    </xf>
    <xf numFmtId="0" fontId="47" fillId="33" borderId="0" xfId="59" applyNumberFormat="1" applyFont="1" applyFill="1" applyBorder="1" applyAlignment="1" applyProtection="1">
      <alignment horizontal="center" vertical="center"/>
    </xf>
    <xf numFmtId="0" fontId="47" fillId="0" borderId="0" xfId="53" applyFont="1" applyFill="1" applyAlignment="1">
      <alignment horizontal="center" vertical="center" wrapText="1"/>
    </xf>
    <xf numFmtId="0" fontId="47" fillId="0" borderId="0" xfId="53" applyNumberFormat="1" applyFont="1" applyFill="1" applyAlignment="1">
      <alignment horizontal="center" vertical="center"/>
    </xf>
    <xf numFmtId="0" fontId="47" fillId="31" borderId="73" xfId="53" applyFont="1" applyFill="1" applyBorder="1" applyAlignment="1">
      <alignment horizontal="center" vertical="center"/>
    </xf>
    <xf numFmtId="0" fontId="47" fillId="0" borderId="73" xfId="53" applyFont="1" applyFill="1" applyBorder="1" applyAlignment="1">
      <alignment horizontal="center" vertical="center"/>
    </xf>
    <xf numFmtId="0" fontId="47" fillId="33" borderId="0" xfId="53" applyFont="1" applyFill="1" applyBorder="1" applyAlignment="1">
      <alignment vertical="center"/>
    </xf>
    <xf numFmtId="10" fontId="9" fillId="0" borderId="0" xfId="53" applyNumberFormat="1"/>
    <xf numFmtId="10" fontId="9" fillId="0" borderId="0" xfId="53" applyNumberFormat="1" applyAlignment="1">
      <alignment horizontal="center" vertical="center"/>
    </xf>
    <xf numFmtId="0" fontId="36" fillId="0" borderId="0" xfId="0" applyFont="1" applyAlignment="1"/>
    <xf numFmtId="0" fontId="11" fillId="0" borderId="0" xfId="53" applyFont="1" applyAlignment="1">
      <alignment horizontal="center" vertical="center"/>
    </xf>
    <xf numFmtId="0" fontId="16" fillId="24" borderId="12" xfId="53" applyFont="1" applyFill="1" applyBorder="1" applyAlignment="1">
      <alignment horizontal="center" vertical="center" wrapText="1"/>
    </xf>
    <xf numFmtId="1" fontId="16" fillId="24" borderId="65" xfId="54" applyNumberFormat="1" applyFont="1" applyFill="1" applyBorder="1" applyAlignment="1">
      <alignment horizontal="center" vertical="center"/>
    </xf>
    <xf numFmtId="0" fontId="2" fillId="0" borderId="0" xfId="65"/>
    <xf numFmtId="0" fontId="43" fillId="25" borderId="11" xfId="65" applyFont="1" applyFill="1" applyBorder="1" applyAlignment="1">
      <alignment horizontal="center" vertical="center" wrapText="1"/>
    </xf>
    <xf numFmtId="0" fontId="43" fillId="25" borderId="15" xfId="65" applyFont="1" applyFill="1" applyBorder="1" applyAlignment="1">
      <alignment horizontal="center" vertical="center" wrapText="1"/>
    </xf>
    <xf numFmtId="0" fontId="42" fillId="0" borderId="11" xfId="65" applyFont="1" applyFill="1" applyBorder="1"/>
    <xf numFmtId="0" fontId="43" fillId="0" borderId="11" xfId="65" applyFont="1" applyFill="1" applyBorder="1" applyAlignment="1">
      <alignment horizontal="center"/>
    </xf>
    <xf numFmtId="3" fontId="43" fillId="0" borderId="11" xfId="65" applyNumberFormat="1" applyFont="1" applyFill="1" applyBorder="1" applyAlignment="1">
      <alignment horizontal="center"/>
    </xf>
    <xf numFmtId="170" fontId="43" fillId="0" borderId="11" xfId="65" applyNumberFormat="1" applyFont="1" applyFill="1" applyBorder="1" applyAlignment="1">
      <alignment horizontal="center"/>
    </xf>
    <xf numFmtId="168" fontId="43" fillId="0" borderId="0" xfId="65" applyNumberFormat="1" applyFont="1" applyAlignment="1">
      <alignment horizontal="center"/>
    </xf>
    <xf numFmtId="168" fontId="43" fillId="0" borderId="11" xfId="65" applyNumberFormat="1" applyFont="1" applyFill="1" applyBorder="1" applyAlignment="1">
      <alignment horizontal="center"/>
    </xf>
    <xf numFmtId="168" fontId="43" fillId="0" borderId="11" xfId="65" applyNumberFormat="1" applyFont="1" applyBorder="1" applyAlignment="1"/>
    <xf numFmtId="168" fontId="43" fillId="0" borderId="0" xfId="65" applyNumberFormat="1" applyFont="1" applyFill="1" applyBorder="1" applyAlignment="1">
      <alignment horizontal="center"/>
    </xf>
    <xf numFmtId="0" fontId="2" fillId="0" borderId="0" xfId="65" applyBorder="1"/>
    <xf numFmtId="168" fontId="43" fillId="0" borderId="11" xfId="65" applyNumberFormat="1" applyFont="1" applyBorder="1" applyAlignment="1">
      <alignment horizontal="center"/>
    </xf>
    <xf numFmtId="0" fontId="44" fillId="27" borderId="11" xfId="65" applyFont="1" applyFill="1" applyBorder="1"/>
    <xf numFmtId="0" fontId="43" fillId="27" borderId="11" xfId="65" applyFont="1" applyFill="1" applyBorder="1" applyAlignment="1">
      <alignment horizontal="center"/>
    </xf>
    <xf numFmtId="3" fontId="43" fillId="27" borderId="11" xfId="65" applyNumberFormat="1" applyFont="1" applyFill="1" applyBorder="1" applyAlignment="1">
      <alignment horizontal="center"/>
    </xf>
    <xf numFmtId="0" fontId="42" fillId="27" borderId="11" xfId="65" applyFont="1" applyFill="1" applyBorder="1" applyAlignment="1">
      <alignment horizontal="center"/>
    </xf>
    <xf numFmtId="171" fontId="42" fillId="27" borderId="11" xfId="65" applyNumberFormat="1" applyFont="1" applyFill="1" applyBorder="1" applyAlignment="1">
      <alignment horizontal="center"/>
    </xf>
    <xf numFmtId="4" fontId="43" fillId="0" borderId="11" xfId="65" applyNumberFormat="1" applyFont="1" applyFill="1" applyBorder="1" applyAlignment="1">
      <alignment horizontal="center"/>
    </xf>
    <xf numFmtId="172" fontId="43" fillId="0" borderId="11" xfId="65" applyNumberFormat="1" applyFont="1" applyFill="1" applyBorder="1" applyAlignment="1">
      <alignment horizontal="center"/>
    </xf>
    <xf numFmtId="169" fontId="43" fillId="0" borderId="11" xfId="65" applyNumberFormat="1" applyFont="1" applyFill="1" applyBorder="1" applyAlignment="1">
      <alignment horizontal="center"/>
    </xf>
    <xf numFmtId="0" fontId="43" fillId="0" borderId="11" xfId="65" applyNumberFormat="1" applyFont="1" applyFill="1" applyBorder="1" applyAlignment="1">
      <alignment horizontal="center"/>
    </xf>
    <xf numFmtId="1" fontId="43" fillId="0" borderId="11" xfId="65" applyNumberFormat="1" applyFont="1" applyFill="1" applyBorder="1" applyAlignment="1">
      <alignment horizontal="center"/>
    </xf>
    <xf numFmtId="0" fontId="42" fillId="0" borderId="11" xfId="65" applyFont="1" applyFill="1" applyBorder="1" applyAlignment="1">
      <alignment horizontal="center"/>
    </xf>
    <xf numFmtId="3" fontId="42" fillId="0" borderId="11" xfId="65" applyNumberFormat="1" applyFont="1" applyFill="1" applyBorder="1" applyAlignment="1">
      <alignment horizontal="center"/>
    </xf>
    <xf numFmtId="168" fontId="42" fillId="0" borderId="11" xfId="65" applyNumberFormat="1" applyFont="1" applyFill="1" applyBorder="1" applyAlignment="1">
      <alignment horizontal="center"/>
    </xf>
    <xf numFmtId="3" fontId="2" fillId="0" borderId="0" xfId="65" applyNumberFormat="1"/>
    <xf numFmtId="0" fontId="43" fillId="27" borderId="11" xfId="65" applyFont="1" applyFill="1" applyBorder="1"/>
    <xf numFmtId="170" fontId="43" fillId="27" borderId="11" xfId="65" applyNumberFormat="1" applyFont="1" applyFill="1" applyBorder="1" applyAlignment="1">
      <alignment horizontal="center"/>
    </xf>
    <xf numFmtId="168" fontId="43" fillId="27" borderId="11" xfId="65" applyNumberFormat="1" applyFont="1" applyFill="1" applyBorder="1" applyAlignment="1">
      <alignment horizontal="center"/>
    </xf>
    <xf numFmtId="0" fontId="43" fillId="27" borderId="20" xfId="65" applyFont="1" applyFill="1" applyBorder="1" applyAlignment="1">
      <alignment horizontal="center"/>
    </xf>
    <xf numFmtId="0" fontId="42" fillId="0" borderId="11" xfId="65" applyNumberFormat="1" applyFont="1" applyFill="1" applyBorder="1" applyAlignment="1">
      <alignment horizontal="center"/>
    </xf>
    <xf numFmtId="3" fontId="42" fillId="0" borderId="20" xfId="65" applyNumberFormat="1" applyFont="1" applyFill="1" applyBorder="1" applyAlignment="1">
      <alignment horizontal="center"/>
    </xf>
    <xf numFmtId="3" fontId="43" fillId="27" borderId="20" xfId="65" applyNumberFormat="1" applyFont="1" applyFill="1" applyBorder="1" applyAlignment="1">
      <alignment horizontal="center"/>
    </xf>
    <xf numFmtId="3" fontId="43" fillId="0" borderId="20" xfId="65" applyNumberFormat="1" applyFont="1" applyFill="1" applyBorder="1" applyAlignment="1">
      <alignment horizontal="center"/>
    </xf>
    <xf numFmtId="9" fontId="43" fillId="0" borderId="11" xfId="66" applyFont="1" applyFill="1" applyBorder="1" applyAlignment="1">
      <alignment horizontal="center"/>
    </xf>
    <xf numFmtId="9" fontId="43" fillId="0" borderId="11" xfId="66" applyNumberFormat="1" applyFont="1" applyFill="1" applyBorder="1" applyAlignment="1">
      <alignment horizontal="center"/>
    </xf>
    <xf numFmtId="168" fontId="2" fillId="0" borderId="0" xfId="65" applyNumberFormat="1"/>
    <xf numFmtId="0" fontId="11" fillId="0" borderId="4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6" fillId="24" borderId="10" xfId="0" applyFont="1" applyFill="1" applyBorder="1" applyAlignment="1">
      <alignment horizontal="center"/>
    </xf>
    <xf numFmtId="0" fontId="16" fillId="24" borderId="14" xfId="0" applyFont="1" applyFill="1" applyBorder="1" applyAlignment="1">
      <alignment horizontal="center"/>
    </xf>
    <xf numFmtId="0" fontId="11" fillId="0" borderId="31" xfId="0" applyFont="1" applyBorder="1" applyAlignment="1"/>
    <xf numFmtId="0" fontId="11" fillId="0" borderId="0" xfId="0" applyFont="1" applyBorder="1" applyAlignment="1"/>
    <xf numFmtId="0" fontId="16" fillId="24" borderId="22" xfId="0" applyFont="1" applyFill="1" applyBorder="1" applyAlignment="1">
      <alignment horizontal="center" vertical="center"/>
    </xf>
    <xf numFmtId="0" fontId="16" fillId="24" borderId="17" xfId="0" applyFont="1" applyFill="1" applyBorder="1" applyAlignment="1">
      <alignment horizontal="center" vertical="center"/>
    </xf>
    <xf numFmtId="0" fontId="16" fillId="24" borderId="19" xfId="0" applyFont="1" applyFill="1" applyBorder="1" applyAlignment="1">
      <alignment horizontal="center" vertical="center"/>
    </xf>
    <xf numFmtId="0" fontId="16" fillId="24" borderId="10" xfId="0" applyFont="1" applyFill="1" applyBorder="1" applyAlignment="1">
      <alignment horizontal="center" vertical="center" wrapText="1"/>
    </xf>
    <xf numFmtId="0" fontId="16" fillId="24" borderId="11" xfId="0" applyFont="1" applyFill="1" applyBorder="1" applyAlignment="1">
      <alignment horizontal="center" vertical="center" wrapText="1"/>
    </xf>
    <xf numFmtId="0" fontId="16" fillId="24" borderId="12" xfId="0" applyFont="1" applyFill="1" applyBorder="1" applyAlignment="1">
      <alignment horizontal="center" vertical="center" wrapText="1"/>
    </xf>
    <xf numFmtId="1" fontId="16" fillId="24" borderId="20" xfId="32" applyNumberFormat="1" applyFont="1" applyFill="1" applyBorder="1" applyAlignment="1">
      <alignment horizontal="center" vertical="center"/>
    </xf>
    <xf numFmtId="1" fontId="16" fillId="24" borderId="56" xfId="32" applyNumberFormat="1" applyFont="1" applyFill="1" applyBorder="1" applyAlignment="1">
      <alignment horizontal="center" vertical="center"/>
    </xf>
    <xf numFmtId="1" fontId="16" fillId="24" borderId="18" xfId="32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/>
    <xf numFmtId="0" fontId="36" fillId="24" borderId="22" xfId="0" applyFont="1" applyFill="1" applyBorder="1" applyAlignment="1">
      <alignment horizontal="center" vertical="center"/>
    </xf>
    <xf numFmtId="0" fontId="36" fillId="24" borderId="17" xfId="0" applyFont="1" applyFill="1" applyBorder="1" applyAlignment="1">
      <alignment horizontal="center" vertical="center"/>
    </xf>
    <xf numFmtId="0" fontId="36" fillId="24" borderId="19" xfId="0" applyFont="1" applyFill="1" applyBorder="1" applyAlignment="1">
      <alignment horizontal="center" vertical="center"/>
    </xf>
    <xf numFmtId="0" fontId="36" fillId="24" borderId="64" xfId="0" applyFont="1" applyFill="1" applyBorder="1" applyAlignment="1">
      <alignment horizontal="center" vertical="center" wrapText="1"/>
    </xf>
    <xf numFmtId="0" fontId="36" fillId="24" borderId="28" xfId="0" applyFont="1" applyFill="1" applyBorder="1" applyAlignment="1">
      <alignment horizontal="center" vertical="center" wrapText="1"/>
    </xf>
    <xf numFmtId="0" fontId="36" fillId="24" borderId="47" xfId="0" applyFont="1" applyFill="1" applyBorder="1" applyAlignment="1">
      <alignment horizontal="center" vertical="center" wrapText="1"/>
    </xf>
    <xf numFmtId="0" fontId="38" fillId="24" borderId="41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6" fillId="24" borderId="43" xfId="32" quotePrefix="1" applyNumberFormat="1" applyFont="1" applyFill="1" applyBorder="1" applyAlignment="1">
      <alignment horizontal="center" vertical="center"/>
    </xf>
    <xf numFmtId="0" fontId="16" fillId="0" borderId="58" xfId="53" applyFont="1" applyBorder="1" applyAlignment="1">
      <alignment horizontal="center" vertical="center" wrapText="1"/>
    </xf>
    <xf numFmtId="0" fontId="16" fillId="0" borderId="56" xfId="53" applyFont="1" applyBorder="1" applyAlignment="1">
      <alignment horizontal="center" vertical="center" wrapText="1"/>
    </xf>
    <xf numFmtId="0" fontId="16" fillId="0" borderId="0" xfId="53" applyFont="1" applyBorder="1" applyAlignment="1">
      <alignment horizontal="center" vertical="center" wrapText="1"/>
    </xf>
    <xf numFmtId="0" fontId="16" fillId="0" borderId="18" xfId="53" applyFont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16" fillId="24" borderId="22" xfId="53" applyFont="1" applyFill="1" applyBorder="1" applyAlignment="1">
      <alignment horizontal="center" vertical="center" wrapText="1"/>
    </xf>
    <xf numFmtId="0" fontId="16" fillId="24" borderId="17" xfId="53" applyFont="1" applyFill="1" applyBorder="1" applyAlignment="1">
      <alignment horizontal="center" vertical="center" wrapText="1"/>
    </xf>
    <xf numFmtId="0" fontId="16" fillId="24" borderId="19" xfId="53" applyFont="1" applyFill="1" applyBorder="1" applyAlignment="1">
      <alignment horizontal="center" vertical="center" wrapText="1"/>
    </xf>
    <xf numFmtId="0" fontId="16" fillId="24" borderId="10" xfId="53" applyFont="1" applyFill="1" applyBorder="1" applyAlignment="1">
      <alignment horizontal="center" vertical="center" wrapText="1"/>
    </xf>
    <xf numFmtId="0" fontId="16" fillId="24" borderId="11" xfId="53" applyFont="1" applyFill="1" applyBorder="1" applyAlignment="1">
      <alignment horizontal="center" vertical="center" wrapText="1"/>
    </xf>
    <xf numFmtId="0" fontId="16" fillId="24" borderId="12" xfId="53" applyFont="1" applyFill="1" applyBorder="1" applyAlignment="1">
      <alignment horizontal="center" vertical="center" wrapText="1"/>
    </xf>
    <xf numFmtId="1" fontId="16" fillId="24" borderId="37" xfId="54" applyNumberFormat="1" applyFont="1" applyFill="1" applyBorder="1" applyAlignment="1">
      <alignment horizontal="center" vertical="center"/>
    </xf>
    <xf numFmtId="1" fontId="16" fillId="24" borderId="38" xfId="54" applyNumberFormat="1" applyFont="1" applyFill="1" applyBorder="1" applyAlignment="1">
      <alignment horizontal="center" vertical="center"/>
    </xf>
    <xf numFmtId="0" fontId="43" fillId="25" borderId="17" xfId="65" applyFont="1" applyFill="1" applyBorder="1" applyAlignment="1">
      <alignment horizontal="center" vertical="center" wrapText="1"/>
    </xf>
    <xf numFmtId="0" fontId="43" fillId="25" borderId="17" xfId="65" applyFont="1" applyFill="1" applyBorder="1" applyAlignment="1">
      <alignment wrapText="1"/>
    </xf>
    <xf numFmtId="0" fontId="43" fillId="25" borderId="19" xfId="65" applyFont="1" applyFill="1" applyBorder="1" applyAlignment="1">
      <alignment wrapText="1"/>
    </xf>
    <xf numFmtId="0" fontId="42" fillId="25" borderId="25" xfId="65" applyFont="1" applyFill="1" applyBorder="1" applyAlignment="1">
      <alignment horizontal="center" vertical="center"/>
    </xf>
    <xf numFmtId="0" fontId="42" fillId="25" borderId="29" xfId="65" applyFont="1" applyFill="1" applyBorder="1" applyAlignment="1">
      <alignment horizontal="center" vertical="center"/>
    </xf>
    <xf numFmtId="0" fontId="42" fillId="25" borderId="27" xfId="65" applyFont="1" applyFill="1" applyBorder="1" applyAlignment="1">
      <alignment horizontal="center" vertical="center"/>
    </xf>
    <xf numFmtId="0" fontId="42" fillId="25" borderId="63" xfId="65" applyFont="1" applyFill="1" applyBorder="1" applyAlignment="1">
      <alignment horizontal="center" vertical="center"/>
    </xf>
    <xf numFmtId="0" fontId="42" fillId="25" borderId="35" xfId="65" applyFont="1" applyFill="1" applyBorder="1" applyAlignment="1">
      <alignment horizontal="center" vertical="center"/>
    </xf>
    <xf numFmtId="0" fontId="42" fillId="25" borderId="61" xfId="65" applyFont="1" applyFill="1" applyBorder="1" applyAlignment="1">
      <alignment horizontal="center" vertical="center"/>
    </xf>
    <xf numFmtId="0" fontId="42" fillId="25" borderId="11" xfId="65" applyFont="1" applyFill="1" applyBorder="1" applyAlignment="1">
      <alignment horizontal="center" vertical="center"/>
    </xf>
    <xf numFmtId="0" fontId="42" fillId="25" borderId="17" xfId="65" applyFont="1" applyFill="1" applyBorder="1" applyAlignment="1">
      <alignment horizontal="center" vertical="center" wrapText="1"/>
    </xf>
    <xf numFmtId="0" fontId="42" fillId="25" borderId="17" xfId="65" applyFont="1" applyFill="1" applyBorder="1" applyAlignment="1"/>
    <xf numFmtId="0" fontId="42" fillId="25" borderId="11" xfId="65" applyFont="1" applyFill="1" applyBorder="1" applyAlignment="1"/>
    <xf numFmtId="0" fontId="42" fillId="25" borderId="11" xfId="65" applyFont="1" applyFill="1" applyBorder="1" applyAlignment="1">
      <alignment horizontal="left" vertical="center"/>
    </xf>
    <xf numFmtId="0" fontId="42" fillId="25" borderId="11" xfId="65" applyFont="1" applyFill="1" applyBorder="1" applyAlignment="1">
      <alignment wrapText="1"/>
    </xf>
    <xf numFmtId="0" fontId="42" fillId="25" borderId="17" xfId="65" applyFont="1" applyFill="1" applyBorder="1" applyAlignment="1">
      <alignment wrapText="1"/>
    </xf>
    <xf numFmtId="0" fontId="43" fillId="25" borderId="29" xfId="65" applyFont="1" applyFill="1" applyBorder="1" applyAlignment="1">
      <alignment horizontal="center" vertical="center" wrapText="1"/>
    </xf>
    <xf numFmtId="0" fontId="43" fillId="25" borderId="11" xfId="65" applyFont="1" applyFill="1" applyBorder="1" applyAlignment="1"/>
    <xf numFmtId="0" fontId="43" fillId="25" borderId="11" xfId="65" applyFont="1" applyFill="1" applyBorder="1" applyAlignment="1">
      <alignment wrapText="1"/>
    </xf>
    <xf numFmtId="0" fontId="49" fillId="0" borderId="0" xfId="53" applyFont="1" applyBorder="1" applyAlignment="1">
      <alignment horizontal="center" vertical="center" wrapText="1"/>
    </xf>
    <xf numFmtId="0" fontId="50" fillId="0" borderId="0" xfId="53" applyFont="1" applyBorder="1" applyAlignment="1">
      <alignment horizontal="center" vertical="center" wrapText="1"/>
    </xf>
    <xf numFmtId="0" fontId="50" fillId="29" borderId="73" xfId="53" applyFont="1" applyFill="1" applyBorder="1" applyAlignment="1">
      <alignment horizontal="center" vertical="center" wrapText="1"/>
    </xf>
    <xf numFmtId="10" fontId="52" fillId="29" borderId="73" xfId="53" applyNumberFormat="1" applyFont="1" applyFill="1" applyBorder="1" applyAlignment="1">
      <alignment horizontal="center" vertical="center" wrapText="1"/>
    </xf>
    <xf numFmtId="10" fontId="53" fillId="29" borderId="73" xfId="53" applyNumberFormat="1" applyFont="1" applyFill="1" applyBorder="1" applyAlignment="1">
      <alignment horizontal="center" vertical="center" wrapText="1"/>
    </xf>
    <xf numFmtId="0" fontId="1" fillId="0" borderId="0" xfId="67"/>
    <xf numFmtId="1" fontId="16" fillId="24" borderId="72" xfId="54" applyNumberFormat="1" applyFont="1" applyFill="1" applyBorder="1" applyAlignment="1">
      <alignment horizontal="center" vertical="center"/>
    </xf>
    <xf numFmtId="1" fontId="16" fillId="24" borderId="67" xfId="54" applyNumberFormat="1" applyFont="1" applyFill="1" applyBorder="1" applyAlignment="1">
      <alignment horizontal="center" vertical="center"/>
    </xf>
    <xf numFmtId="1" fontId="16" fillId="24" borderId="13" xfId="54" applyNumberFormat="1" applyFont="1" applyFill="1" applyBorder="1" applyAlignment="1">
      <alignment horizontal="center" vertical="center"/>
    </xf>
    <xf numFmtId="1" fontId="16" fillId="24" borderId="59" xfId="54" applyNumberFormat="1" applyFont="1" applyFill="1" applyBorder="1" applyAlignment="1">
      <alignment horizontal="center" vertical="center"/>
    </xf>
    <xf numFmtId="0" fontId="16" fillId="24" borderId="74" xfId="53" applyFont="1" applyFill="1" applyBorder="1" applyAlignment="1">
      <alignment horizontal="center" vertical="center" wrapText="1"/>
    </xf>
    <xf numFmtId="0" fontId="16" fillId="24" borderId="44" xfId="53" applyFont="1" applyFill="1" applyBorder="1" applyAlignment="1">
      <alignment horizontal="center" vertical="center" wrapText="1"/>
    </xf>
    <xf numFmtId="0" fontId="16" fillId="24" borderId="45" xfId="53" applyFont="1" applyFill="1" applyBorder="1" applyAlignment="1">
      <alignment horizontal="center" vertical="center" wrapText="1"/>
    </xf>
    <xf numFmtId="0" fontId="16" fillId="24" borderId="40" xfId="53" applyFont="1" applyFill="1" applyBorder="1" applyAlignment="1">
      <alignment horizontal="center" vertical="center" wrapText="1"/>
    </xf>
    <xf numFmtId="0" fontId="16" fillId="0" borderId="57" xfId="53" applyFont="1" applyBorder="1" applyAlignment="1">
      <alignment horizontal="center" vertical="center" wrapText="1"/>
    </xf>
    <xf numFmtId="0" fontId="16" fillId="0" borderId="60" xfId="53" applyFont="1" applyBorder="1" applyAlignment="1">
      <alignment horizontal="center" vertical="center" wrapText="1"/>
    </xf>
    <xf numFmtId="0" fontId="16" fillId="0" borderId="62" xfId="53" applyFont="1" applyBorder="1" applyAlignment="1">
      <alignment horizontal="center" vertical="center" wrapText="1"/>
    </xf>
    <xf numFmtId="0" fontId="17" fillId="0" borderId="11" xfId="53" applyFont="1" applyBorder="1" applyAlignment="1">
      <alignment horizontal="center" vertical="center" wrapText="1"/>
    </xf>
    <xf numFmtId="0" fontId="17" fillId="0" borderId="20" xfId="53" applyFont="1" applyBorder="1" applyAlignment="1">
      <alignment horizontal="center" vertical="center" wrapText="1"/>
    </xf>
    <xf numFmtId="0" fontId="17" fillId="0" borderId="22" xfId="53" quotePrefix="1" applyFont="1" applyBorder="1" applyAlignment="1">
      <alignment horizontal="right" vertical="center" wrapText="1"/>
    </xf>
    <xf numFmtId="0" fontId="17" fillId="26" borderId="10" xfId="53" quotePrefix="1" applyFont="1" applyFill="1" applyBorder="1" applyAlignment="1">
      <alignment horizontal="right" vertical="center" wrapText="1"/>
    </xf>
    <xf numFmtId="0" fontId="17" fillId="28" borderId="14" xfId="53" quotePrefix="1" applyFont="1" applyFill="1" applyBorder="1" applyAlignment="1">
      <alignment horizontal="center" vertical="center" wrapText="1"/>
    </xf>
    <xf numFmtId="4" fontId="17" fillId="0" borderId="17" xfId="55" applyNumberFormat="1" applyFont="1" applyBorder="1" applyAlignment="1">
      <alignment horizontal="right" vertical="center"/>
    </xf>
    <xf numFmtId="0" fontId="17" fillId="25" borderId="61" xfId="53" applyFont="1" applyFill="1" applyBorder="1" applyAlignment="1">
      <alignment horizontal="center" vertical="center"/>
    </xf>
    <xf numFmtId="0" fontId="17" fillId="25" borderId="56" xfId="53" applyFont="1" applyFill="1" applyBorder="1" applyAlignment="1">
      <alignment horizontal="center" vertical="center"/>
    </xf>
    <xf numFmtId="0" fontId="57" fillId="0" borderId="0" xfId="53" applyFont="1" applyAlignment="1">
      <alignment horizontal="center"/>
    </xf>
    <xf numFmtId="0" fontId="57" fillId="30" borderId="0" xfId="53" applyFont="1" applyFill="1" applyAlignment="1">
      <alignment horizontal="center"/>
    </xf>
    <xf numFmtId="1" fontId="58" fillId="0" borderId="73" xfId="53" applyNumberFormat="1" applyFont="1" applyFill="1" applyBorder="1" applyAlignment="1">
      <alignment horizontal="center"/>
    </xf>
    <xf numFmtId="0" fontId="59" fillId="0" borderId="0" xfId="53" applyFont="1" applyFill="1" applyAlignment="1">
      <alignment horizontal="center" vertical="center"/>
    </xf>
    <xf numFmtId="1" fontId="58" fillId="0" borderId="73" xfId="53" applyNumberFormat="1" applyFont="1" applyFill="1" applyBorder="1" applyAlignment="1">
      <alignment horizontal="center" vertical="center"/>
    </xf>
    <xf numFmtId="0" fontId="60" fillId="0" borderId="75" xfId="53" applyFont="1" applyBorder="1" applyAlignment="1">
      <alignment vertical="center" wrapText="1"/>
    </xf>
    <xf numFmtId="0" fontId="60" fillId="0" borderId="76" xfId="53" applyFont="1" applyBorder="1" applyAlignment="1">
      <alignment vertical="center" wrapText="1"/>
    </xf>
    <xf numFmtId="0" fontId="60" fillId="0" borderId="77" xfId="53" applyFont="1" applyBorder="1" applyAlignment="1">
      <alignment horizontal="left" vertical="center" wrapText="1"/>
    </xf>
    <xf numFmtId="174" fontId="60" fillId="0" borderId="78" xfId="53" applyNumberFormat="1" applyFont="1" applyBorder="1" applyAlignment="1">
      <alignment horizontal="center" vertical="center" wrapText="1"/>
    </xf>
    <xf numFmtId="0" fontId="61" fillId="0" borderId="0" xfId="53" applyFont="1" applyAlignment="1">
      <alignment horizontal="center"/>
    </xf>
  </cellXfs>
  <cellStyles count="6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2695575</xdr:colOff>
      <xdr:row>5</xdr:row>
      <xdr:rowOff>85725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76525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16" zoomScaleNormal="75" zoomScaleSheetLayoutView="100" workbookViewId="0">
      <selection activeCell="I47" sqref="I47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46" t="s">
        <v>89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8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51" t="s">
        <v>150</v>
      </c>
      <c r="B3" s="352"/>
      <c r="C3" s="352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236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53" t="s">
        <v>3</v>
      </c>
      <c r="B9" s="356" t="s">
        <v>0</v>
      </c>
      <c r="C9" s="356" t="s">
        <v>1</v>
      </c>
      <c r="D9" s="75"/>
      <c r="E9" s="75"/>
      <c r="F9" s="349"/>
      <c r="G9" s="349"/>
      <c r="H9" s="349"/>
      <c r="I9" s="349"/>
      <c r="J9" s="349"/>
      <c r="K9" s="350"/>
      <c r="L9" s="79"/>
      <c r="M9" s="4"/>
      <c r="N9" s="4"/>
      <c r="O9" s="73"/>
    </row>
    <row r="10" spans="1:15" x14ac:dyDescent="0.2">
      <c r="A10" s="354"/>
      <c r="B10" s="357"/>
      <c r="C10" s="357"/>
      <c r="D10" s="76"/>
      <c r="E10" s="76">
        <v>2006</v>
      </c>
      <c r="F10" s="3">
        <v>2016</v>
      </c>
      <c r="G10" s="3">
        <v>2017</v>
      </c>
      <c r="H10" s="359">
        <v>2017</v>
      </c>
      <c r="I10" s="360"/>
      <c r="J10" s="360"/>
      <c r="K10" s="361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55"/>
      <c r="B11" s="358"/>
      <c r="C11" s="358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0</v>
      </c>
      <c r="G13" s="102">
        <v>0</v>
      </c>
      <c r="H13" s="102">
        <v>0</v>
      </c>
      <c r="I13" s="56">
        <v>0</v>
      </c>
      <c r="J13" s="57"/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269</v>
      </c>
      <c r="G14" s="102">
        <v>280</v>
      </c>
      <c r="H14" s="104">
        <v>60</v>
      </c>
      <c r="I14" s="103">
        <v>65</v>
      </c>
      <c r="J14" s="105"/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833</v>
      </c>
      <c r="G15" s="102">
        <v>850</v>
      </c>
      <c r="H15" s="104">
        <v>205</v>
      </c>
      <c r="I15" s="103">
        <v>122</v>
      </c>
      <c r="J15" s="105"/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105</v>
      </c>
      <c r="G16" s="102">
        <v>100</v>
      </c>
      <c r="H16" s="104">
        <v>15</v>
      </c>
      <c r="I16" s="103">
        <v>12</v>
      </c>
      <c r="J16" s="105"/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155</v>
      </c>
      <c r="G17" s="102">
        <v>160</v>
      </c>
      <c r="H17" s="104">
        <v>27</v>
      </c>
      <c r="I17" s="103">
        <v>21</v>
      </c>
      <c r="J17" s="105"/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913</v>
      </c>
      <c r="G18" s="102">
        <v>950</v>
      </c>
      <c r="H18" s="104">
        <v>235</v>
      </c>
      <c r="I18" s="103">
        <v>212</v>
      </c>
      <c r="J18" s="105"/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72</v>
      </c>
      <c r="G19" s="102">
        <v>85</v>
      </c>
      <c r="H19" s="104">
        <v>21</v>
      </c>
      <c r="I19" s="103">
        <v>16</v>
      </c>
      <c r="J19" s="105"/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31</v>
      </c>
      <c r="G20" s="102">
        <v>30</v>
      </c>
      <c r="H20" s="106">
        <v>9</v>
      </c>
      <c r="I20" s="60">
        <v>11</v>
      </c>
      <c r="J20" s="61"/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25</v>
      </c>
      <c r="G21" s="102">
        <v>30</v>
      </c>
      <c r="H21" s="104">
        <v>17</v>
      </c>
      <c r="I21" s="103">
        <v>2</v>
      </c>
      <c r="J21" s="105"/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435</v>
      </c>
      <c r="G22" s="102">
        <v>700</v>
      </c>
      <c r="H22" s="104">
        <v>194</v>
      </c>
      <c r="I22" s="103">
        <v>88</v>
      </c>
      <c r="J22" s="105"/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217</v>
      </c>
      <c r="G23" s="102">
        <v>200</v>
      </c>
      <c r="H23" s="106">
        <v>45</v>
      </c>
      <c r="I23" s="60">
        <v>41</v>
      </c>
      <c r="J23" s="61"/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9740</v>
      </c>
      <c r="G36" s="102">
        <v>10714</v>
      </c>
      <c r="H36" s="103">
        <v>2678</v>
      </c>
      <c r="I36" s="103">
        <v>2812</v>
      </c>
      <c r="J36" s="105"/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1075</v>
      </c>
      <c r="G37" s="102">
        <v>1182</v>
      </c>
      <c r="H37" s="103">
        <v>295</v>
      </c>
      <c r="I37" s="103">
        <v>302</v>
      </c>
      <c r="J37" s="105"/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1080</v>
      </c>
      <c r="G38" s="102">
        <v>1188</v>
      </c>
      <c r="H38" s="103">
        <v>297</v>
      </c>
      <c r="I38" s="103">
        <v>311</v>
      </c>
      <c r="J38" s="105"/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2100</v>
      </c>
      <c r="G39" s="102">
        <v>2310</v>
      </c>
      <c r="H39" s="103">
        <v>577</v>
      </c>
      <c r="I39" s="103">
        <v>605</v>
      </c>
      <c r="J39" s="105"/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305</v>
      </c>
      <c r="G40" s="102">
        <v>335</v>
      </c>
      <c r="H40" s="103">
        <v>84</v>
      </c>
      <c r="I40" s="120">
        <v>96</v>
      </c>
      <c r="J40" s="121"/>
      <c r="K40" s="122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3"/>
      <c r="G41" s="109"/>
      <c r="H41" s="124"/>
      <c r="I41" s="124"/>
      <c r="J41" s="124"/>
      <c r="K41" s="125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18552</v>
      </c>
      <c r="G42" s="102">
        <v>25064</v>
      </c>
      <c r="H42" s="55">
        <v>4110</v>
      </c>
      <c r="I42" s="56">
        <v>4816</v>
      </c>
      <c r="J42" s="57"/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19325</v>
      </c>
      <c r="G43" s="106">
        <v>27787</v>
      </c>
      <c r="H43" s="59">
        <v>4859</v>
      </c>
      <c r="I43" s="60">
        <v>5263</v>
      </c>
      <c r="J43" s="61"/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3"/>
      <c r="G44" s="109"/>
      <c r="H44" s="124"/>
      <c r="I44" s="124"/>
      <c r="J44" s="124"/>
      <c r="K44" s="125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773</v>
      </c>
      <c r="G45" s="102">
        <v>1000</v>
      </c>
      <c r="H45" s="102">
        <v>250</v>
      </c>
      <c r="I45" s="56">
        <v>465</v>
      </c>
      <c r="J45" s="57"/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6">
        <v>1520</v>
      </c>
      <c r="G46" s="102">
        <v>3000</v>
      </c>
      <c r="H46" s="127">
        <v>700</v>
      </c>
      <c r="I46" s="126">
        <v>700</v>
      </c>
      <c r="J46" s="128"/>
      <c r="K46" s="129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12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75" zoomScaleNormal="75" zoomScaleSheetLayoutView="85" workbookViewId="0">
      <selection activeCell="A21" sqref="A21"/>
    </sheetView>
  </sheetViews>
  <sheetFormatPr baseColWidth="10" defaultRowHeight="12.75" x14ac:dyDescent="0.2"/>
  <cols>
    <col min="1" max="1" width="76.7109375" style="194" bestFit="1" customWidth="1"/>
    <col min="2" max="2" width="17" style="194" customWidth="1"/>
    <col min="3" max="3" width="13.5703125" style="194" customWidth="1"/>
    <col min="4" max="4" width="14.7109375" style="194" customWidth="1"/>
    <col min="5" max="5" width="13.5703125" style="194" customWidth="1"/>
    <col min="6" max="6" width="13.140625" style="194" customWidth="1"/>
    <col min="7" max="7" width="14" style="194" customWidth="1"/>
    <col min="8" max="8" width="14.28515625" style="194" customWidth="1"/>
    <col min="9" max="16384" width="11.42578125" style="194"/>
  </cols>
  <sheetData>
    <row r="1" spans="1:10" s="189" customFormat="1" ht="15.75" x14ac:dyDescent="0.25">
      <c r="A1" s="362" t="s">
        <v>89</v>
      </c>
      <c r="B1" s="362"/>
      <c r="C1" s="362"/>
      <c r="D1" s="362"/>
      <c r="E1" s="362"/>
      <c r="F1" s="362"/>
      <c r="G1" s="362"/>
    </row>
    <row r="2" spans="1:10" s="189" customFormat="1" ht="15" customHeight="1" x14ac:dyDescent="0.25">
      <c r="A2" s="304"/>
      <c r="B2" s="304"/>
      <c r="C2" s="190"/>
    </row>
    <row r="3" spans="1:10" s="189" customFormat="1" ht="15" customHeight="1" x14ac:dyDescent="0.25">
      <c r="A3" s="363" t="s">
        <v>77</v>
      </c>
      <c r="B3" s="363"/>
      <c r="C3" s="363"/>
    </row>
    <row r="4" spans="1:10" s="189" customFormat="1" ht="15" customHeight="1" x14ac:dyDescent="0.25">
      <c r="A4" s="191" t="s">
        <v>54</v>
      </c>
      <c r="B4" s="304"/>
      <c r="C4" s="190"/>
    </row>
    <row r="5" spans="1:10" s="189" customFormat="1" ht="15" customHeight="1" x14ac:dyDescent="0.25">
      <c r="A5" s="191" t="s">
        <v>147</v>
      </c>
      <c r="B5" s="304"/>
      <c r="C5" s="190"/>
    </row>
    <row r="6" spans="1:10" s="189" customFormat="1" ht="15" customHeight="1" x14ac:dyDescent="0.25">
      <c r="A6" s="191"/>
      <c r="B6" s="304"/>
      <c r="C6" s="190"/>
    </row>
    <row r="7" spans="1:10" s="189" customFormat="1" ht="15" customHeight="1" x14ac:dyDescent="0.25">
      <c r="A7" s="191" t="s">
        <v>4</v>
      </c>
      <c r="B7" s="304"/>
      <c r="C7" s="190"/>
    </row>
    <row r="8" spans="1:10" ht="15" customHeight="1" thickBot="1" x14ac:dyDescent="0.25">
      <c r="A8" s="191"/>
      <c r="B8" s="192"/>
      <c r="C8" s="193"/>
    </row>
    <row r="9" spans="1:10" ht="13.5" thickBot="1" x14ac:dyDescent="0.25">
      <c r="A9" s="364" t="s">
        <v>3</v>
      </c>
      <c r="B9" s="367" t="s">
        <v>0</v>
      </c>
      <c r="C9" s="370" t="s">
        <v>1</v>
      </c>
      <c r="D9" s="373"/>
      <c r="E9" s="373"/>
      <c r="F9" s="373"/>
      <c r="G9" s="373"/>
      <c r="H9" s="374"/>
    </row>
    <row r="10" spans="1:10" ht="16.5" thickBot="1" x14ac:dyDescent="0.25">
      <c r="A10" s="365"/>
      <c r="B10" s="368"/>
      <c r="C10" s="371"/>
      <c r="D10" s="375" t="s">
        <v>153</v>
      </c>
      <c r="E10" s="373"/>
      <c r="F10" s="373"/>
      <c r="G10" s="373"/>
      <c r="H10" s="374"/>
    </row>
    <row r="11" spans="1:10" ht="26.25" thickBot="1" x14ac:dyDescent="0.25">
      <c r="A11" s="366"/>
      <c r="B11" s="369"/>
      <c r="C11" s="372"/>
      <c r="D11" s="195" t="s">
        <v>2</v>
      </c>
      <c r="E11" s="195" t="s">
        <v>83</v>
      </c>
      <c r="F11" s="195" t="s">
        <v>86</v>
      </c>
      <c r="G11" s="195" t="s">
        <v>88</v>
      </c>
      <c r="H11" s="196" t="s">
        <v>90</v>
      </c>
    </row>
    <row r="12" spans="1:10" s="202" customFormat="1" ht="24.95" customHeight="1" x14ac:dyDescent="0.2">
      <c r="A12" s="197" t="s">
        <v>80</v>
      </c>
      <c r="B12" s="198" t="s">
        <v>5</v>
      </c>
      <c r="C12" s="198" t="s">
        <v>78</v>
      </c>
      <c r="D12" s="199">
        <v>1625.8000000000002</v>
      </c>
      <c r="E12" s="199">
        <v>353</v>
      </c>
      <c r="F12" s="199">
        <v>425</v>
      </c>
      <c r="G12" s="200">
        <v>0</v>
      </c>
      <c r="H12" s="201">
        <v>0</v>
      </c>
      <c r="I12" s="218" t="s">
        <v>149</v>
      </c>
    </row>
    <row r="13" spans="1:10" s="202" customFormat="1" ht="24.95" customHeight="1" x14ac:dyDescent="0.2">
      <c r="A13" s="203" t="s">
        <v>79</v>
      </c>
      <c r="B13" s="204" t="s">
        <v>5</v>
      </c>
      <c r="C13" s="204" t="s">
        <v>78</v>
      </c>
      <c r="D13" s="199">
        <v>748.00000000000011</v>
      </c>
      <c r="E13" s="205">
        <v>151</v>
      </c>
      <c r="F13" s="205">
        <v>375</v>
      </c>
      <c r="G13" s="206">
        <v>0</v>
      </c>
      <c r="H13" s="207">
        <v>0</v>
      </c>
      <c r="I13" s="218" t="s">
        <v>149</v>
      </c>
    </row>
    <row r="14" spans="1:10" s="202" customFormat="1" ht="24.95" customHeight="1" x14ac:dyDescent="0.2">
      <c r="A14" s="203" t="s">
        <v>81</v>
      </c>
      <c r="B14" s="204" t="s">
        <v>5</v>
      </c>
      <c r="C14" s="204" t="s">
        <v>78</v>
      </c>
      <c r="D14" s="199">
        <v>160.60000000000002</v>
      </c>
      <c r="E14" s="205">
        <v>25</v>
      </c>
      <c r="F14" s="205">
        <v>35</v>
      </c>
      <c r="G14" s="206">
        <v>0</v>
      </c>
      <c r="H14" s="207">
        <v>0</v>
      </c>
      <c r="I14" s="218" t="s">
        <v>149</v>
      </c>
    </row>
    <row r="15" spans="1:10" ht="24.95" customHeight="1" x14ac:dyDescent="0.2">
      <c r="A15" s="208" t="s">
        <v>87</v>
      </c>
      <c r="B15" s="204" t="s">
        <v>5</v>
      </c>
      <c r="C15" s="204" t="s">
        <v>78</v>
      </c>
      <c r="D15" s="209">
        <f>SUM(D12:D14)</f>
        <v>2534.4</v>
      </c>
      <c r="E15" s="209">
        <f>SUM(E12:E14)</f>
        <v>529</v>
      </c>
      <c r="F15" s="209">
        <f>SUM(F12:F14)</f>
        <v>835</v>
      </c>
      <c r="G15" s="209">
        <f>SUM(G12:G14)</f>
        <v>0</v>
      </c>
      <c r="H15" s="209">
        <f>SUM(H12:H14)</f>
        <v>0</v>
      </c>
      <c r="I15" s="218" t="s">
        <v>149</v>
      </c>
      <c r="J15" s="210"/>
    </row>
    <row r="16" spans="1:10" ht="24.95" customHeight="1" thickBot="1" x14ac:dyDescent="0.25">
      <c r="A16" s="211"/>
      <c r="B16" s="212"/>
      <c r="C16" s="212"/>
      <c r="D16" s="212"/>
      <c r="E16" s="212"/>
      <c r="F16" s="212"/>
      <c r="G16" s="213"/>
      <c r="H16" s="214"/>
    </row>
  </sheetData>
  <mergeCells count="7">
    <mergeCell ref="A1:G1"/>
    <mergeCell ref="A3:C3"/>
    <mergeCell ref="A9:A11"/>
    <mergeCell ref="B9:B11"/>
    <mergeCell ref="C9:C11"/>
    <mergeCell ref="D9:H9"/>
    <mergeCell ref="D10:H10"/>
  </mergeCells>
  <printOptions horizontalCentered="1"/>
  <pageMargins left="0.7" right="0.7" top="0.75" bottom="0.75" header="0.3" footer="0.3"/>
  <pageSetup paperSize="9" scale="8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workbookViewId="0">
      <selection activeCell="A15" sqref="A15"/>
    </sheetView>
  </sheetViews>
  <sheetFormatPr baseColWidth="10" defaultRowHeight="15" x14ac:dyDescent="0.25"/>
  <cols>
    <col min="1" max="1" width="32.28515625" style="413" customWidth="1"/>
    <col min="2" max="4" width="11.42578125" style="413"/>
    <col min="5" max="9" width="11.5703125" style="413" hidden="1" customWidth="1"/>
    <col min="10" max="10" width="11.42578125" style="413"/>
    <col min="11" max="11" width="15.5703125" style="413" customWidth="1"/>
    <col min="12" max="16384" width="11.42578125" style="413"/>
  </cols>
  <sheetData>
    <row r="1" spans="1:16" ht="15.75" x14ac:dyDescent="0.25">
      <c r="A1" s="380" t="s">
        <v>89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</row>
    <row r="2" spans="1:16" ht="23.25" x14ac:dyDescent="0.25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15.75" x14ac:dyDescent="0.25">
      <c r="A3" s="133" t="s">
        <v>237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305"/>
    </row>
    <row r="4" spans="1:16" ht="15.75" x14ac:dyDescent="0.25">
      <c r="A4" s="133" t="s">
        <v>148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305"/>
    </row>
    <row r="5" spans="1:16" ht="15.75" x14ac:dyDescent="0.25">
      <c r="A5" s="133" t="s">
        <v>146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305"/>
    </row>
    <row r="6" spans="1:16" x14ac:dyDescent="0.2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2"/>
    </row>
    <row r="7" spans="1:16" ht="16.5" thickBot="1" x14ac:dyDescent="0.3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6" ht="15" customHeight="1" thickBot="1" x14ac:dyDescent="0.3">
      <c r="A8" s="381" t="s">
        <v>8</v>
      </c>
      <c r="B8" s="384" t="s">
        <v>9</v>
      </c>
      <c r="C8" s="384" t="s">
        <v>10</v>
      </c>
      <c r="D8" s="384" t="s">
        <v>11</v>
      </c>
      <c r="E8" s="136" t="s">
        <v>12</v>
      </c>
      <c r="F8" s="136"/>
      <c r="G8" s="136"/>
      <c r="H8" s="136"/>
      <c r="I8" s="136"/>
      <c r="J8" s="387"/>
      <c r="K8" s="387"/>
      <c r="L8" s="387"/>
      <c r="M8" s="387"/>
      <c r="N8" s="387"/>
      <c r="O8" s="387"/>
      <c r="P8" s="388"/>
    </row>
    <row r="9" spans="1:16" ht="15.75" thickBot="1" x14ac:dyDescent="0.3">
      <c r="A9" s="382"/>
      <c r="B9" s="385"/>
      <c r="C9" s="385"/>
      <c r="D9" s="385"/>
      <c r="E9" s="137">
        <v>2002</v>
      </c>
      <c r="F9" s="137">
        <v>2003</v>
      </c>
      <c r="G9" s="137">
        <v>2004</v>
      </c>
      <c r="H9" s="137">
        <v>2005</v>
      </c>
      <c r="I9" s="138">
        <v>2006</v>
      </c>
      <c r="J9" s="414">
        <v>2015</v>
      </c>
      <c r="K9" s="414">
        <v>2016</v>
      </c>
      <c r="L9" s="415">
        <v>2017</v>
      </c>
      <c r="M9" s="416"/>
      <c r="N9" s="416"/>
      <c r="O9" s="417"/>
      <c r="P9" s="307"/>
    </row>
    <row r="10" spans="1:16" ht="36.75" thickBot="1" x14ac:dyDescent="0.3">
      <c r="A10" s="383"/>
      <c r="B10" s="386"/>
      <c r="C10" s="386"/>
      <c r="D10" s="386"/>
      <c r="E10" s="306" t="s">
        <v>13</v>
      </c>
      <c r="F10" s="306" t="s">
        <v>13</v>
      </c>
      <c r="G10" s="306" t="s">
        <v>13</v>
      </c>
      <c r="H10" s="306" t="s">
        <v>14</v>
      </c>
      <c r="I10" s="139" t="s">
        <v>82</v>
      </c>
      <c r="J10" s="418" t="s">
        <v>82</v>
      </c>
      <c r="K10" s="418" t="s">
        <v>82</v>
      </c>
      <c r="L10" s="419" t="s">
        <v>83</v>
      </c>
      <c r="M10" s="420" t="s">
        <v>86</v>
      </c>
      <c r="N10" s="420" t="s">
        <v>88</v>
      </c>
      <c r="O10" s="421" t="s">
        <v>91</v>
      </c>
      <c r="P10" s="140"/>
    </row>
    <row r="11" spans="1:16" ht="15.75" thickBot="1" x14ac:dyDescent="0.3">
      <c r="A11" s="422" t="s">
        <v>15</v>
      </c>
      <c r="B11" s="423"/>
      <c r="C11" s="423"/>
      <c r="D11" s="423"/>
      <c r="E11" s="423"/>
      <c r="F11" s="423"/>
      <c r="G11" s="423"/>
      <c r="H11" s="423"/>
      <c r="I11" s="423"/>
      <c r="J11" s="378"/>
      <c r="K11" s="378"/>
      <c r="L11" s="378"/>
      <c r="M11" s="378"/>
      <c r="N11" s="378"/>
      <c r="O11" s="378"/>
      <c r="P11" s="424"/>
    </row>
    <row r="12" spans="1:16" x14ac:dyDescent="0.25">
      <c r="A12" s="141" t="s">
        <v>16</v>
      </c>
      <c r="B12" s="142" t="s">
        <v>5</v>
      </c>
      <c r="C12" s="142" t="s">
        <v>17</v>
      </c>
      <c r="D12" s="142" t="s">
        <v>18</v>
      </c>
      <c r="E12" s="143" t="s">
        <v>19</v>
      </c>
      <c r="F12" s="143" t="s">
        <v>19</v>
      </c>
      <c r="G12" s="143" t="s">
        <v>19</v>
      </c>
      <c r="H12" s="425">
        <v>150</v>
      </c>
      <c r="I12" s="426">
        <v>100</v>
      </c>
      <c r="J12" s="219">
        <v>75</v>
      </c>
      <c r="K12" s="219">
        <v>75</v>
      </c>
      <c r="L12" s="427">
        <v>75</v>
      </c>
      <c r="M12" s="428">
        <v>75</v>
      </c>
      <c r="N12" s="428"/>
      <c r="O12" s="429"/>
      <c r="P12" s="144"/>
    </row>
    <row r="13" spans="1:16" x14ac:dyDescent="0.25">
      <c r="A13" s="141" t="s">
        <v>20</v>
      </c>
      <c r="B13" s="142" t="s">
        <v>5</v>
      </c>
      <c r="C13" s="142" t="s">
        <v>17</v>
      </c>
      <c r="D13" s="142" t="s">
        <v>18</v>
      </c>
      <c r="E13" s="143" t="s">
        <v>19</v>
      </c>
      <c r="F13" s="143" t="s">
        <v>19</v>
      </c>
      <c r="G13" s="143" t="s">
        <v>19</v>
      </c>
      <c r="H13" s="142">
        <v>130</v>
      </c>
      <c r="I13" s="181">
        <v>122</v>
      </c>
      <c r="J13" s="220">
        <v>405</v>
      </c>
      <c r="K13" s="220">
        <v>405</v>
      </c>
      <c r="L13" s="221">
        <v>405</v>
      </c>
      <c r="M13" s="145">
        <v>405</v>
      </c>
      <c r="N13" s="145"/>
      <c r="O13" s="146"/>
      <c r="P13" s="144"/>
    </row>
    <row r="14" spans="1:16" x14ac:dyDescent="0.25">
      <c r="A14" s="141" t="s">
        <v>21</v>
      </c>
      <c r="B14" s="142" t="s">
        <v>5</v>
      </c>
      <c r="C14" s="142" t="s">
        <v>22</v>
      </c>
      <c r="D14" s="142" t="s">
        <v>18</v>
      </c>
      <c r="E14" s="143" t="s">
        <v>19</v>
      </c>
      <c r="F14" s="143" t="s">
        <v>19</v>
      </c>
      <c r="G14" s="143" t="s">
        <v>19</v>
      </c>
      <c r="H14" s="143" t="s">
        <v>19</v>
      </c>
      <c r="I14" s="217" t="s">
        <v>84</v>
      </c>
      <c r="J14" s="222">
        <v>1</v>
      </c>
      <c r="K14" s="222">
        <v>0</v>
      </c>
      <c r="L14" s="223">
        <v>0</v>
      </c>
      <c r="M14" s="147">
        <v>0</v>
      </c>
      <c r="N14" s="147"/>
      <c r="O14" s="148"/>
      <c r="P14" s="149"/>
    </row>
    <row r="15" spans="1:16" x14ac:dyDescent="0.25">
      <c r="A15" s="141" t="s">
        <v>23</v>
      </c>
      <c r="B15" s="142" t="s">
        <v>5</v>
      </c>
      <c r="C15" s="142" t="s">
        <v>22</v>
      </c>
      <c r="D15" s="142" t="s">
        <v>18</v>
      </c>
      <c r="E15" s="143" t="s">
        <v>19</v>
      </c>
      <c r="F15" s="143" t="s">
        <v>19</v>
      </c>
      <c r="G15" s="143" t="s">
        <v>19</v>
      </c>
      <c r="H15" s="143" t="s">
        <v>19</v>
      </c>
      <c r="I15" s="217" t="s">
        <v>84</v>
      </c>
      <c r="J15" s="222">
        <v>0</v>
      </c>
      <c r="K15" s="222">
        <v>0</v>
      </c>
      <c r="L15" s="223">
        <v>0</v>
      </c>
      <c r="M15" s="147">
        <v>0</v>
      </c>
      <c r="N15" s="150"/>
      <c r="O15" s="151"/>
      <c r="P15" s="149"/>
    </row>
    <row r="16" spans="1:16" x14ac:dyDescent="0.25">
      <c r="A16" s="141" t="s">
        <v>23</v>
      </c>
      <c r="B16" s="142" t="s">
        <v>24</v>
      </c>
      <c r="C16" s="142" t="s">
        <v>22</v>
      </c>
      <c r="D16" s="142" t="s">
        <v>18</v>
      </c>
      <c r="E16" s="143" t="s">
        <v>19</v>
      </c>
      <c r="F16" s="143" t="s">
        <v>19</v>
      </c>
      <c r="G16" s="143" t="s">
        <v>19</v>
      </c>
      <c r="H16" s="143" t="s">
        <v>19</v>
      </c>
      <c r="I16" s="217" t="s">
        <v>84</v>
      </c>
      <c r="J16" s="222">
        <v>0</v>
      </c>
      <c r="K16" s="222">
        <v>0</v>
      </c>
      <c r="L16" s="223">
        <v>0</v>
      </c>
      <c r="M16" s="147">
        <v>0</v>
      </c>
      <c r="N16" s="147"/>
      <c r="O16" s="148"/>
      <c r="P16" s="149"/>
    </row>
    <row r="17" spans="1:16" x14ac:dyDescent="0.25">
      <c r="A17" s="141" t="s">
        <v>25</v>
      </c>
      <c r="B17" s="142" t="s">
        <v>24</v>
      </c>
      <c r="C17" s="142" t="s">
        <v>26</v>
      </c>
      <c r="D17" s="142" t="s">
        <v>18</v>
      </c>
      <c r="E17" s="152">
        <v>6026929</v>
      </c>
      <c r="F17" s="152">
        <v>4858726</v>
      </c>
      <c r="G17" s="152">
        <v>4801465</v>
      </c>
      <c r="H17" s="153">
        <v>5760000</v>
      </c>
      <c r="I17" s="224">
        <v>9200000</v>
      </c>
      <c r="J17" s="225">
        <v>5126009.0100000007</v>
      </c>
      <c r="K17" s="226">
        <v>3369154.7</v>
      </c>
      <c r="L17" s="430">
        <v>596895.43000000005</v>
      </c>
      <c r="M17" s="154">
        <v>445330.34</v>
      </c>
      <c r="N17" s="154"/>
      <c r="O17" s="155"/>
      <c r="P17" s="156"/>
    </row>
    <row r="18" spans="1:16" x14ac:dyDescent="0.25">
      <c r="A18" s="141" t="s">
        <v>27</v>
      </c>
      <c r="B18" s="142" t="s">
        <v>24</v>
      </c>
      <c r="C18" s="142" t="s">
        <v>17</v>
      </c>
      <c r="D18" s="142" t="s">
        <v>18</v>
      </c>
      <c r="E18" s="157">
        <v>14280</v>
      </c>
      <c r="F18" s="157">
        <v>14280</v>
      </c>
      <c r="G18" s="157">
        <v>14280</v>
      </c>
      <c r="H18" s="158">
        <v>14280</v>
      </c>
      <c r="I18" s="227">
        <v>14280</v>
      </c>
      <c r="J18" s="228">
        <v>0</v>
      </c>
      <c r="K18" s="228">
        <v>0</v>
      </c>
      <c r="L18" s="229">
        <v>0</v>
      </c>
      <c r="M18" s="159">
        <v>0</v>
      </c>
      <c r="N18" s="159"/>
      <c r="O18" s="160"/>
      <c r="P18" s="156"/>
    </row>
    <row r="19" spans="1:16" x14ac:dyDescent="0.25">
      <c r="A19" s="141" t="s">
        <v>28</v>
      </c>
      <c r="B19" s="142" t="s">
        <v>24</v>
      </c>
      <c r="C19" s="142" t="s">
        <v>22</v>
      </c>
      <c r="D19" s="142" t="s">
        <v>18</v>
      </c>
      <c r="E19" s="157">
        <v>20492</v>
      </c>
      <c r="F19" s="157">
        <v>971505</v>
      </c>
      <c r="G19" s="157">
        <v>3837</v>
      </c>
      <c r="H19" s="143" t="s">
        <v>19</v>
      </c>
      <c r="I19" s="230"/>
      <c r="J19" s="231">
        <v>255981</v>
      </c>
      <c r="K19" s="232">
        <v>137704</v>
      </c>
      <c r="L19" s="233">
        <v>19672</v>
      </c>
      <c r="M19" s="161">
        <v>29508</v>
      </c>
      <c r="N19" s="162"/>
      <c r="O19" s="163"/>
      <c r="P19" s="164"/>
    </row>
    <row r="20" spans="1:16" ht="15.75" thickBot="1" x14ac:dyDescent="0.3">
      <c r="A20" s="141"/>
      <c r="B20" s="142"/>
      <c r="C20" s="142"/>
      <c r="D20" s="142"/>
      <c r="E20" s="142"/>
      <c r="F20" s="142"/>
      <c r="G20" s="142"/>
      <c r="H20" s="142"/>
      <c r="I20" s="181"/>
      <c r="J20" s="234"/>
      <c r="K20" s="234"/>
      <c r="L20" s="235"/>
      <c r="M20" s="165"/>
      <c r="N20" s="166"/>
      <c r="O20" s="167" t="s">
        <v>149</v>
      </c>
      <c r="P20" s="144"/>
    </row>
    <row r="21" spans="1:16" ht="15.75" thickBot="1" x14ac:dyDescent="0.3">
      <c r="A21" s="376"/>
      <c r="B21" s="377"/>
      <c r="C21" s="377"/>
      <c r="D21" s="377"/>
      <c r="E21" s="377"/>
      <c r="F21" s="377"/>
      <c r="G21" s="377"/>
      <c r="H21" s="377"/>
      <c r="I21" s="377"/>
      <c r="J21" s="378"/>
      <c r="K21" s="378"/>
      <c r="L21" s="378"/>
      <c r="M21" s="378"/>
      <c r="N21" s="378"/>
      <c r="O21" s="378"/>
      <c r="P21" s="379"/>
    </row>
    <row r="22" spans="1:16" x14ac:dyDescent="0.25">
      <c r="A22" s="168" t="s">
        <v>30</v>
      </c>
      <c r="B22" s="169"/>
      <c r="C22" s="169"/>
      <c r="D22" s="169"/>
      <c r="E22" s="169"/>
      <c r="F22" s="169"/>
      <c r="G22" s="169"/>
      <c r="H22" s="169"/>
      <c r="I22" s="169"/>
      <c r="J22" s="431"/>
      <c r="K22" s="431"/>
      <c r="L22" s="170"/>
      <c r="M22" s="171"/>
      <c r="N22" s="171"/>
      <c r="O22" s="172"/>
      <c r="P22" s="173"/>
    </row>
    <row r="23" spans="1:16" x14ac:dyDescent="0.25">
      <c r="A23" s="174" t="s">
        <v>31</v>
      </c>
      <c r="B23" s="142" t="s">
        <v>5</v>
      </c>
      <c r="C23" s="142" t="s">
        <v>32</v>
      </c>
      <c r="D23" s="142" t="s">
        <v>33</v>
      </c>
      <c r="E23" s="142">
        <v>33</v>
      </c>
      <c r="F23" s="142">
        <v>33</v>
      </c>
      <c r="G23" s="142">
        <v>48</v>
      </c>
      <c r="H23" s="142">
        <v>48</v>
      </c>
      <c r="I23" s="142">
        <v>47</v>
      </c>
      <c r="J23" s="181">
        <v>34</v>
      </c>
      <c r="K23" s="215">
        <f>+K24+K28+K29+K31+K35</f>
        <v>33</v>
      </c>
      <c r="L23" s="175">
        <f>+L24+L28+L29+L31</f>
        <v>32</v>
      </c>
      <c r="M23" s="176">
        <f>+M24+M28+M35</f>
        <v>33</v>
      </c>
      <c r="N23" s="236"/>
      <c r="O23" s="215"/>
      <c r="P23" s="144"/>
    </row>
    <row r="24" spans="1:16" x14ac:dyDescent="0.25">
      <c r="A24" s="174" t="s">
        <v>34</v>
      </c>
      <c r="B24" s="142" t="s">
        <v>5</v>
      </c>
      <c r="C24" s="142" t="s">
        <v>32</v>
      </c>
      <c r="D24" s="142" t="s">
        <v>33</v>
      </c>
      <c r="E24" s="142">
        <v>16</v>
      </c>
      <c r="F24" s="142">
        <v>16</v>
      </c>
      <c r="G24" s="142">
        <v>22</v>
      </c>
      <c r="H24" s="142">
        <v>22</v>
      </c>
      <c r="I24" s="142">
        <v>19</v>
      </c>
      <c r="J24" s="181">
        <v>17</v>
      </c>
      <c r="K24" s="146">
        <f>SUM(K25:K27)</f>
        <v>16</v>
      </c>
      <c r="L24" s="175">
        <f>+L25+L26+L27</f>
        <v>16</v>
      </c>
      <c r="M24" s="177">
        <f>+M25+M26+M27</f>
        <v>17</v>
      </c>
      <c r="N24" s="177"/>
      <c r="O24" s="237"/>
      <c r="P24" s="144"/>
    </row>
    <row r="25" spans="1:16" x14ac:dyDescent="0.25">
      <c r="A25" s="141" t="s">
        <v>35</v>
      </c>
      <c r="B25" s="142" t="s">
        <v>5</v>
      </c>
      <c r="C25" s="142" t="s">
        <v>32</v>
      </c>
      <c r="D25" s="142" t="s">
        <v>33</v>
      </c>
      <c r="E25" s="142">
        <v>1</v>
      </c>
      <c r="F25" s="142">
        <v>1</v>
      </c>
      <c r="G25" s="142">
        <v>1</v>
      </c>
      <c r="H25" s="142">
        <v>1</v>
      </c>
      <c r="I25" s="142">
        <v>1</v>
      </c>
      <c r="J25" s="181">
        <v>2</v>
      </c>
      <c r="K25" s="146">
        <v>2</v>
      </c>
      <c r="L25" s="175">
        <v>2</v>
      </c>
      <c r="M25" s="177">
        <v>2</v>
      </c>
      <c r="N25" s="177"/>
      <c r="O25" s="237"/>
      <c r="P25" s="144"/>
    </row>
    <row r="26" spans="1:16" x14ac:dyDescent="0.25">
      <c r="A26" s="141" t="s">
        <v>36</v>
      </c>
      <c r="B26" s="142" t="s">
        <v>5</v>
      </c>
      <c r="C26" s="142" t="s">
        <v>32</v>
      </c>
      <c r="D26" s="142" t="s">
        <v>33</v>
      </c>
      <c r="E26" s="142">
        <v>5</v>
      </c>
      <c r="F26" s="142">
        <v>5</v>
      </c>
      <c r="G26" s="142">
        <v>6</v>
      </c>
      <c r="H26" s="142">
        <v>6</v>
      </c>
      <c r="I26" s="142">
        <v>5</v>
      </c>
      <c r="J26" s="181">
        <v>2</v>
      </c>
      <c r="K26" s="146">
        <v>2</v>
      </c>
      <c r="L26" s="175">
        <v>2</v>
      </c>
      <c r="M26" s="177">
        <v>2</v>
      </c>
      <c r="N26" s="177"/>
      <c r="O26" s="237"/>
      <c r="P26" s="144"/>
    </row>
    <row r="27" spans="1:16" x14ac:dyDescent="0.25">
      <c r="A27" s="141" t="s">
        <v>37</v>
      </c>
      <c r="B27" s="142" t="s">
        <v>5</v>
      </c>
      <c r="C27" s="142" t="s">
        <v>32</v>
      </c>
      <c r="D27" s="142" t="s">
        <v>33</v>
      </c>
      <c r="E27" s="142">
        <v>10</v>
      </c>
      <c r="F27" s="142">
        <v>10</v>
      </c>
      <c r="G27" s="142">
        <v>15</v>
      </c>
      <c r="H27" s="142">
        <v>15</v>
      </c>
      <c r="I27" s="142">
        <v>13</v>
      </c>
      <c r="J27" s="181">
        <v>13</v>
      </c>
      <c r="K27" s="146">
        <v>12</v>
      </c>
      <c r="L27" s="175">
        <v>12</v>
      </c>
      <c r="M27" s="177">
        <v>13</v>
      </c>
      <c r="N27" s="177"/>
      <c r="O27" s="237"/>
      <c r="P27" s="144"/>
    </row>
    <row r="28" spans="1:16" x14ac:dyDescent="0.25">
      <c r="A28" s="174" t="s">
        <v>38</v>
      </c>
      <c r="B28" s="142" t="s">
        <v>5</v>
      </c>
      <c r="C28" s="142" t="s">
        <v>32</v>
      </c>
      <c r="D28" s="142" t="s">
        <v>33</v>
      </c>
      <c r="E28" s="142">
        <v>15</v>
      </c>
      <c r="F28" s="142">
        <v>15</v>
      </c>
      <c r="G28" s="142">
        <v>24</v>
      </c>
      <c r="H28" s="142">
        <v>24</v>
      </c>
      <c r="I28" s="142">
        <v>26</v>
      </c>
      <c r="J28" s="181">
        <v>15</v>
      </c>
      <c r="K28" s="146">
        <v>14</v>
      </c>
      <c r="L28" s="175">
        <v>14</v>
      </c>
      <c r="M28" s="177">
        <v>14</v>
      </c>
      <c r="N28" s="177"/>
      <c r="O28" s="237"/>
      <c r="P28" s="144"/>
    </row>
    <row r="29" spans="1:16" x14ac:dyDescent="0.25">
      <c r="A29" s="141" t="s">
        <v>39</v>
      </c>
      <c r="B29" s="142" t="s">
        <v>5</v>
      </c>
      <c r="C29" s="142" t="s">
        <v>32</v>
      </c>
      <c r="D29" s="142" t="s">
        <v>33</v>
      </c>
      <c r="E29" s="142">
        <v>2</v>
      </c>
      <c r="F29" s="142">
        <v>2</v>
      </c>
      <c r="G29" s="142">
        <v>2</v>
      </c>
      <c r="H29" s="142">
        <v>2</v>
      </c>
      <c r="I29" s="142">
        <v>2</v>
      </c>
      <c r="J29" s="181">
        <v>1</v>
      </c>
      <c r="K29" s="146">
        <v>1</v>
      </c>
      <c r="L29" s="175">
        <v>1</v>
      </c>
      <c r="M29" s="177">
        <v>0</v>
      </c>
      <c r="N29" s="177"/>
      <c r="O29" s="237"/>
      <c r="P29" s="144"/>
    </row>
    <row r="30" spans="1:16" x14ac:dyDescent="0.25">
      <c r="A30" s="141" t="s">
        <v>40</v>
      </c>
      <c r="B30" s="142" t="s">
        <v>5</v>
      </c>
      <c r="C30" s="142" t="s">
        <v>32</v>
      </c>
      <c r="D30" s="142" t="s">
        <v>33</v>
      </c>
      <c r="E30" s="142">
        <v>35</v>
      </c>
      <c r="F30" s="142">
        <v>33</v>
      </c>
      <c r="G30" s="142">
        <v>48</v>
      </c>
      <c r="H30" s="142">
        <v>48</v>
      </c>
      <c r="I30" s="142">
        <v>47</v>
      </c>
      <c r="J30" s="181">
        <v>34</v>
      </c>
      <c r="K30" s="146">
        <f>SUM(K25:K29)</f>
        <v>31</v>
      </c>
      <c r="L30" s="175">
        <f>+L31+L32+L33+L34+L35</f>
        <v>33</v>
      </c>
      <c r="M30" s="177">
        <f>+M31+M32+M33+M34+M35</f>
        <v>33</v>
      </c>
      <c r="N30" s="177"/>
      <c r="O30" s="237"/>
      <c r="P30" s="144"/>
    </row>
    <row r="31" spans="1:16" x14ac:dyDescent="0.25">
      <c r="A31" s="141" t="s">
        <v>41</v>
      </c>
      <c r="B31" s="142" t="s">
        <v>5</v>
      </c>
      <c r="C31" s="142" t="s">
        <v>32</v>
      </c>
      <c r="D31" s="142" t="s">
        <v>33</v>
      </c>
      <c r="E31" s="142">
        <v>1</v>
      </c>
      <c r="F31" s="142">
        <v>1</v>
      </c>
      <c r="G31" s="142">
        <v>1</v>
      </c>
      <c r="H31" s="142">
        <v>1</v>
      </c>
      <c r="I31" s="142">
        <v>1</v>
      </c>
      <c r="J31" s="181">
        <v>1</v>
      </c>
      <c r="K31" s="146">
        <v>1</v>
      </c>
      <c r="L31" s="175">
        <v>1</v>
      </c>
      <c r="M31" s="177">
        <v>1</v>
      </c>
      <c r="N31" s="177"/>
      <c r="O31" s="237"/>
      <c r="P31" s="144"/>
    </row>
    <row r="32" spans="1:16" x14ac:dyDescent="0.25">
      <c r="A32" s="141" t="s">
        <v>42</v>
      </c>
      <c r="B32" s="142" t="s">
        <v>5</v>
      </c>
      <c r="C32" s="142" t="s">
        <v>32</v>
      </c>
      <c r="D32" s="142" t="s">
        <v>33</v>
      </c>
      <c r="E32" s="142">
        <v>6</v>
      </c>
      <c r="F32" s="142">
        <v>6</v>
      </c>
      <c r="G32" s="142">
        <v>28</v>
      </c>
      <c r="H32" s="142">
        <v>30</v>
      </c>
      <c r="I32" s="142">
        <v>30</v>
      </c>
      <c r="J32" s="181">
        <v>24</v>
      </c>
      <c r="K32" s="216">
        <v>23</v>
      </c>
      <c r="L32" s="175">
        <v>26</v>
      </c>
      <c r="M32" s="176">
        <v>25</v>
      </c>
      <c r="N32" s="238"/>
      <c r="O32" s="216"/>
      <c r="P32" s="144"/>
    </row>
    <row r="33" spans="1:16" x14ac:dyDescent="0.25">
      <c r="A33" s="141" t="s">
        <v>43</v>
      </c>
      <c r="B33" s="142" t="s">
        <v>5</v>
      </c>
      <c r="C33" s="142" t="s">
        <v>32</v>
      </c>
      <c r="D33" s="142" t="s">
        <v>33</v>
      </c>
      <c r="E33" s="142">
        <v>22</v>
      </c>
      <c r="F33" s="142">
        <v>22</v>
      </c>
      <c r="G33" s="142">
        <v>2</v>
      </c>
      <c r="H33" s="142">
        <v>2</v>
      </c>
      <c r="I33" s="142">
        <v>3</v>
      </c>
      <c r="J33" s="181">
        <v>2</v>
      </c>
      <c r="K33" s="146">
        <v>2</v>
      </c>
      <c r="L33" s="175">
        <v>2</v>
      </c>
      <c r="M33" s="176">
        <v>2</v>
      </c>
      <c r="N33" s="177"/>
      <c r="O33" s="146"/>
      <c r="P33" s="144"/>
    </row>
    <row r="34" spans="1:16" x14ac:dyDescent="0.25">
      <c r="A34" s="141" t="s">
        <v>44</v>
      </c>
      <c r="B34" s="142" t="s">
        <v>5</v>
      </c>
      <c r="C34" s="142" t="s">
        <v>32</v>
      </c>
      <c r="D34" s="142" t="s">
        <v>33</v>
      </c>
      <c r="E34" s="142">
        <v>2</v>
      </c>
      <c r="F34" s="142">
        <v>2</v>
      </c>
      <c r="G34" s="142">
        <v>4</v>
      </c>
      <c r="H34" s="142">
        <v>2</v>
      </c>
      <c r="I34" s="142">
        <v>3</v>
      </c>
      <c r="J34" s="181">
        <v>2</v>
      </c>
      <c r="K34" s="146">
        <v>3</v>
      </c>
      <c r="L34" s="175">
        <v>2</v>
      </c>
      <c r="M34" s="176">
        <v>3</v>
      </c>
      <c r="N34" s="177"/>
      <c r="O34" s="146"/>
      <c r="P34" s="144"/>
    </row>
    <row r="35" spans="1:16" x14ac:dyDescent="0.25">
      <c r="A35" s="141" t="s">
        <v>45</v>
      </c>
      <c r="B35" s="142" t="s">
        <v>5</v>
      </c>
      <c r="C35" s="142" t="s">
        <v>32</v>
      </c>
      <c r="D35" s="142" t="s">
        <v>33</v>
      </c>
      <c r="E35" s="142">
        <v>2</v>
      </c>
      <c r="F35" s="142">
        <v>2</v>
      </c>
      <c r="G35" s="142">
        <v>13</v>
      </c>
      <c r="H35" s="142">
        <v>13</v>
      </c>
      <c r="I35" s="142">
        <v>13</v>
      </c>
      <c r="J35" s="181">
        <v>1</v>
      </c>
      <c r="K35" s="146">
        <v>1</v>
      </c>
      <c r="L35" s="175">
        <v>2</v>
      </c>
      <c r="M35" s="176">
        <v>2</v>
      </c>
      <c r="N35" s="177"/>
      <c r="O35" s="146"/>
      <c r="P35" s="144"/>
    </row>
    <row r="36" spans="1:16" x14ac:dyDescent="0.25">
      <c r="A36" s="141" t="s">
        <v>46</v>
      </c>
      <c r="B36" s="142" t="s">
        <v>5</v>
      </c>
      <c r="C36" s="142" t="s">
        <v>32</v>
      </c>
      <c r="D36" s="142" t="s">
        <v>33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81">
        <v>0</v>
      </c>
      <c r="K36" s="146">
        <v>0</v>
      </c>
      <c r="L36" s="175">
        <v>0</v>
      </c>
      <c r="M36" s="176">
        <v>0</v>
      </c>
      <c r="N36" s="177"/>
      <c r="O36" s="146"/>
      <c r="P36" s="144"/>
    </row>
    <row r="37" spans="1:16" x14ac:dyDescent="0.25">
      <c r="A37" s="141" t="s">
        <v>47</v>
      </c>
      <c r="B37" s="142" t="s">
        <v>5</v>
      </c>
      <c r="C37" s="142"/>
      <c r="D37" s="142" t="s">
        <v>33</v>
      </c>
      <c r="E37" s="142">
        <v>2</v>
      </c>
      <c r="F37" s="142">
        <v>2</v>
      </c>
      <c r="G37" s="142">
        <v>2</v>
      </c>
      <c r="H37" s="142">
        <v>2</v>
      </c>
      <c r="I37" s="142">
        <v>0</v>
      </c>
      <c r="J37" s="181">
        <v>0</v>
      </c>
      <c r="K37" s="146">
        <v>0</v>
      </c>
      <c r="L37" s="175">
        <v>0</v>
      </c>
      <c r="M37" s="176">
        <v>0</v>
      </c>
      <c r="N37" s="177"/>
      <c r="O37" s="146"/>
      <c r="P37" s="144"/>
    </row>
    <row r="38" spans="1:16" x14ac:dyDescent="0.25">
      <c r="A38" s="168" t="s">
        <v>48</v>
      </c>
      <c r="B38" s="169"/>
      <c r="C38" s="169"/>
      <c r="D38" s="169"/>
      <c r="E38" s="169"/>
      <c r="F38" s="169"/>
      <c r="G38" s="169"/>
      <c r="H38" s="169"/>
      <c r="I38" s="169"/>
      <c r="J38" s="432"/>
      <c r="K38" s="180"/>
      <c r="L38" s="178"/>
      <c r="M38" s="179"/>
      <c r="N38" s="169"/>
      <c r="O38" s="180"/>
      <c r="P38" s="173"/>
    </row>
    <row r="39" spans="1:16" x14ac:dyDescent="0.25">
      <c r="A39" s="174" t="s">
        <v>49</v>
      </c>
      <c r="B39" s="142" t="s">
        <v>5</v>
      </c>
      <c r="C39" s="142" t="s">
        <v>32</v>
      </c>
      <c r="D39" s="142" t="s">
        <v>18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81">
        <v>0</v>
      </c>
      <c r="K39" s="146">
        <v>0</v>
      </c>
      <c r="L39" s="175">
        <v>0</v>
      </c>
      <c r="M39" s="182">
        <v>0</v>
      </c>
      <c r="N39" s="177"/>
      <c r="O39" s="146"/>
      <c r="P39" s="144"/>
    </row>
    <row r="40" spans="1:16" x14ac:dyDescent="0.25">
      <c r="A40" s="174" t="s">
        <v>50</v>
      </c>
      <c r="B40" s="142" t="s">
        <v>5</v>
      </c>
      <c r="C40" s="142" t="s">
        <v>32</v>
      </c>
      <c r="D40" s="142" t="s">
        <v>33</v>
      </c>
      <c r="E40" s="142">
        <v>77</v>
      </c>
      <c r="F40" s="142">
        <v>77</v>
      </c>
      <c r="G40" s="142">
        <v>83</v>
      </c>
      <c r="H40" s="142">
        <v>111</v>
      </c>
      <c r="I40" s="142">
        <v>99</v>
      </c>
      <c r="J40" s="181">
        <v>109</v>
      </c>
      <c r="K40" s="146">
        <v>109</v>
      </c>
      <c r="L40" s="175">
        <v>109</v>
      </c>
      <c r="M40" s="176">
        <v>109</v>
      </c>
      <c r="N40" s="177"/>
      <c r="O40" s="146"/>
      <c r="P40" s="144"/>
    </row>
    <row r="41" spans="1:16" x14ac:dyDescent="0.25">
      <c r="A41" s="141" t="s">
        <v>51</v>
      </c>
      <c r="B41" s="142" t="s">
        <v>5</v>
      </c>
      <c r="C41" s="142" t="s">
        <v>32</v>
      </c>
      <c r="D41" s="142" t="s">
        <v>33</v>
      </c>
      <c r="E41" s="142">
        <v>58</v>
      </c>
      <c r="F41" s="142">
        <v>58</v>
      </c>
      <c r="G41" s="142">
        <v>64</v>
      </c>
      <c r="H41" s="142">
        <v>87</v>
      </c>
      <c r="I41" s="142">
        <v>80</v>
      </c>
      <c r="J41" s="181">
        <v>78</v>
      </c>
      <c r="K41" s="146">
        <f>78+14+26</f>
        <v>118</v>
      </c>
      <c r="L41" s="175">
        <v>118</v>
      </c>
      <c r="M41" s="176">
        <v>118</v>
      </c>
      <c r="N41" s="177"/>
      <c r="O41" s="146"/>
      <c r="P41" s="144"/>
    </row>
    <row r="42" spans="1:16" ht="15.75" thickBot="1" x14ac:dyDescent="0.3">
      <c r="A42" s="183" t="s">
        <v>52</v>
      </c>
      <c r="B42" s="184" t="s">
        <v>5</v>
      </c>
      <c r="C42" s="184" t="s">
        <v>32</v>
      </c>
      <c r="D42" s="184" t="s">
        <v>33</v>
      </c>
      <c r="E42" s="184">
        <v>19</v>
      </c>
      <c r="F42" s="184">
        <v>19</v>
      </c>
      <c r="G42" s="184">
        <v>19</v>
      </c>
      <c r="H42" s="184">
        <v>24</v>
      </c>
      <c r="I42" s="184">
        <v>19</v>
      </c>
      <c r="J42" s="185">
        <v>31</v>
      </c>
      <c r="K42" s="167">
        <f>31+4</f>
        <v>35</v>
      </c>
      <c r="L42" s="186">
        <v>35</v>
      </c>
      <c r="M42" s="187">
        <v>35</v>
      </c>
      <c r="N42" s="166"/>
      <c r="O42" s="167"/>
      <c r="P42" s="188"/>
    </row>
  </sheetData>
  <mergeCells count="9">
    <mergeCell ref="A11:P11"/>
    <mergeCell ref="A21:P21"/>
    <mergeCell ref="A1:P1"/>
    <mergeCell ref="A8:A10"/>
    <mergeCell ref="B8:B10"/>
    <mergeCell ref="C8:C10"/>
    <mergeCell ref="D8:D10"/>
    <mergeCell ref="J8:P8"/>
    <mergeCell ref="L9:O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workbookViewId="0">
      <selection activeCell="B17" sqref="B17"/>
    </sheetView>
  </sheetViews>
  <sheetFormatPr baseColWidth="10" defaultRowHeight="15" x14ac:dyDescent="0.25"/>
  <cols>
    <col min="1" max="1" width="14.42578125" style="308" customWidth="1"/>
    <col min="2" max="2" width="45.42578125" style="308" customWidth="1"/>
    <col min="3" max="4" width="11.42578125" style="308"/>
    <col min="5" max="7" width="18.5703125" style="308" customWidth="1"/>
    <col min="8" max="8" width="17.85546875" style="308" customWidth="1"/>
    <col min="9" max="10" width="17.5703125" style="308" bestFit="1" customWidth="1"/>
    <col min="11" max="11" width="18.5703125" style="308" customWidth="1"/>
    <col min="12" max="12" width="17.28515625" style="308" customWidth="1"/>
    <col min="13" max="13" width="20.140625" style="308" customWidth="1"/>
    <col min="14" max="14" width="17.5703125" style="308" bestFit="1" customWidth="1"/>
    <col min="15" max="16384" width="11.42578125" style="308"/>
  </cols>
  <sheetData>
    <row r="1" spans="1:16" x14ac:dyDescent="0.25">
      <c r="A1" s="400" t="s">
        <v>151</v>
      </c>
      <c r="B1" s="401"/>
      <c r="C1" s="398" t="s">
        <v>4</v>
      </c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6" x14ac:dyDescent="0.25">
      <c r="A2" s="400" t="s">
        <v>98</v>
      </c>
      <c r="B2" s="401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</row>
    <row r="3" spans="1:16" x14ac:dyDescent="0.25">
      <c r="A3" s="400" t="s">
        <v>152</v>
      </c>
      <c r="B3" s="401"/>
      <c r="C3" s="402" t="s">
        <v>154</v>
      </c>
      <c r="D3" s="402"/>
      <c r="E3" s="402"/>
      <c r="F3" s="402"/>
      <c r="G3" s="402"/>
      <c r="H3" s="402"/>
      <c r="I3" s="402"/>
      <c r="J3" s="402"/>
      <c r="K3" s="402"/>
      <c r="L3" s="402"/>
      <c r="M3" s="402"/>
      <c r="N3" s="402"/>
    </row>
    <row r="4" spans="1:16" x14ac:dyDescent="0.25">
      <c r="A4" s="399" t="s">
        <v>99</v>
      </c>
      <c r="B4" s="403"/>
      <c r="C4" s="405" t="s">
        <v>100</v>
      </c>
      <c r="D4" s="405" t="s">
        <v>101</v>
      </c>
      <c r="E4" s="392">
        <v>2015</v>
      </c>
      <c r="F4" s="392">
        <v>2016</v>
      </c>
      <c r="G4" s="392">
        <v>2017</v>
      </c>
      <c r="H4" s="394">
        <v>2017</v>
      </c>
      <c r="I4" s="395"/>
      <c r="J4" s="395"/>
      <c r="K4" s="395"/>
      <c r="L4" s="398">
        <v>2017</v>
      </c>
      <c r="M4" s="392">
        <v>2018</v>
      </c>
      <c r="N4" s="392">
        <v>2019</v>
      </c>
    </row>
    <row r="5" spans="1:16" x14ac:dyDescent="0.25">
      <c r="A5" s="404"/>
      <c r="B5" s="403"/>
      <c r="C5" s="406"/>
      <c r="D5" s="407"/>
      <c r="E5" s="393"/>
      <c r="F5" s="393"/>
      <c r="G5" s="393"/>
      <c r="H5" s="396"/>
      <c r="I5" s="397"/>
      <c r="J5" s="397"/>
      <c r="K5" s="397"/>
      <c r="L5" s="398"/>
      <c r="M5" s="393"/>
      <c r="N5" s="393"/>
    </row>
    <row r="6" spans="1:16" ht="25.5" x14ac:dyDescent="0.25">
      <c r="A6" s="404"/>
      <c r="B6" s="403"/>
      <c r="C6" s="406"/>
      <c r="D6" s="407"/>
      <c r="E6" s="309" t="s">
        <v>102</v>
      </c>
      <c r="F6" s="309" t="s">
        <v>102</v>
      </c>
      <c r="G6" s="309" t="s">
        <v>103</v>
      </c>
      <c r="H6" s="309" t="s">
        <v>104</v>
      </c>
      <c r="I6" s="309" t="s">
        <v>105</v>
      </c>
      <c r="J6" s="309" t="s">
        <v>106</v>
      </c>
      <c r="K6" s="309" t="s">
        <v>107</v>
      </c>
      <c r="L6" s="309" t="s">
        <v>102</v>
      </c>
      <c r="M6" s="310" t="s">
        <v>103</v>
      </c>
      <c r="N6" s="309" t="s">
        <v>103</v>
      </c>
    </row>
    <row r="7" spans="1:16" x14ac:dyDescent="0.25">
      <c r="A7" s="399" t="s">
        <v>108</v>
      </c>
      <c r="B7" s="311" t="s">
        <v>109</v>
      </c>
      <c r="C7" s="312" t="s">
        <v>5</v>
      </c>
      <c r="D7" s="312" t="s">
        <v>53</v>
      </c>
      <c r="E7" s="313">
        <v>28537924</v>
      </c>
      <c r="F7" s="313">
        <v>25895055</v>
      </c>
      <c r="G7" s="314">
        <f>F7*1.1</f>
        <v>28484560.500000004</v>
      </c>
      <c r="H7" s="315">
        <v>6104687</v>
      </c>
      <c r="I7" s="316">
        <v>6461824</v>
      </c>
      <c r="J7" s="316"/>
      <c r="K7" s="317"/>
      <c r="L7" s="316"/>
      <c r="M7" s="316">
        <f>G7*1.1</f>
        <v>31333016.550000008</v>
      </c>
      <c r="N7" s="316">
        <f>M7*1.1</f>
        <v>34466318.205000013</v>
      </c>
      <c r="O7" s="318"/>
      <c r="P7" s="319"/>
    </row>
    <row r="8" spans="1:16" x14ac:dyDescent="0.25">
      <c r="A8" s="399"/>
      <c r="B8" s="311" t="s">
        <v>110</v>
      </c>
      <c r="C8" s="312" t="s">
        <v>24</v>
      </c>
      <c r="D8" s="312" t="s">
        <v>53</v>
      </c>
      <c r="E8" s="313">
        <v>1171827973.158</v>
      </c>
      <c r="F8" s="313">
        <v>1411708908.4000001</v>
      </c>
      <c r="G8" s="316">
        <f>F8*1.2</f>
        <v>1694050690.0800002</v>
      </c>
      <c r="H8" s="316">
        <v>368999005.07999998</v>
      </c>
      <c r="I8" s="316">
        <v>407479626.88</v>
      </c>
      <c r="J8" s="320"/>
      <c r="K8" s="316"/>
      <c r="L8" s="316"/>
      <c r="M8" s="316">
        <f>G8*1.2</f>
        <v>2032860828.0960002</v>
      </c>
      <c r="N8" s="316">
        <f>M8*1.2</f>
        <v>2439432993.7151999</v>
      </c>
      <c r="O8" s="318"/>
      <c r="P8" s="319"/>
    </row>
    <row r="9" spans="1:16" x14ac:dyDescent="0.25">
      <c r="A9" s="399"/>
      <c r="B9" s="311" t="s">
        <v>111</v>
      </c>
      <c r="C9" s="312" t="s">
        <v>24</v>
      </c>
      <c r="D9" s="312" t="s">
        <v>53</v>
      </c>
      <c r="E9" s="313">
        <v>73637576</v>
      </c>
      <c r="F9" s="313">
        <v>84792293</v>
      </c>
      <c r="G9" s="316">
        <f>F9*1.15</f>
        <v>97511136.949999988</v>
      </c>
      <c r="H9" s="315">
        <v>27208998</v>
      </c>
      <c r="I9" s="316">
        <v>27430505</v>
      </c>
      <c r="J9" s="320"/>
      <c r="K9" s="316"/>
      <c r="L9" s="316"/>
      <c r="M9" s="316">
        <f>F9*1.15</f>
        <v>97511136.949999988</v>
      </c>
      <c r="N9" s="316">
        <f>M9*1.15</f>
        <v>112137807.49249998</v>
      </c>
      <c r="O9" s="318"/>
      <c r="P9" s="319"/>
    </row>
    <row r="10" spans="1:16" x14ac:dyDescent="0.25">
      <c r="A10" s="399"/>
      <c r="B10" s="321" t="s">
        <v>112</v>
      </c>
      <c r="C10" s="322" t="s">
        <v>5</v>
      </c>
      <c r="D10" s="322" t="s">
        <v>53</v>
      </c>
      <c r="E10" s="323">
        <v>593</v>
      </c>
      <c r="F10" s="323">
        <v>593</v>
      </c>
      <c r="G10" s="323">
        <f>F10+40</f>
        <v>633</v>
      </c>
      <c r="H10" s="324">
        <v>593</v>
      </c>
      <c r="I10" s="323">
        <v>615</v>
      </c>
      <c r="J10" s="323"/>
      <c r="K10" s="323"/>
      <c r="L10" s="323"/>
      <c r="M10" s="323">
        <f>G10*1.01</f>
        <v>639.33000000000004</v>
      </c>
      <c r="N10" s="323">
        <f>M10*1.01</f>
        <v>645.72329999999999</v>
      </c>
    </row>
    <row r="11" spans="1:16" x14ac:dyDescent="0.25">
      <c r="A11" s="399"/>
      <c r="B11" s="311" t="s">
        <v>113</v>
      </c>
      <c r="C11" s="312" t="s">
        <v>24</v>
      </c>
      <c r="D11" s="312" t="s">
        <v>53</v>
      </c>
      <c r="E11" s="313">
        <v>849681774</v>
      </c>
      <c r="F11" s="313">
        <v>837529502</v>
      </c>
      <c r="G11" s="316">
        <f>F11/1.01</f>
        <v>829237130.69306934</v>
      </c>
      <c r="H11" s="316">
        <v>235926437</v>
      </c>
      <c r="I11" s="316">
        <v>234590323</v>
      </c>
      <c r="J11" s="316"/>
      <c r="K11" s="316"/>
      <c r="L11" s="316"/>
      <c r="M11" s="316">
        <v>1468250105.4719999</v>
      </c>
      <c r="N11" s="316">
        <v>1223541754.5599999</v>
      </c>
    </row>
    <row r="12" spans="1:16" x14ac:dyDescent="0.25">
      <c r="A12" s="399"/>
      <c r="B12" s="311" t="s">
        <v>114</v>
      </c>
      <c r="C12" s="312" t="s">
        <v>115</v>
      </c>
      <c r="D12" s="312" t="s">
        <v>53</v>
      </c>
      <c r="E12" s="313">
        <v>1405822.3675203959</v>
      </c>
      <c r="F12" s="313">
        <v>1412360.0370994941</v>
      </c>
      <c r="G12" s="316">
        <f>G11/G10</f>
        <v>1310011.2649179611</v>
      </c>
      <c r="H12" s="316">
        <f>H11/H10</f>
        <v>397852.33895446878</v>
      </c>
      <c r="I12" s="316">
        <f>I11/I10</f>
        <v>381447.67967479676</v>
      </c>
      <c r="J12" s="316"/>
      <c r="K12" s="316"/>
      <c r="L12" s="316"/>
      <c r="M12" s="316">
        <v>2429261.0510752439</v>
      </c>
      <c r="N12" s="316">
        <v>2024384.2092293699</v>
      </c>
    </row>
    <row r="13" spans="1:16" x14ac:dyDescent="0.25">
      <c r="A13" s="399"/>
      <c r="B13" s="321" t="s">
        <v>116</v>
      </c>
      <c r="C13" s="322" t="s">
        <v>5</v>
      </c>
      <c r="D13" s="322" t="s">
        <v>53</v>
      </c>
      <c r="E13" s="323">
        <v>1722</v>
      </c>
      <c r="F13" s="323">
        <v>1566</v>
      </c>
      <c r="G13" s="323">
        <v>1160</v>
      </c>
      <c r="H13" s="325">
        <v>1466</v>
      </c>
      <c r="I13" s="323">
        <v>1150</v>
      </c>
      <c r="J13" s="323"/>
      <c r="K13" s="323"/>
      <c r="L13" s="323"/>
      <c r="M13" s="323">
        <f>G13*1.01</f>
        <v>1171.5999999999999</v>
      </c>
      <c r="N13" s="323">
        <f>M13*1.01</f>
        <v>1183.316</v>
      </c>
    </row>
    <row r="14" spans="1:16" x14ac:dyDescent="0.25">
      <c r="A14" s="399"/>
      <c r="B14" s="311" t="s">
        <v>117</v>
      </c>
      <c r="C14" s="312" t="s">
        <v>24</v>
      </c>
      <c r="D14" s="312" t="s">
        <v>53</v>
      </c>
      <c r="E14" s="326">
        <v>1847201081</v>
      </c>
      <c r="F14" s="326">
        <v>2125924826</v>
      </c>
      <c r="G14" s="316">
        <f>F15*F13*1.15</f>
        <v>2279426011.4383283</v>
      </c>
      <c r="H14" s="327">
        <v>578431987</v>
      </c>
      <c r="I14" s="327">
        <v>519599333</v>
      </c>
      <c r="J14" s="327"/>
      <c r="K14" s="327"/>
      <c r="L14" s="327"/>
      <c r="M14" s="327">
        <f>G14*1.15</f>
        <v>2621339913.1540775</v>
      </c>
      <c r="N14" s="327">
        <f>M14*1.15</f>
        <v>3014540900.1271892</v>
      </c>
    </row>
    <row r="15" spans="1:16" x14ac:dyDescent="0.25">
      <c r="A15" s="399"/>
      <c r="B15" s="311" t="s">
        <v>118</v>
      </c>
      <c r="C15" s="312" t="s">
        <v>115</v>
      </c>
      <c r="D15" s="312" t="s">
        <v>7</v>
      </c>
      <c r="E15" s="326">
        <v>484017545.65635598</v>
      </c>
      <c r="F15" s="326">
        <v>1265714.92666907</v>
      </c>
      <c r="G15" s="316">
        <f>G14/G13</f>
        <v>1965022.4236537314</v>
      </c>
      <c r="H15" s="327">
        <f>H14/H13</f>
        <v>394564.79331514327</v>
      </c>
      <c r="I15" s="327">
        <f>I14/I13</f>
        <v>451825.50695652171</v>
      </c>
      <c r="J15" s="327"/>
      <c r="K15" s="327"/>
      <c r="L15" s="327"/>
      <c r="M15" s="327">
        <f>M14/M13</f>
        <v>2237401.7695067241</v>
      </c>
      <c r="N15" s="327">
        <f>N14/N13</f>
        <v>2547536.6682502301</v>
      </c>
    </row>
    <row r="16" spans="1:16" x14ac:dyDescent="0.25">
      <c r="A16" s="399"/>
      <c r="B16" s="311" t="s">
        <v>119</v>
      </c>
      <c r="C16" s="312" t="s">
        <v>5</v>
      </c>
      <c r="D16" s="328" t="s">
        <v>53</v>
      </c>
      <c r="E16" s="328">
        <v>0</v>
      </c>
      <c r="F16" s="328">
        <v>0</v>
      </c>
      <c r="G16" s="328">
        <v>0</v>
      </c>
      <c r="H16" s="328">
        <v>0</v>
      </c>
      <c r="I16" s="328">
        <v>0</v>
      </c>
      <c r="J16" s="328"/>
      <c r="K16" s="328"/>
      <c r="L16" s="328"/>
      <c r="M16" s="328">
        <v>0</v>
      </c>
      <c r="N16" s="328">
        <v>0</v>
      </c>
    </row>
    <row r="17" spans="1:16" x14ac:dyDescent="0.25">
      <c r="A17" s="399"/>
      <c r="B17" s="311" t="s">
        <v>120</v>
      </c>
      <c r="C17" s="312" t="s">
        <v>5</v>
      </c>
      <c r="D17" s="312" t="s">
        <v>53</v>
      </c>
      <c r="E17" s="313">
        <v>21</v>
      </c>
      <c r="F17" s="313">
        <v>20</v>
      </c>
      <c r="G17" s="313">
        <v>20</v>
      </c>
      <c r="H17" s="329">
        <v>3</v>
      </c>
      <c r="I17" s="313">
        <v>6</v>
      </c>
      <c r="J17" s="313"/>
      <c r="K17" s="313"/>
      <c r="L17" s="330"/>
      <c r="M17" s="313">
        <v>21</v>
      </c>
      <c r="N17" s="313">
        <v>22</v>
      </c>
    </row>
    <row r="18" spans="1:16" x14ac:dyDescent="0.25">
      <c r="A18" s="399"/>
      <c r="B18" s="311" t="s">
        <v>121</v>
      </c>
      <c r="C18" s="331" t="s">
        <v>24</v>
      </c>
      <c r="D18" s="331" t="s">
        <v>53</v>
      </c>
      <c r="E18" s="332">
        <v>2408759.5300000003</v>
      </c>
      <c r="F18" s="332">
        <v>1752290.7400000002</v>
      </c>
      <c r="G18" s="333">
        <f>E18*1.16*1.16</f>
        <v>3241226.823568</v>
      </c>
      <c r="H18" s="333">
        <v>597838.94999999995</v>
      </c>
      <c r="I18" s="316">
        <f>148904.59+482876.78+121190.01+147751.05+142430+124944.25</f>
        <v>1168096.68</v>
      </c>
      <c r="J18" s="333"/>
      <c r="K18" s="316"/>
      <c r="L18" s="316"/>
      <c r="M18" s="333">
        <f>G18*1.1</f>
        <v>3565349.5059248004</v>
      </c>
      <c r="N18" s="333">
        <f>M18*1.1</f>
        <v>3921884.4565172805</v>
      </c>
    </row>
    <row r="19" spans="1:16" x14ac:dyDescent="0.25">
      <c r="A19" s="399"/>
      <c r="B19" s="311" t="s">
        <v>122</v>
      </c>
      <c r="C19" s="312" t="s">
        <v>5</v>
      </c>
      <c r="D19" s="312" t="s">
        <v>53</v>
      </c>
      <c r="E19" s="313">
        <v>309</v>
      </c>
      <c r="F19" s="313">
        <v>345</v>
      </c>
      <c r="G19" s="313">
        <f>F19*1.1</f>
        <v>379.50000000000006</v>
      </c>
      <c r="H19" s="329">
        <v>85</v>
      </c>
      <c r="I19" s="313">
        <v>81</v>
      </c>
      <c r="J19" s="313"/>
      <c r="K19" s="313"/>
      <c r="L19" s="329"/>
      <c r="M19" s="313">
        <v>400</v>
      </c>
      <c r="N19" s="313">
        <v>410</v>
      </c>
      <c r="P19" s="334"/>
    </row>
    <row r="20" spans="1:16" x14ac:dyDescent="0.25">
      <c r="A20" s="399"/>
      <c r="B20" s="311" t="s">
        <v>123</v>
      </c>
      <c r="C20" s="312" t="s">
        <v>5</v>
      </c>
      <c r="D20" s="312" t="s">
        <v>53</v>
      </c>
      <c r="E20" s="313">
        <v>328</v>
      </c>
      <c r="F20" s="313">
        <v>337</v>
      </c>
      <c r="G20" s="313">
        <v>360.8</v>
      </c>
      <c r="H20" s="329">
        <v>90</v>
      </c>
      <c r="I20" s="313">
        <v>87</v>
      </c>
      <c r="J20" s="313"/>
      <c r="K20" s="313"/>
      <c r="L20" s="329"/>
      <c r="M20" s="313">
        <v>370</v>
      </c>
      <c r="N20" s="313">
        <v>390</v>
      </c>
    </row>
    <row r="21" spans="1:16" x14ac:dyDescent="0.25">
      <c r="A21" s="389" t="s">
        <v>29</v>
      </c>
      <c r="B21" s="321" t="s">
        <v>124</v>
      </c>
      <c r="C21" s="322"/>
      <c r="D21" s="335"/>
      <c r="E21" s="322"/>
      <c r="F21" s="322"/>
      <c r="G21" s="336"/>
      <c r="H21" s="337"/>
      <c r="I21" s="322"/>
      <c r="J21" s="322"/>
      <c r="K21" s="322"/>
      <c r="L21" s="322"/>
      <c r="M21" s="338"/>
      <c r="N21" s="322"/>
    </row>
    <row r="22" spans="1:16" x14ac:dyDescent="0.25">
      <c r="A22" s="389"/>
      <c r="B22" s="311" t="s">
        <v>125</v>
      </c>
      <c r="C22" s="331" t="s">
        <v>5</v>
      </c>
      <c r="D22" s="331" t="s">
        <v>53</v>
      </c>
      <c r="E22" s="332">
        <v>738</v>
      </c>
      <c r="F22" s="332">
        <v>645</v>
      </c>
      <c r="G22" s="332">
        <f>H22</f>
        <v>644</v>
      </c>
      <c r="H22" s="339">
        <v>644</v>
      </c>
      <c r="I22" s="313">
        <v>641</v>
      </c>
      <c r="J22" s="332"/>
      <c r="K22" s="332"/>
      <c r="L22" s="332"/>
      <c r="M22" s="340">
        <f>G22</f>
        <v>644</v>
      </c>
      <c r="N22" s="332">
        <f>M22+3</f>
        <v>647</v>
      </c>
    </row>
    <row r="23" spans="1:16" x14ac:dyDescent="0.25">
      <c r="A23" s="389"/>
      <c r="B23" s="311" t="s">
        <v>126</v>
      </c>
      <c r="C23" s="331" t="s">
        <v>5</v>
      </c>
      <c r="D23" s="331" t="s">
        <v>53</v>
      </c>
      <c r="E23" s="332">
        <v>65</v>
      </c>
      <c r="F23" s="332">
        <v>71</v>
      </c>
      <c r="G23" s="332">
        <f t="shared" ref="G23:G32" si="0">H23</f>
        <v>71</v>
      </c>
      <c r="H23" s="339">
        <v>71</v>
      </c>
      <c r="I23" s="313">
        <v>70</v>
      </c>
      <c r="J23" s="332"/>
      <c r="K23" s="332"/>
      <c r="L23" s="332"/>
      <c r="M23" s="340">
        <f t="shared" ref="M23:M32" si="1">G23</f>
        <v>71</v>
      </c>
      <c r="N23" s="332">
        <f t="shared" ref="N23:N31" si="2">M23+3</f>
        <v>74</v>
      </c>
    </row>
    <row r="24" spans="1:16" x14ac:dyDescent="0.25">
      <c r="A24" s="389"/>
      <c r="B24" s="311" t="s">
        <v>127</v>
      </c>
      <c r="C24" s="331" t="s">
        <v>5</v>
      </c>
      <c r="D24" s="331" t="s">
        <v>53</v>
      </c>
      <c r="E24" s="332">
        <v>119</v>
      </c>
      <c r="F24" s="332">
        <v>114</v>
      </c>
      <c r="G24" s="332">
        <f t="shared" si="0"/>
        <v>113</v>
      </c>
      <c r="H24" s="339">
        <v>113</v>
      </c>
      <c r="I24" s="313">
        <v>113</v>
      </c>
      <c r="J24" s="332"/>
      <c r="K24" s="332"/>
      <c r="L24" s="332"/>
      <c r="M24" s="340">
        <f t="shared" si="1"/>
        <v>113</v>
      </c>
      <c r="N24" s="332">
        <f t="shared" si="2"/>
        <v>116</v>
      </c>
    </row>
    <row r="25" spans="1:16" x14ac:dyDescent="0.25">
      <c r="A25" s="389"/>
      <c r="B25" s="311" t="s">
        <v>128</v>
      </c>
      <c r="C25" s="331" t="s">
        <v>5</v>
      </c>
      <c r="D25" s="331" t="s">
        <v>53</v>
      </c>
      <c r="E25" s="332">
        <v>633</v>
      </c>
      <c r="F25" s="332">
        <v>531</v>
      </c>
      <c r="G25" s="332">
        <f t="shared" si="0"/>
        <v>517</v>
      </c>
      <c r="H25" s="339">
        <v>517</v>
      </c>
      <c r="I25" s="313">
        <v>514</v>
      </c>
      <c r="J25" s="332"/>
      <c r="K25" s="332"/>
      <c r="L25" s="332"/>
      <c r="M25" s="340">
        <f t="shared" si="1"/>
        <v>517</v>
      </c>
      <c r="N25" s="332">
        <f t="shared" si="2"/>
        <v>520</v>
      </c>
    </row>
    <row r="26" spans="1:16" x14ac:dyDescent="0.25">
      <c r="A26" s="389"/>
      <c r="B26" s="311" t="s">
        <v>129</v>
      </c>
      <c r="C26" s="331" t="s">
        <v>5</v>
      </c>
      <c r="D26" s="331" t="s">
        <v>53</v>
      </c>
      <c r="E26" s="332">
        <v>733</v>
      </c>
      <c r="F26" s="332">
        <v>663</v>
      </c>
      <c r="G26" s="332">
        <f t="shared" si="0"/>
        <v>644</v>
      </c>
      <c r="H26" s="339">
        <f>H27+H28+H29+H30+H31+H32</f>
        <v>644</v>
      </c>
      <c r="I26" s="313">
        <f>I27+I28+I29+I30+I31+I32</f>
        <v>641</v>
      </c>
      <c r="J26" s="332"/>
      <c r="K26" s="332"/>
      <c r="L26" s="332"/>
      <c r="M26" s="340">
        <f t="shared" si="1"/>
        <v>644</v>
      </c>
      <c r="N26" s="332">
        <f t="shared" si="2"/>
        <v>647</v>
      </c>
    </row>
    <row r="27" spans="1:16" x14ac:dyDescent="0.25">
      <c r="A27" s="389"/>
      <c r="B27" s="311" t="s">
        <v>130</v>
      </c>
      <c r="C27" s="331" t="s">
        <v>5</v>
      </c>
      <c r="D27" s="331" t="s">
        <v>53</v>
      </c>
      <c r="E27" s="332">
        <v>5</v>
      </c>
      <c r="F27" s="332">
        <v>4</v>
      </c>
      <c r="G27" s="332">
        <f t="shared" si="0"/>
        <v>4</v>
      </c>
      <c r="H27" s="339">
        <v>4</v>
      </c>
      <c r="I27" s="313">
        <v>4</v>
      </c>
      <c r="J27" s="332"/>
      <c r="K27" s="332"/>
      <c r="L27" s="332"/>
      <c r="M27" s="340">
        <f t="shared" si="1"/>
        <v>4</v>
      </c>
      <c r="N27" s="332">
        <f t="shared" si="2"/>
        <v>7</v>
      </c>
    </row>
    <row r="28" spans="1:16" x14ac:dyDescent="0.25">
      <c r="A28" s="389"/>
      <c r="B28" s="311" t="s">
        <v>131</v>
      </c>
      <c r="C28" s="331" t="s">
        <v>5</v>
      </c>
      <c r="D28" s="331" t="s">
        <v>53</v>
      </c>
      <c r="E28" s="332">
        <v>633</v>
      </c>
      <c r="F28" s="332">
        <v>630</v>
      </c>
      <c r="G28" s="332">
        <f t="shared" si="0"/>
        <v>611</v>
      </c>
      <c r="H28" s="339">
        <v>611</v>
      </c>
      <c r="I28" s="313">
        <v>608</v>
      </c>
      <c r="J28" s="332"/>
      <c r="K28" s="332"/>
      <c r="L28" s="332"/>
      <c r="M28" s="340">
        <f t="shared" si="1"/>
        <v>611</v>
      </c>
      <c r="N28" s="332">
        <f t="shared" si="2"/>
        <v>614</v>
      </c>
    </row>
    <row r="29" spans="1:16" x14ac:dyDescent="0.25">
      <c r="A29" s="389"/>
      <c r="B29" s="311" t="s">
        <v>132</v>
      </c>
      <c r="C29" s="331" t="s">
        <v>5</v>
      </c>
      <c r="D29" s="331" t="s">
        <v>53</v>
      </c>
      <c r="E29" s="332">
        <v>84</v>
      </c>
      <c r="F29" s="332">
        <v>15</v>
      </c>
      <c r="G29" s="332">
        <f t="shared" si="0"/>
        <v>15</v>
      </c>
      <c r="H29" s="339">
        <v>15</v>
      </c>
      <c r="I29" s="313">
        <v>15</v>
      </c>
      <c r="J29" s="332"/>
      <c r="K29" s="332"/>
      <c r="L29" s="332"/>
      <c r="M29" s="340">
        <f t="shared" si="1"/>
        <v>15</v>
      </c>
      <c r="N29" s="332">
        <f t="shared" si="2"/>
        <v>18</v>
      </c>
    </row>
    <row r="30" spans="1:16" x14ac:dyDescent="0.25">
      <c r="A30" s="389"/>
      <c r="B30" s="311" t="s">
        <v>133</v>
      </c>
      <c r="C30" s="331" t="s">
        <v>5</v>
      </c>
      <c r="D30" s="331" t="s">
        <v>53</v>
      </c>
      <c r="E30" s="332">
        <v>2</v>
      </c>
      <c r="F30" s="332">
        <v>2</v>
      </c>
      <c r="G30" s="332">
        <f t="shared" si="0"/>
        <v>2</v>
      </c>
      <c r="H30" s="339">
        <v>2</v>
      </c>
      <c r="I30" s="313">
        <v>2</v>
      </c>
      <c r="J30" s="332"/>
      <c r="K30" s="332"/>
      <c r="L30" s="332"/>
      <c r="M30" s="340">
        <f t="shared" si="1"/>
        <v>2</v>
      </c>
      <c r="N30" s="332">
        <f t="shared" si="2"/>
        <v>5</v>
      </c>
    </row>
    <row r="31" spans="1:16" x14ac:dyDescent="0.25">
      <c r="A31" s="389"/>
      <c r="B31" s="311" t="s">
        <v>134</v>
      </c>
      <c r="C31" s="331" t="s">
        <v>5</v>
      </c>
      <c r="D31" s="331" t="s">
        <v>53</v>
      </c>
      <c r="E31" s="332">
        <v>18</v>
      </c>
      <c r="F31" s="332">
        <v>10</v>
      </c>
      <c r="G31" s="332">
        <f t="shared" si="0"/>
        <v>10</v>
      </c>
      <c r="H31" s="339">
        <v>10</v>
      </c>
      <c r="I31" s="313">
        <v>10</v>
      </c>
      <c r="J31" s="332"/>
      <c r="K31" s="332"/>
      <c r="L31" s="332"/>
      <c r="M31" s="340">
        <f t="shared" si="1"/>
        <v>10</v>
      </c>
      <c r="N31" s="332">
        <f t="shared" si="2"/>
        <v>13</v>
      </c>
    </row>
    <row r="32" spans="1:16" x14ac:dyDescent="0.25">
      <c r="A32" s="389"/>
      <c r="B32" s="311" t="s">
        <v>135</v>
      </c>
      <c r="C32" s="331" t="s">
        <v>5</v>
      </c>
      <c r="D32" s="331" t="s">
        <v>53</v>
      </c>
      <c r="E32" s="332">
        <v>4</v>
      </c>
      <c r="F32" s="332">
        <v>2</v>
      </c>
      <c r="G32" s="332">
        <f t="shared" si="0"/>
        <v>2</v>
      </c>
      <c r="H32" s="339">
        <v>2</v>
      </c>
      <c r="I32" s="313">
        <v>2</v>
      </c>
      <c r="J32" s="332"/>
      <c r="K32" s="332"/>
      <c r="L32" s="332"/>
      <c r="M32" s="340">
        <f t="shared" si="1"/>
        <v>2</v>
      </c>
      <c r="N32" s="332">
        <v>2</v>
      </c>
    </row>
    <row r="33" spans="1:14" x14ac:dyDescent="0.25">
      <c r="A33" s="389"/>
      <c r="B33" s="321" t="s">
        <v>136</v>
      </c>
      <c r="C33" s="322"/>
      <c r="D33" s="335"/>
      <c r="E33" s="323"/>
      <c r="F33" s="323"/>
      <c r="G33" s="323"/>
      <c r="H33" s="337"/>
      <c r="I33" s="323"/>
      <c r="J33" s="323"/>
      <c r="K33" s="323"/>
      <c r="L33" s="323"/>
      <c r="M33" s="341"/>
      <c r="N33" s="323"/>
    </row>
    <row r="34" spans="1:14" x14ac:dyDescent="0.25">
      <c r="A34" s="389"/>
      <c r="B34" s="311" t="s">
        <v>137</v>
      </c>
      <c r="C34" s="312" t="s">
        <v>5</v>
      </c>
      <c r="D34" s="312" t="s">
        <v>53</v>
      </c>
      <c r="E34" s="313">
        <v>11</v>
      </c>
      <c r="F34" s="313">
        <v>13</v>
      </c>
      <c r="G34" s="313">
        <v>14</v>
      </c>
      <c r="H34" s="313">
        <f>F34</f>
        <v>13</v>
      </c>
      <c r="I34" s="313">
        <v>13</v>
      </c>
      <c r="J34" s="313"/>
      <c r="K34" s="313"/>
      <c r="L34" s="313"/>
      <c r="M34" s="342">
        <v>15</v>
      </c>
      <c r="N34" s="313">
        <v>16</v>
      </c>
    </row>
    <row r="35" spans="1:14" x14ac:dyDescent="0.25">
      <c r="A35" s="390"/>
      <c r="B35" s="311" t="s">
        <v>138</v>
      </c>
      <c r="C35" s="312" t="s">
        <v>5</v>
      </c>
      <c r="D35" s="312" t="s">
        <v>53</v>
      </c>
      <c r="E35" s="313">
        <v>669</v>
      </c>
      <c r="F35" s="313">
        <v>749</v>
      </c>
      <c r="G35" s="313">
        <f>G36+G37</f>
        <v>836.9</v>
      </c>
      <c r="H35" s="313">
        <v>756</v>
      </c>
      <c r="I35" s="313">
        <f>I36+I37</f>
        <v>760</v>
      </c>
      <c r="J35" s="313"/>
      <c r="K35" s="313"/>
      <c r="L35" s="313"/>
      <c r="M35" s="342">
        <f>M36+M37</f>
        <v>855</v>
      </c>
      <c r="N35" s="313">
        <f>N36+N37</f>
        <v>880</v>
      </c>
    </row>
    <row r="36" spans="1:14" x14ac:dyDescent="0.25">
      <c r="A36" s="390"/>
      <c r="B36" s="311" t="s">
        <v>139</v>
      </c>
      <c r="C36" s="312" t="s">
        <v>5</v>
      </c>
      <c r="D36" s="312" t="s">
        <v>53</v>
      </c>
      <c r="E36" s="313">
        <v>492</v>
      </c>
      <c r="F36" s="313">
        <v>570</v>
      </c>
      <c r="G36" s="313">
        <f>F36+70</f>
        <v>640</v>
      </c>
      <c r="H36" s="313">
        <f>F36</f>
        <v>570</v>
      </c>
      <c r="I36" s="313">
        <f>H36+4</f>
        <v>574</v>
      </c>
      <c r="J36" s="313"/>
      <c r="K36" s="313"/>
      <c r="L36" s="313"/>
      <c r="M36" s="342">
        <f>650</f>
        <v>650</v>
      </c>
      <c r="N36" s="313">
        <v>670</v>
      </c>
    </row>
    <row r="37" spans="1:14" x14ac:dyDescent="0.25">
      <c r="A37" s="390"/>
      <c r="B37" s="311" t="s">
        <v>140</v>
      </c>
      <c r="C37" s="312" t="s">
        <v>5</v>
      </c>
      <c r="D37" s="312" t="s">
        <v>53</v>
      </c>
      <c r="E37" s="313">
        <v>177</v>
      </c>
      <c r="F37" s="313">
        <v>179</v>
      </c>
      <c r="G37" s="313">
        <f>F37*1.1</f>
        <v>196.9</v>
      </c>
      <c r="H37" s="313">
        <f>F37+7</f>
        <v>186</v>
      </c>
      <c r="I37" s="313">
        <v>186</v>
      </c>
      <c r="J37" s="313"/>
      <c r="K37" s="313"/>
      <c r="L37" s="313"/>
      <c r="M37" s="342">
        <v>205</v>
      </c>
      <c r="N37" s="313">
        <v>210</v>
      </c>
    </row>
    <row r="38" spans="1:14" x14ac:dyDescent="0.25">
      <c r="A38" s="390"/>
      <c r="B38" s="321" t="s">
        <v>141</v>
      </c>
      <c r="C38" s="322"/>
      <c r="D38" s="335"/>
      <c r="E38" s="323"/>
      <c r="F38" s="323"/>
      <c r="G38" s="323"/>
      <c r="H38" s="337"/>
      <c r="I38" s="323"/>
      <c r="J38" s="323"/>
      <c r="K38" s="323"/>
      <c r="L38" s="323"/>
      <c r="M38" s="341"/>
      <c r="N38" s="323"/>
    </row>
    <row r="39" spans="1:14" x14ac:dyDescent="0.25">
      <c r="A39" s="390"/>
      <c r="B39" s="311" t="s">
        <v>142</v>
      </c>
      <c r="C39" s="312" t="s">
        <v>24</v>
      </c>
      <c r="D39" s="312" t="s">
        <v>53</v>
      </c>
      <c r="E39" s="316">
        <v>3091560044.54</v>
      </c>
      <c r="F39" s="316">
        <v>4670804061</v>
      </c>
      <c r="G39" s="316">
        <v>4595871918</v>
      </c>
      <c r="H39" s="316">
        <f>G39</f>
        <v>4595871918</v>
      </c>
      <c r="I39" s="316">
        <f>H39</f>
        <v>4595871918</v>
      </c>
      <c r="J39" s="316"/>
      <c r="K39" s="316"/>
      <c r="L39" s="316"/>
      <c r="M39" s="316">
        <f>G39*1.02</f>
        <v>4687789356.3599997</v>
      </c>
      <c r="N39" s="316">
        <f>M39*1.02</f>
        <v>4781545143.4871998</v>
      </c>
    </row>
    <row r="40" spans="1:14" x14ac:dyDescent="0.25">
      <c r="A40" s="390"/>
      <c r="B40" s="311" t="s">
        <v>143</v>
      </c>
      <c r="C40" s="312" t="s">
        <v>24</v>
      </c>
      <c r="D40" s="312" t="s">
        <v>53</v>
      </c>
      <c r="E40" s="316">
        <v>4249930774.8400002</v>
      </c>
      <c r="F40" s="316">
        <v>4670804061</v>
      </c>
      <c r="G40" s="316">
        <f>G39</f>
        <v>4595871918</v>
      </c>
      <c r="H40" s="316">
        <f>H39</f>
        <v>4595871918</v>
      </c>
      <c r="I40" s="316">
        <f>H40</f>
        <v>4595871918</v>
      </c>
      <c r="J40" s="316"/>
      <c r="K40" s="316"/>
      <c r="L40" s="316"/>
      <c r="M40" s="316">
        <f t="shared" ref="M40:M41" si="3">G40*1.02</f>
        <v>4687789356.3599997</v>
      </c>
      <c r="N40" s="316">
        <f t="shared" ref="N40:N41" si="4">M40*1.02</f>
        <v>4781545143.4871998</v>
      </c>
    </row>
    <row r="41" spans="1:14" x14ac:dyDescent="0.25">
      <c r="A41" s="390"/>
      <c r="B41" s="311" t="s">
        <v>144</v>
      </c>
      <c r="C41" s="312" t="s">
        <v>24</v>
      </c>
      <c r="D41" s="312" t="s">
        <v>53</v>
      </c>
      <c r="E41" s="316">
        <v>3872155095.4899998</v>
      </c>
      <c r="F41" s="316">
        <v>4508173862.9099998</v>
      </c>
      <c r="G41" s="316">
        <v>4595871918</v>
      </c>
      <c r="H41" s="316">
        <v>1076528543.1300001</v>
      </c>
      <c r="I41" s="316">
        <f>2338452927.73-H41</f>
        <v>1261924384.5999999</v>
      </c>
      <c r="J41" s="316"/>
      <c r="K41" s="316"/>
      <c r="L41" s="316"/>
      <c r="M41" s="316">
        <f t="shared" si="3"/>
        <v>4687789356.3599997</v>
      </c>
      <c r="N41" s="316">
        <f t="shared" si="4"/>
        <v>4781545143.4871998</v>
      </c>
    </row>
    <row r="42" spans="1:14" ht="15.75" thickBot="1" x14ac:dyDescent="0.3">
      <c r="A42" s="391"/>
      <c r="B42" s="311" t="s">
        <v>145</v>
      </c>
      <c r="C42" s="312" t="s">
        <v>6</v>
      </c>
      <c r="D42" s="312" t="s">
        <v>53</v>
      </c>
      <c r="E42" s="343">
        <f>E41/E40</f>
        <v>0.91111015699679887</v>
      </c>
      <c r="F42" s="343">
        <v>0.96518154134361578</v>
      </c>
      <c r="G42" s="316" t="s">
        <v>181</v>
      </c>
      <c r="H42" s="343">
        <f>H41/H40</f>
        <v>0.23423815161465084</v>
      </c>
      <c r="I42" s="343">
        <f>I41/I40</f>
        <v>0.27457779657818565</v>
      </c>
      <c r="J42" s="344"/>
      <c r="K42" s="343"/>
      <c r="L42" s="343"/>
      <c r="M42" s="316">
        <v>0</v>
      </c>
      <c r="N42" s="313" t="s">
        <v>181</v>
      </c>
    </row>
    <row r="43" spans="1:14" x14ac:dyDescent="0.25">
      <c r="H43" s="345"/>
      <c r="I43" s="345"/>
    </row>
    <row r="44" spans="1:14" x14ac:dyDescent="0.25">
      <c r="G44" s="345"/>
    </row>
    <row r="45" spans="1:14" x14ac:dyDescent="0.25">
      <c r="G45" s="345"/>
    </row>
    <row r="46" spans="1:14" x14ac:dyDescent="0.25">
      <c r="H46" s="345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65" bottom="0.37" header="0.18" footer="0.31496062992125984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tabSelected="1" topLeftCell="B4" zoomScale="95" zoomScaleNormal="95" workbookViewId="0">
      <selection activeCell="B19" sqref="B19"/>
    </sheetView>
  </sheetViews>
  <sheetFormatPr baseColWidth="10" defaultRowHeight="12.75" x14ac:dyDescent="0.2"/>
  <cols>
    <col min="1" max="1" width="5.85546875" style="239" customWidth="1"/>
    <col min="2" max="2" width="43.7109375" style="239" customWidth="1"/>
    <col min="3" max="3" width="9.42578125" style="302" customWidth="1"/>
    <col min="4" max="4" width="9.42578125" style="303" customWidth="1"/>
    <col min="5" max="11" width="9.42578125" style="131" customWidth="1"/>
    <col min="12" max="12" width="11" style="442" customWidth="1"/>
    <col min="13" max="256" width="11.42578125" style="239"/>
    <col min="257" max="257" width="5.85546875" style="239" customWidth="1"/>
    <col min="258" max="258" width="43.7109375" style="239" customWidth="1"/>
    <col min="259" max="267" width="9.42578125" style="239" customWidth="1"/>
    <col min="268" max="268" width="11" style="239" customWidth="1"/>
    <col min="269" max="512" width="11.42578125" style="239"/>
    <col min="513" max="513" width="5.85546875" style="239" customWidth="1"/>
    <col min="514" max="514" width="43.7109375" style="239" customWidth="1"/>
    <col min="515" max="523" width="9.42578125" style="239" customWidth="1"/>
    <col min="524" max="524" width="11" style="239" customWidth="1"/>
    <col min="525" max="768" width="11.42578125" style="239"/>
    <col min="769" max="769" width="5.85546875" style="239" customWidth="1"/>
    <col min="770" max="770" width="43.7109375" style="239" customWidth="1"/>
    <col min="771" max="779" width="9.42578125" style="239" customWidth="1"/>
    <col min="780" max="780" width="11" style="239" customWidth="1"/>
    <col min="781" max="1024" width="11.42578125" style="239"/>
    <col min="1025" max="1025" width="5.85546875" style="239" customWidth="1"/>
    <col min="1026" max="1026" width="43.7109375" style="239" customWidth="1"/>
    <col min="1027" max="1035" width="9.42578125" style="239" customWidth="1"/>
    <col min="1036" max="1036" width="11" style="239" customWidth="1"/>
    <col min="1037" max="1280" width="11.42578125" style="239"/>
    <col min="1281" max="1281" width="5.85546875" style="239" customWidth="1"/>
    <col min="1282" max="1282" width="43.7109375" style="239" customWidth="1"/>
    <col min="1283" max="1291" width="9.42578125" style="239" customWidth="1"/>
    <col min="1292" max="1292" width="11" style="239" customWidth="1"/>
    <col min="1293" max="1536" width="11.42578125" style="239"/>
    <col min="1537" max="1537" width="5.85546875" style="239" customWidth="1"/>
    <col min="1538" max="1538" width="43.7109375" style="239" customWidth="1"/>
    <col min="1539" max="1547" width="9.42578125" style="239" customWidth="1"/>
    <col min="1548" max="1548" width="11" style="239" customWidth="1"/>
    <col min="1549" max="1792" width="11.42578125" style="239"/>
    <col min="1793" max="1793" width="5.85546875" style="239" customWidth="1"/>
    <col min="1794" max="1794" width="43.7109375" style="239" customWidth="1"/>
    <col min="1795" max="1803" width="9.42578125" style="239" customWidth="1"/>
    <col min="1804" max="1804" width="11" style="239" customWidth="1"/>
    <col min="1805" max="2048" width="11.42578125" style="239"/>
    <col min="2049" max="2049" width="5.85546875" style="239" customWidth="1"/>
    <col min="2050" max="2050" width="43.7109375" style="239" customWidth="1"/>
    <col min="2051" max="2059" width="9.42578125" style="239" customWidth="1"/>
    <col min="2060" max="2060" width="11" style="239" customWidth="1"/>
    <col min="2061" max="2304" width="11.42578125" style="239"/>
    <col min="2305" max="2305" width="5.85546875" style="239" customWidth="1"/>
    <col min="2306" max="2306" width="43.7109375" style="239" customWidth="1"/>
    <col min="2307" max="2315" width="9.42578125" style="239" customWidth="1"/>
    <col min="2316" max="2316" width="11" style="239" customWidth="1"/>
    <col min="2317" max="2560" width="11.42578125" style="239"/>
    <col min="2561" max="2561" width="5.85546875" style="239" customWidth="1"/>
    <col min="2562" max="2562" width="43.7109375" style="239" customWidth="1"/>
    <col min="2563" max="2571" width="9.42578125" style="239" customWidth="1"/>
    <col min="2572" max="2572" width="11" style="239" customWidth="1"/>
    <col min="2573" max="2816" width="11.42578125" style="239"/>
    <col min="2817" max="2817" width="5.85546875" style="239" customWidth="1"/>
    <col min="2818" max="2818" width="43.7109375" style="239" customWidth="1"/>
    <col min="2819" max="2827" width="9.42578125" style="239" customWidth="1"/>
    <col min="2828" max="2828" width="11" style="239" customWidth="1"/>
    <col min="2829" max="3072" width="11.42578125" style="239"/>
    <col min="3073" max="3073" width="5.85546875" style="239" customWidth="1"/>
    <col min="3074" max="3074" width="43.7109375" style="239" customWidth="1"/>
    <col min="3075" max="3083" width="9.42578125" style="239" customWidth="1"/>
    <col min="3084" max="3084" width="11" style="239" customWidth="1"/>
    <col min="3085" max="3328" width="11.42578125" style="239"/>
    <col min="3329" max="3329" width="5.85546875" style="239" customWidth="1"/>
    <col min="3330" max="3330" width="43.7109375" style="239" customWidth="1"/>
    <col min="3331" max="3339" width="9.42578125" style="239" customWidth="1"/>
    <col min="3340" max="3340" width="11" style="239" customWidth="1"/>
    <col min="3341" max="3584" width="11.42578125" style="239"/>
    <col min="3585" max="3585" width="5.85546875" style="239" customWidth="1"/>
    <col min="3586" max="3586" width="43.7109375" style="239" customWidth="1"/>
    <col min="3587" max="3595" width="9.42578125" style="239" customWidth="1"/>
    <col min="3596" max="3596" width="11" style="239" customWidth="1"/>
    <col min="3597" max="3840" width="11.42578125" style="239"/>
    <col min="3841" max="3841" width="5.85546875" style="239" customWidth="1"/>
    <col min="3842" max="3842" width="43.7109375" style="239" customWidth="1"/>
    <col min="3843" max="3851" width="9.42578125" style="239" customWidth="1"/>
    <col min="3852" max="3852" width="11" style="239" customWidth="1"/>
    <col min="3853" max="4096" width="11.42578125" style="239"/>
    <col min="4097" max="4097" width="5.85546875" style="239" customWidth="1"/>
    <col min="4098" max="4098" width="43.7109375" style="239" customWidth="1"/>
    <col min="4099" max="4107" width="9.42578125" style="239" customWidth="1"/>
    <col min="4108" max="4108" width="11" style="239" customWidth="1"/>
    <col min="4109" max="4352" width="11.42578125" style="239"/>
    <col min="4353" max="4353" width="5.85546875" style="239" customWidth="1"/>
    <col min="4354" max="4354" width="43.7109375" style="239" customWidth="1"/>
    <col min="4355" max="4363" width="9.42578125" style="239" customWidth="1"/>
    <col min="4364" max="4364" width="11" style="239" customWidth="1"/>
    <col min="4365" max="4608" width="11.42578125" style="239"/>
    <col min="4609" max="4609" width="5.85546875" style="239" customWidth="1"/>
    <col min="4610" max="4610" width="43.7109375" style="239" customWidth="1"/>
    <col min="4611" max="4619" width="9.42578125" style="239" customWidth="1"/>
    <col min="4620" max="4620" width="11" style="239" customWidth="1"/>
    <col min="4621" max="4864" width="11.42578125" style="239"/>
    <col min="4865" max="4865" width="5.85546875" style="239" customWidth="1"/>
    <col min="4866" max="4866" width="43.7109375" style="239" customWidth="1"/>
    <col min="4867" max="4875" width="9.42578125" style="239" customWidth="1"/>
    <col min="4876" max="4876" width="11" style="239" customWidth="1"/>
    <col min="4877" max="5120" width="11.42578125" style="239"/>
    <col min="5121" max="5121" width="5.85546875" style="239" customWidth="1"/>
    <col min="5122" max="5122" width="43.7109375" style="239" customWidth="1"/>
    <col min="5123" max="5131" width="9.42578125" style="239" customWidth="1"/>
    <col min="5132" max="5132" width="11" style="239" customWidth="1"/>
    <col min="5133" max="5376" width="11.42578125" style="239"/>
    <col min="5377" max="5377" width="5.85546875" style="239" customWidth="1"/>
    <col min="5378" max="5378" width="43.7109375" style="239" customWidth="1"/>
    <col min="5379" max="5387" width="9.42578125" style="239" customWidth="1"/>
    <col min="5388" max="5388" width="11" style="239" customWidth="1"/>
    <col min="5389" max="5632" width="11.42578125" style="239"/>
    <col min="5633" max="5633" width="5.85546875" style="239" customWidth="1"/>
    <col min="5634" max="5634" width="43.7109375" style="239" customWidth="1"/>
    <col min="5635" max="5643" width="9.42578125" style="239" customWidth="1"/>
    <col min="5644" max="5644" width="11" style="239" customWidth="1"/>
    <col min="5645" max="5888" width="11.42578125" style="239"/>
    <col min="5889" max="5889" width="5.85546875" style="239" customWidth="1"/>
    <col min="5890" max="5890" width="43.7109375" style="239" customWidth="1"/>
    <col min="5891" max="5899" width="9.42578125" style="239" customWidth="1"/>
    <col min="5900" max="5900" width="11" style="239" customWidth="1"/>
    <col min="5901" max="6144" width="11.42578125" style="239"/>
    <col min="6145" max="6145" width="5.85546875" style="239" customWidth="1"/>
    <col min="6146" max="6146" width="43.7109375" style="239" customWidth="1"/>
    <col min="6147" max="6155" width="9.42578125" style="239" customWidth="1"/>
    <col min="6156" max="6156" width="11" style="239" customWidth="1"/>
    <col min="6157" max="6400" width="11.42578125" style="239"/>
    <col min="6401" max="6401" width="5.85546875" style="239" customWidth="1"/>
    <col min="6402" max="6402" width="43.7109375" style="239" customWidth="1"/>
    <col min="6403" max="6411" width="9.42578125" style="239" customWidth="1"/>
    <col min="6412" max="6412" width="11" style="239" customWidth="1"/>
    <col min="6413" max="6656" width="11.42578125" style="239"/>
    <col min="6657" max="6657" width="5.85546875" style="239" customWidth="1"/>
    <col min="6658" max="6658" width="43.7109375" style="239" customWidth="1"/>
    <col min="6659" max="6667" width="9.42578125" style="239" customWidth="1"/>
    <col min="6668" max="6668" width="11" style="239" customWidth="1"/>
    <col min="6669" max="6912" width="11.42578125" style="239"/>
    <col min="6913" max="6913" width="5.85546875" style="239" customWidth="1"/>
    <col min="6914" max="6914" width="43.7109375" style="239" customWidth="1"/>
    <col min="6915" max="6923" width="9.42578125" style="239" customWidth="1"/>
    <col min="6924" max="6924" width="11" style="239" customWidth="1"/>
    <col min="6925" max="7168" width="11.42578125" style="239"/>
    <col min="7169" max="7169" width="5.85546875" style="239" customWidth="1"/>
    <col min="7170" max="7170" width="43.7109375" style="239" customWidth="1"/>
    <col min="7171" max="7179" width="9.42578125" style="239" customWidth="1"/>
    <col min="7180" max="7180" width="11" style="239" customWidth="1"/>
    <col min="7181" max="7424" width="11.42578125" style="239"/>
    <col min="7425" max="7425" width="5.85546875" style="239" customWidth="1"/>
    <col min="7426" max="7426" width="43.7109375" style="239" customWidth="1"/>
    <col min="7427" max="7435" width="9.42578125" style="239" customWidth="1"/>
    <col min="7436" max="7436" width="11" style="239" customWidth="1"/>
    <col min="7437" max="7680" width="11.42578125" style="239"/>
    <col min="7681" max="7681" width="5.85546875" style="239" customWidth="1"/>
    <col min="7682" max="7682" width="43.7109375" style="239" customWidth="1"/>
    <col min="7683" max="7691" width="9.42578125" style="239" customWidth="1"/>
    <col min="7692" max="7692" width="11" style="239" customWidth="1"/>
    <col min="7693" max="7936" width="11.42578125" style="239"/>
    <col min="7937" max="7937" width="5.85546875" style="239" customWidth="1"/>
    <col min="7938" max="7938" width="43.7109375" style="239" customWidth="1"/>
    <col min="7939" max="7947" width="9.42578125" style="239" customWidth="1"/>
    <col min="7948" max="7948" width="11" style="239" customWidth="1"/>
    <col min="7949" max="8192" width="11.42578125" style="239"/>
    <col min="8193" max="8193" width="5.85546875" style="239" customWidth="1"/>
    <col min="8194" max="8194" width="43.7109375" style="239" customWidth="1"/>
    <col min="8195" max="8203" width="9.42578125" style="239" customWidth="1"/>
    <col min="8204" max="8204" width="11" style="239" customWidth="1"/>
    <col min="8205" max="8448" width="11.42578125" style="239"/>
    <col min="8449" max="8449" width="5.85546875" style="239" customWidth="1"/>
    <col min="8450" max="8450" width="43.7109375" style="239" customWidth="1"/>
    <col min="8451" max="8459" width="9.42578125" style="239" customWidth="1"/>
    <col min="8460" max="8460" width="11" style="239" customWidth="1"/>
    <col min="8461" max="8704" width="11.42578125" style="239"/>
    <col min="8705" max="8705" width="5.85546875" style="239" customWidth="1"/>
    <col min="8706" max="8706" width="43.7109375" style="239" customWidth="1"/>
    <col min="8707" max="8715" width="9.42578125" style="239" customWidth="1"/>
    <col min="8716" max="8716" width="11" style="239" customWidth="1"/>
    <col min="8717" max="8960" width="11.42578125" style="239"/>
    <col min="8961" max="8961" width="5.85546875" style="239" customWidth="1"/>
    <col min="8962" max="8962" width="43.7109375" style="239" customWidth="1"/>
    <col min="8963" max="8971" width="9.42578125" style="239" customWidth="1"/>
    <col min="8972" max="8972" width="11" style="239" customWidth="1"/>
    <col min="8973" max="9216" width="11.42578125" style="239"/>
    <col min="9217" max="9217" width="5.85546875" style="239" customWidth="1"/>
    <col min="9218" max="9218" width="43.7109375" style="239" customWidth="1"/>
    <col min="9219" max="9227" width="9.42578125" style="239" customWidth="1"/>
    <col min="9228" max="9228" width="11" style="239" customWidth="1"/>
    <col min="9229" max="9472" width="11.42578125" style="239"/>
    <col min="9473" max="9473" width="5.85546875" style="239" customWidth="1"/>
    <col min="9474" max="9474" width="43.7109375" style="239" customWidth="1"/>
    <col min="9475" max="9483" width="9.42578125" style="239" customWidth="1"/>
    <col min="9484" max="9484" width="11" style="239" customWidth="1"/>
    <col min="9485" max="9728" width="11.42578125" style="239"/>
    <col min="9729" max="9729" width="5.85546875" style="239" customWidth="1"/>
    <col min="9730" max="9730" width="43.7109375" style="239" customWidth="1"/>
    <col min="9731" max="9739" width="9.42578125" style="239" customWidth="1"/>
    <col min="9740" max="9740" width="11" style="239" customWidth="1"/>
    <col min="9741" max="9984" width="11.42578125" style="239"/>
    <col min="9985" max="9985" width="5.85546875" style="239" customWidth="1"/>
    <col min="9986" max="9986" width="43.7109375" style="239" customWidth="1"/>
    <col min="9987" max="9995" width="9.42578125" style="239" customWidth="1"/>
    <col min="9996" max="9996" width="11" style="239" customWidth="1"/>
    <col min="9997" max="10240" width="11.42578125" style="239"/>
    <col min="10241" max="10241" width="5.85546875" style="239" customWidth="1"/>
    <col min="10242" max="10242" width="43.7109375" style="239" customWidth="1"/>
    <col min="10243" max="10251" width="9.42578125" style="239" customWidth="1"/>
    <col min="10252" max="10252" width="11" style="239" customWidth="1"/>
    <col min="10253" max="10496" width="11.42578125" style="239"/>
    <col min="10497" max="10497" width="5.85546875" style="239" customWidth="1"/>
    <col min="10498" max="10498" width="43.7109375" style="239" customWidth="1"/>
    <col min="10499" max="10507" width="9.42578125" style="239" customWidth="1"/>
    <col min="10508" max="10508" width="11" style="239" customWidth="1"/>
    <col min="10509" max="10752" width="11.42578125" style="239"/>
    <col min="10753" max="10753" width="5.85546875" style="239" customWidth="1"/>
    <col min="10754" max="10754" width="43.7109375" style="239" customWidth="1"/>
    <col min="10755" max="10763" width="9.42578125" style="239" customWidth="1"/>
    <col min="10764" max="10764" width="11" style="239" customWidth="1"/>
    <col min="10765" max="11008" width="11.42578125" style="239"/>
    <col min="11009" max="11009" width="5.85546875" style="239" customWidth="1"/>
    <col min="11010" max="11010" width="43.7109375" style="239" customWidth="1"/>
    <col min="11011" max="11019" width="9.42578125" style="239" customWidth="1"/>
    <col min="11020" max="11020" width="11" style="239" customWidth="1"/>
    <col min="11021" max="11264" width="11.42578125" style="239"/>
    <col min="11265" max="11265" width="5.85546875" style="239" customWidth="1"/>
    <col min="11266" max="11266" width="43.7109375" style="239" customWidth="1"/>
    <col min="11267" max="11275" width="9.42578125" style="239" customWidth="1"/>
    <col min="11276" max="11276" width="11" style="239" customWidth="1"/>
    <col min="11277" max="11520" width="11.42578125" style="239"/>
    <col min="11521" max="11521" width="5.85546875" style="239" customWidth="1"/>
    <col min="11522" max="11522" width="43.7109375" style="239" customWidth="1"/>
    <col min="11523" max="11531" width="9.42578125" style="239" customWidth="1"/>
    <col min="11532" max="11532" width="11" style="239" customWidth="1"/>
    <col min="11533" max="11776" width="11.42578125" style="239"/>
    <col min="11777" max="11777" width="5.85546875" style="239" customWidth="1"/>
    <col min="11778" max="11778" width="43.7109375" style="239" customWidth="1"/>
    <col min="11779" max="11787" width="9.42578125" style="239" customWidth="1"/>
    <col min="11788" max="11788" width="11" style="239" customWidth="1"/>
    <col min="11789" max="12032" width="11.42578125" style="239"/>
    <col min="12033" max="12033" width="5.85546875" style="239" customWidth="1"/>
    <col min="12034" max="12034" width="43.7109375" style="239" customWidth="1"/>
    <col min="12035" max="12043" width="9.42578125" style="239" customWidth="1"/>
    <col min="12044" max="12044" width="11" style="239" customWidth="1"/>
    <col min="12045" max="12288" width="11.42578125" style="239"/>
    <col min="12289" max="12289" width="5.85546875" style="239" customWidth="1"/>
    <col min="12290" max="12290" width="43.7109375" style="239" customWidth="1"/>
    <col min="12291" max="12299" width="9.42578125" style="239" customWidth="1"/>
    <col min="12300" max="12300" width="11" style="239" customWidth="1"/>
    <col min="12301" max="12544" width="11.42578125" style="239"/>
    <col min="12545" max="12545" width="5.85546875" style="239" customWidth="1"/>
    <col min="12546" max="12546" width="43.7109375" style="239" customWidth="1"/>
    <col min="12547" max="12555" width="9.42578125" style="239" customWidth="1"/>
    <col min="12556" max="12556" width="11" style="239" customWidth="1"/>
    <col min="12557" max="12800" width="11.42578125" style="239"/>
    <col min="12801" max="12801" width="5.85546875" style="239" customWidth="1"/>
    <col min="12802" max="12802" width="43.7109375" style="239" customWidth="1"/>
    <col min="12803" max="12811" width="9.42578125" style="239" customWidth="1"/>
    <col min="12812" max="12812" width="11" style="239" customWidth="1"/>
    <col min="12813" max="13056" width="11.42578125" style="239"/>
    <col min="13057" max="13057" width="5.85546875" style="239" customWidth="1"/>
    <col min="13058" max="13058" width="43.7109375" style="239" customWidth="1"/>
    <col min="13059" max="13067" width="9.42578125" style="239" customWidth="1"/>
    <col min="13068" max="13068" width="11" style="239" customWidth="1"/>
    <col min="13069" max="13312" width="11.42578125" style="239"/>
    <col min="13313" max="13313" width="5.85546875" style="239" customWidth="1"/>
    <col min="13314" max="13314" width="43.7109375" style="239" customWidth="1"/>
    <col min="13315" max="13323" width="9.42578125" style="239" customWidth="1"/>
    <col min="13324" max="13324" width="11" style="239" customWidth="1"/>
    <col min="13325" max="13568" width="11.42578125" style="239"/>
    <col min="13569" max="13569" width="5.85546875" style="239" customWidth="1"/>
    <col min="13570" max="13570" width="43.7109375" style="239" customWidth="1"/>
    <col min="13571" max="13579" width="9.42578125" style="239" customWidth="1"/>
    <col min="13580" max="13580" width="11" style="239" customWidth="1"/>
    <col min="13581" max="13824" width="11.42578125" style="239"/>
    <col min="13825" max="13825" width="5.85546875" style="239" customWidth="1"/>
    <col min="13826" max="13826" width="43.7109375" style="239" customWidth="1"/>
    <col min="13827" max="13835" width="9.42578125" style="239" customWidth="1"/>
    <col min="13836" max="13836" width="11" style="239" customWidth="1"/>
    <col min="13837" max="14080" width="11.42578125" style="239"/>
    <col min="14081" max="14081" width="5.85546875" style="239" customWidth="1"/>
    <col min="14082" max="14082" width="43.7109375" style="239" customWidth="1"/>
    <col min="14083" max="14091" width="9.42578125" style="239" customWidth="1"/>
    <col min="14092" max="14092" width="11" style="239" customWidth="1"/>
    <col min="14093" max="14336" width="11.42578125" style="239"/>
    <col min="14337" max="14337" width="5.85546875" style="239" customWidth="1"/>
    <col min="14338" max="14338" width="43.7109375" style="239" customWidth="1"/>
    <col min="14339" max="14347" width="9.42578125" style="239" customWidth="1"/>
    <col min="14348" max="14348" width="11" style="239" customWidth="1"/>
    <col min="14349" max="14592" width="11.42578125" style="239"/>
    <col min="14593" max="14593" width="5.85546875" style="239" customWidth="1"/>
    <col min="14594" max="14594" width="43.7109375" style="239" customWidth="1"/>
    <col min="14595" max="14603" width="9.42578125" style="239" customWidth="1"/>
    <col min="14604" max="14604" width="11" style="239" customWidth="1"/>
    <col min="14605" max="14848" width="11.42578125" style="239"/>
    <col min="14849" max="14849" width="5.85546875" style="239" customWidth="1"/>
    <col min="14850" max="14850" width="43.7109375" style="239" customWidth="1"/>
    <col min="14851" max="14859" width="9.42578125" style="239" customWidth="1"/>
    <col min="14860" max="14860" width="11" style="239" customWidth="1"/>
    <col min="14861" max="15104" width="11.42578125" style="239"/>
    <col min="15105" max="15105" width="5.85546875" style="239" customWidth="1"/>
    <col min="15106" max="15106" width="43.7109375" style="239" customWidth="1"/>
    <col min="15107" max="15115" width="9.42578125" style="239" customWidth="1"/>
    <col min="15116" max="15116" width="11" style="239" customWidth="1"/>
    <col min="15117" max="15360" width="11.42578125" style="239"/>
    <col min="15361" max="15361" width="5.85546875" style="239" customWidth="1"/>
    <col min="15362" max="15362" width="43.7109375" style="239" customWidth="1"/>
    <col min="15363" max="15371" width="9.42578125" style="239" customWidth="1"/>
    <col min="15372" max="15372" width="11" style="239" customWidth="1"/>
    <col min="15373" max="15616" width="11.42578125" style="239"/>
    <col min="15617" max="15617" width="5.85546875" style="239" customWidth="1"/>
    <col min="15618" max="15618" width="43.7109375" style="239" customWidth="1"/>
    <col min="15619" max="15627" width="9.42578125" style="239" customWidth="1"/>
    <col min="15628" max="15628" width="11" style="239" customWidth="1"/>
    <col min="15629" max="15872" width="11.42578125" style="239"/>
    <col min="15873" max="15873" width="5.85546875" style="239" customWidth="1"/>
    <col min="15874" max="15874" width="43.7109375" style="239" customWidth="1"/>
    <col min="15875" max="15883" width="9.42578125" style="239" customWidth="1"/>
    <col min="15884" max="15884" width="11" style="239" customWidth="1"/>
    <col min="15885" max="16128" width="11.42578125" style="239"/>
    <col min="16129" max="16129" width="5.85546875" style="239" customWidth="1"/>
    <col min="16130" max="16130" width="43.7109375" style="239" customWidth="1"/>
    <col min="16131" max="16139" width="9.42578125" style="239" customWidth="1"/>
    <col min="16140" max="16140" width="11" style="239" customWidth="1"/>
    <col min="16141" max="16384" width="11.42578125" style="239"/>
  </cols>
  <sheetData>
    <row r="1" spans="1:12" x14ac:dyDescent="0.2">
      <c r="B1" s="240"/>
      <c r="C1" s="240"/>
      <c r="D1" s="241"/>
      <c r="E1" s="241"/>
      <c r="F1" s="241"/>
      <c r="G1" s="241"/>
      <c r="H1" s="241"/>
      <c r="I1" s="241"/>
      <c r="J1" s="241"/>
      <c r="K1" s="241"/>
      <c r="L1" s="433"/>
    </row>
    <row r="2" spans="1:12" x14ac:dyDescent="0.2">
      <c r="B2" s="240"/>
      <c r="C2" s="240"/>
      <c r="D2" s="241"/>
      <c r="E2" s="241"/>
      <c r="F2" s="241"/>
      <c r="G2" s="241"/>
      <c r="H2" s="241"/>
      <c r="I2" s="241"/>
      <c r="J2" s="241"/>
      <c r="K2" s="241"/>
      <c r="L2" s="433"/>
    </row>
    <row r="3" spans="1:12" x14ac:dyDescent="0.2">
      <c r="B3" s="240"/>
      <c r="C3" s="240"/>
      <c r="D3" s="241"/>
      <c r="E3" s="241"/>
      <c r="F3" s="241"/>
      <c r="G3" s="241"/>
      <c r="H3" s="241"/>
      <c r="I3" s="241"/>
      <c r="J3" s="241"/>
      <c r="K3" s="241"/>
      <c r="L3" s="433"/>
    </row>
    <row r="4" spans="1:12" x14ac:dyDescent="0.2">
      <c r="B4" s="240"/>
      <c r="C4" s="240"/>
      <c r="D4" s="241"/>
      <c r="E4" s="241"/>
      <c r="F4" s="241"/>
      <c r="G4" s="241"/>
      <c r="H4" s="241"/>
      <c r="I4" s="241"/>
      <c r="J4" s="241"/>
      <c r="K4" s="241"/>
      <c r="L4" s="433"/>
    </row>
    <row r="5" spans="1:12" x14ac:dyDescent="0.2">
      <c r="B5" s="240"/>
      <c r="C5" s="240"/>
      <c r="D5" s="241"/>
      <c r="E5" s="241"/>
      <c r="F5" s="241"/>
      <c r="G5" s="241"/>
      <c r="H5" s="241"/>
      <c r="I5" s="241"/>
      <c r="J5" s="241"/>
      <c r="K5" s="241"/>
      <c r="L5" s="433"/>
    </row>
    <row r="6" spans="1:12" x14ac:dyDescent="0.2">
      <c r="A6" s="242"/>
      <c r="B6" s="243"/>
      <c r="C6" s="243"/>
      <c r="D6" s="244"/>
      <c r="E6" s="244"/>
      <c r="F6" s="244"/>
      <c r="G6" s="244"/>
      <c r="H6" s="244"/>
      <c r="I6" s="244"/>
      <c r="J6" s="244"/>
      <c r="K6" s="244"/>
      <c r="L6" s="433"/>
    </row>
    <row r="7" spans="1:12" s="246" customFormat="1" ht="29.25" customHeight="1" x14ac:dyDescent="0.2">
      <c r="A7" s="245"/>
      <c r="B7" s="408" t="s">
        <v>155</v>
      </c>
      <c r="C7" s="408"/>
      <c r="D7" s="408"/>
      <c r="E7" s="408"/>
      <c r="F7" s="408"/>
      <c r="G7" s="408"/>
      <c r="H7" s="408"/>
      <c r="I7" s="408"/>
      <c r="J7" s="408"/>
      <c r="K7" s="408"/>
      <c r="L7" s="408"/>
    </row>
    <row r="8" spans="1:12" s="246" customFormat="1" ht="19.5" customHeight="1" x14ac:dyDescent="0.2">
      <c r="A8" s="245"/>
      <c r="B8" s="409" t="s">
        <v>238</v>
      </c>
      <c r="C8" s="409"/>
      <c r="D8" s="409"/>
      <c r="E8" s="409"/>
      <c r="F8" s="409"/>
      <c r="G8" s="409"/>
      <c r="H8" s="409"/>
      <c r="I8" s="409"/>
      <c r="J8" s="409"/>
      <c r="K8" s="409"/>
      <c r="L8" s="409"/>
    </row>
    <row r="9" spans="1:12" s="246" customFormat="1" ht="21" customHeight="1" x14ac:dyDescent="0.2">
      <c r="A9" s="245"/>
      <c r="B9" s="409" t="s">
        <v>239</v>
      </c>
      <c r="C9" s="409"/>
      <c r="D9" s="409"/>
      <c r="E9" s="409"/>
      <c r="F9" s="409"/>
      <c r="G9" s="409"/>
      <c r="H9" s="409"/>
      <c r="I9" s="409"/>
      <c r="J9" s="409"/>
      <c r="K9" s="409"/>
      <c r="L9" s="409"/>
    </row>
    <row r="10" spans="1:12" s="246" customFormat="1" ht="19.5" customHeight="1" x14ac:dyDescent="0.2">
      <c r="A10" s="245"/>
      <c r="B10" s="409" t="s">
        <v>156</v>
      </c>
      <c r="C10" s="409"/>
      <c r="D10" s="409"/>
      <c r="E10" s="409"/>
      <c r="F10" s="409"/>
      <c r="G10" s="409"/>
      <c r="H10" s="409"/>
      <c r="I10" s="409"/>
      <c r="J10" s="409"/>
      <c r="K10" s="409"/>
      <c r="L10" s="409"/>
    </row>
    <row r="11" spans="1:12" ht="16.5" customHeight="1" x14ac:dyDescent="0.2">
      <c r="A11" s="242"/>
      <c r="B11" s="243"/>
      <c r="C11" s="243"/>
      <c r="D11" s="244"/>
      <c r="E11" s="244"/>
      <c r="F11" s="244"/>
      <c r="G11" s="244"/>
      <c r="H11" s="244"/>
      <c r="I11" s="244"/>
      <c r="J11" s="244"/>
      <c r="K11" s="244"/>
      <c r="L11" s="433"/>
    </row>
    <row r="12" spans="1:12" ht="19.899999999999999" customHeight="1" x14ac:dyDescent="0.2">
      <c r="A12" s="247"/>
      <c r="B12" s="410" t="s">
        <v>240</v>
      </c>
      <c r="C12" s="411" t="s">
        <v>241</v>
      </c>
      <c r="D12" s="411"/>
      <c r="E12" s="411"/>
      <c r="F12" s="411" t="s">
        <v>242</v>
      </c>
      <c r="G12" s="411"/>
      <c r="H12" s="411"/>
      <c r="I12" s="411" t="s">
        <v>243</v>
      </c>
      <c r="J12" s="411"/>
      <c r="K12" s="411"/>
      <c r="L12" s="412" t="s">
        <v>244</v>
      </c>
    </row>
    <row r="13" spans="1:12" ht="17.649999999999999" customHeight="1" x14ac:dyDescent="0.2">
      <c r="A13" s="247"/>
      <c r="B13" s="410"/>
      <c r="C13" s="248" t="s">
        <v>157</v>
      </c>
      <c r="D13" s="248" t="s">
        <v>158</v>
      </c>
      <c r="E13" s="248" t="s">
        <v>159</v>
      </c>
      <c r="F13" s="248" t="s">
        <v>157</v>
      </c>
      <c r="G13" s="248" t="s">
        <v>158</v>
      </c>
      <c r="H13" s="248" t="s">
        <v>159</v>
      </c>
      <c r="I13" s="248" t="s">
        <v>157</v>
      </c>
      <c r="J13" s="248" t="s">
        <v>158</v>
      </c>
      <c r="K13" s="248" t="s">
        <v>159</v>
      </c>
      <c r="L13" s="412"/>
    </row>
    <row r="14" spans="1:12" ht="17.100000000000001" customHeight="1" x14ac:dyDescent="0.2">
      <c r="A14" s="249"/>
      <c r="B14" s="250"/>
      <c r="C14" s="250"/>
      <c r="D14" s="251"/>
      <c r="E14" s="251"/>
      <c r="F14" s="251"/>
      <c r="G14" s="251"/>
      <c r="H14" s="251"/>
      <c r="I14" s="251"/>
      <c r="J14" s="251"/>
      <c r="K14" s="251"/>
      <c r="L14" s="433"/>
    </row>
    <row r="15" spans="1:12" ht="19.899999999999999" customHeight="1" x14ac:dyDescent="0.2">
      <c r="A15" s="249"/>
      <c r="B15" s="252" t="s">
        <v>160</v>
      </c>
      <c r="C15" s="253"/>
      <c r="D15" s="254"/>
      <c r="E15" s="254"/>
      <c r="F15" s="254"/>
      <c r="G15" s="254"/>
      <c r="H15" s="254"/>
      <c r="I15" s="254"/>
      <c r="J15" s="254"/>
      <c r="K15" s="254"/>
      <c r="L15" s="434"/>
    </row>
    <row r="16" spans="1:12" ht="15.6" customHeight="1" x14ac:dyDescent="0.2">
      <c r="A16" s="249"/>
      <c r="B16" s="250"/>
      <c r="C16" s="250"/>
      <c r="D16" s="251"/>
      <c r="E16" s="251"/>
      <c r="F16" s="251"/>
      <c r="G16" s="251"/>
      <c r="H16" s="251"/>
      <c r="I16" s="251"/>
      <c r="J16" s="251"/>
      <c r="K16" s="251"/>
      <c r="L16" s="433"/>
    </row>
    <row r="17" spans="1:12" ht="15.6" customHeight="1" x14ac:dyDescent="0.2">
      <c r="A17" s="242"/>
      <c r="B17" s="255" t="s">
        <v>161</v>
      </c>
      <c r="C17" s="256">
        <f>+86+87.5+90.35</f>
        <v>263.85000000000002</v>
      </c>
      <c r="D17" s="257">
        <f>+82+90.63+0</f>
        <v>172.63</v>
      </c>
      <c r="E17" s="258">
        <f t="shared" ref="E17:E54" si="0">+D17*100/C17</f>
        <v>65.427326132272114</v>
      </c>
      <c r="F17" s="257">
        <f>+86+87.5+90.35</f>
        <v>263.85000000000002</v>
      </c>
      <c r="G17" s="257">
        <f>+82+90.63+0</f>
        <v>172.63</v>
      </c>
      <c r="H17" s="258">
        <f t="shared" ref="H17:H54" si="1">+G17*100/F17</f>
        <v>65.427326132272114</v>
      </c>
      <c r="I17" s="257">
        <f>+86+87.5+87.5</f>
        <v>261</v>
      </c>
      <c r="J17" s="257">
        <f>+66+40.63+0</f>
        <v>106.63</v>
      </c>
      <c r="K17" s="258">
        <f t="shared" ref="K17:K54" si="2">+J17*100/I17</f>
        <v>40.854406130268202</v>
      </c>
      <c r="L17" s="435">
        <f t="shared" ref="L17:L54" si="3">+(E17+H17+K17)/3</f>
        <v>57.236352798270808</v>
      </c>
    </row>
    <row r="18" spans="1:12" ht="15.6" customHeight="1" x14ac:dyDescent="0.2">
      <c r="A18" s="242"/>
      <c r="B18" s="259" t="s">
        <v>162</v>
      </c>
      <c r="C18" s="260">
        <f>+90+70+70</f>
        <v>230</v>
      </c>
      <c r="D18" s="261">
        <f>+84.28+45.1+29</f>
        <v>158.38</v>
      </c>
      <c r="E18" s="262">
        <f t="shared" si="0"/>
        <v>68.860869565217385</v>
      </c>
      <c r="F18" s="263">
        <f>+90+70+70</f>
        <v>230</v>
      </c>
      <c r="G18" s="263">
        <f>+96.14+74.9+65</f>
        <v>236.04000000000002</v>
      </c>
      <c r="H18" s="262">
        <f t="shared" si="1"/>
        <v>102.62608695652176</v>
      </c>
      <c r="I18" s="263">
        <f>+90+70+70</f>
        <v>230</v>
      </c>
      <c r="J18" s="263">
        <f>+87.86+65.25+65</f>
        <v>218.11</v>
      </c>
      <c r="K18" s="262">
        <f t="shared" si="2"/>
        <v>94.830434782608691</v>
      </c>
      <c r="L18" s="435">
        <f t="shared" si="3"/>
        <v>88.772463768115941</v>
      </c>
    </row>
    <row r="19" spans="1:12" ht="15.6" customHeight="1" x14ac:dyDescent="0.2">
      <c r="A19" s="242"/>
      <c r="B19" s="255" t="s">
        <v>163</v>
      </c>
      <c r="C19" s="256">
        <f>+97.5+97.5</f>
        <v>195</v>
      </c>
      <c r="D19" s="264">
        <f>+94.94+104</f>
        <v>198.94</v>
      </c>
      <c r="E19" s="258">
        <f t="shared" si="0"/>
        <v>102.02051282051282</v>
      </c>
      <c r="F19" s="264">
        <f>+97.5+97.7</f>
        <v>195.2</v>
      </c>
      <c r="G19" s="264">
        <f>+93.67+103.43</f>
        <v>197.10000000000002</v>
      </c>
      <c r="H19" s="258">
        <f t="shared" si="1"/>
        <v>100.97336065573774</v>
      </c>
      <c r="I19" s="264">
        <f>+96.2+97.7</f>
        <v>193.9</v>
      </c>
      <c r="J19" s="264">
        <f>+91.14+127.43</f>
        <v>218.57</v>
      </c>
      <c r="K19" s="258">
        <f t="shared" si="2"/>
        <v>112.72305312016503</v>
      </c>
      <c r="L19" s="435">
        <f t="shared" si="3"/>
        <v>105.23897553213853</v>
      </c>
    </row>
    <row r="20" spans="1:12" ht="15.6" customHeight="1" x14ac:dyDescent="0.2">
      <c r="A20" s="242"/>
      <c r="B20" s="259" t="s">
        <v>164</v>
      </c>
      <c r="C20" s="260">
        <f>+90+10+95+90+90+90+30</f>
        <v>495</v>
      </c>
      <c r="D20" s="265">
        <f>+86.05+10.02+100+100+89.89+89.52+28.97</f>
        <v>504.44999999999993</v>
      </c>
      <c r="E20" s="262">
        <f t="shared" si="0"/>
        <v>101.90909090909089</v>
      </c>
      <c r="F20" s="265">
        <f>+90+10+95+90+90+90+30</f>
        <v>495</v>
      </c>
      <c r="G20" s="265">
        <f>+89.01+9.24+100+94.44+87.79+89.46+27.72</f>
        <v>497.65999999999997</v>
      </c>
      <c r="H20" s="262">
        <f t="shared" si="1"/>
        <v>100.53737373737374</v>
      </c>
      <c r="I20" s="265">
        <f>+90+10+95+90+90+90+30</f>
        <v>495</v>
      </c>
      <c r="J20" s="265">
        <f>+85.07+9.82+100+90.32+91.2+95.66+31.37</f>
        <v>503.43999999999994</v>
      </c>
      <c r="K20" s="262">
        <f t="shared" si="2"/>
        <v>101.70505050505049</v>
      </c>
      <c r="L20" s="435">
        <f t="shared" si="3"/>
        <v>101.38383838383838</v>
      </c>
    </row>
    <row r="21" spans="1:12" ht="15.6" customHeight="1" x14ac:dyDescent="0.2">
      <c r="A21" s="242"/>
      <c r="B21" s="255" t="s">
        <v>165</v>
      </c>
      <c r="C21" s="256">
        <f>+20+10+100+100+100+100+100+100</f>
        <v>630</v>
      </c>
      <c r="D21" s="264">
        <f>+21.63+9.63+100+100+100+100+15.57+45.21</f>
        <v>492.03999999999996</v>
      </c>
      <c r="E21" s="258">
        <f t="shared" si="0"/>
        <v>78.101587301587301</v>
      </c>
      <c r="F21" s="256">
        <f>+25+10+100+100+100+100+100</f>
        <v>535</v>
      </c>
      <c r="G21" s="264">
        <f>+31.76+9.73+100+100+100+100+67.68+29.88</f>
        <v>539.05000000000007</v>
      </c>
      <c r="H21" s="258">
        <f t="shared" si="1"/>
        <v>100.7570093457944</v>
      </c>
      <c r="I21" s="264">
        <f>+25+10+100+100+100+100+100+100+5</f>
        <v>640</v>
      </c>
      <c r="J21" s="264">
        <f>+33.45+12+100+100+100+100+100+42.26+0</f>
        <v>587.71</v>
      </c>
      <c r="K21" s="258">
        <f t="shared" si="2"/>
        <v>91.829687500000006</v>
      </c>
      <c r="L21" s="435">
        <f t="shared" si="3"/>
        <v>90.22942804912725</v>
      </c>
    </row>
    <row r="22" spans="1:12" ht="15.6" customHeight="1" x14ac:dyDescent="0.2">
      <c r="A22" s="242"/>
      <c r="B22" s="259" t="s">
        <v>166</v>
      </c>
      <c r="C22" s="260">
        <f>+100+100+100+100+100+100+100+100+100+100</f>
        <v>1000</v>
      </c>
      <c r="D22" s="260">
        <f>+100+100+100+100+100+100+100+100+100+100</f>
        <v>1000</v>
      </c>
      <c r="E22" s="262">
        <f t="shared" si="0"/>
        <v>100</v>
      </c>
      <c r="F22" s="260">
        <f>+100+100+100+100+100+100+100+100+100+100</f>
        <v>1000</v>
      </c>
      <c r="G22" s="260">
        <f>+100+100+100+100+100+100+100+100+100+100</f>
        <v>1000</v>
      </c>
      <c r="H22" s="262">
        <f t="shared" si="1"/>
        <v>100</v>
      </c>
      <c r="I22" s="260">
        <f>+100+100+100+100+100+100+100+100+100+100</f>
        <v>1000</v>
      </c>
      <c r="J22" s="260">
        <f>+100+100+100+100+100+100+100+100+100+100</f>
        <v>1000</v>
      </c>
      <c r="K22" s="262">
        <f t="shared" si="2"/>
        <v>100</v>
      </c>
      <c r="L22" s="435">
        <f t="shared" si="3"/>
        <v>100</v>
      </c>
    </row>
    <row r="23" spans="1:12" ht="15.6" customHeight="1" x14ac:dyDescent="0.2">
      <c r="A23" s="242"/>
      <c r="B23" s="255" t="s">
        <v>167</v>
      </c>
      <c r="C23" s="256">
        <f>+75+95+105</f>
        <v>275</v>
      </c>
      <c r="D23" s="264">
        <f>+64.32+97.14+103.7</f>
        <v>265.15999999999997</v>
      </c>
      <c r="E23" s="258">
        <f t="shared" si="0"/>
        <v>96.421818181818168</v>
      </c>
      <c r="F23" s="264">
        <f>+85+95+105</f>
        <v>285</v>
      </c>
      <c r="G23" s="264">
        <f>+72.28+96.89+109.75</f>
        <v>278.92</v>
      </c>
      <c r="H23" s="258">
        <f t="shared" si="1"/>
        <v>97.86666666666666</v>
      </c>
      <c r="I23" s="264">
        <f>+75+95+105</f>
        <v>275</v>
      </c>
      <c r="J23" s="264">
        <f>+70.82+95.09+110.07</f>
        <v>275.98</v>
      </c>
      <c r="K23" s="258">
        <f t="shared" si="2"/>
        <v>100.35636363636364</v>
      </c>
      <c r="L23" s="435">
        <f t="shared" si="3"/>
        <v>98.214949494949494</v>
      </c>
    </row>
    <row r="24" spans="1:12" ht="15.6" customHeight="1" x14ac:dyDescent="0.2">
      <c r="A24" s="242"/>
      <c r="B24" s="268" t="s">
        <v>168</v>
      </c>
      <c r="C24" s="278">
        <f>+100+80+3.5+100+100+80+100+100+100+100+100+100</f>
        <v>1063.5</v>
      </c>
      <c r="D24" s="265">
        <f>+27+62+6.8+100+100+84+99+100+100+100+41+13</f>
        <v>832.8</v>
      </c>
      <c r="E24" s="262">
        <f t="shared" si="0"/>
        <v>78.307475317348377</v>
      </c>
      <c r="F24" s="265">
        <f>+100+80+3.5+100+100+80+100+100+100+100+100+100</f>
        <v>1063.5</v>
      </c>
      <c r="G24" s="265">
        <f>+54+76+5.67+100+100+88+99+100+100+100+35+7</f>
        <v>864.67</v>
      </c>
      <c r="H24" s="262">
        <f t="shared" si="1"/>
        <v>81.30418429713211</v>
      </c>
      <c r="I24" s="265">
        <f>+100+80+3.5+100+100+80+100+100+100+100+100+100</f>
        <v>1063.5</v>
      </c>
      <c r="J24" s="265">
        <f>+33+70+3.49+100+100+63+95+100+100+100+100+41+13.33</f>
        <v>918.82</v>
      </c>
      <c r="K24" s="262">
        <f t="shared" si="2"/>
        <v>86.395862717442412</v>
      </c>
      <c r="L24" s="435">
        <f t="shared" si="3"/>
        <v>82.002507443974295</v>
      </c>
    </row>
    <row r="25" spans="1:12" ht="15.6" customHeight="1" x14ac:dyDescent="0.2">
      <c r="A25" s="242"/>
      <c r="B25" s="255" t="s">
        <v>169</v>
      </c>
      <c r="C25" s="264">
        <f>+100+100+100+100+100+100+100+100+100</f>
        <v>900</v>
      </c>
      <c r="D25" s="264">
        <f>+100+100+100+100+100+100+100+100+100</f>
        <v>900</v>
      </c>
      <c r="E25" s="258">
        <f t="shared" si="0"/>
        <v>100</v>
      </c>
      <c r="F25" s="264">
        <f>+100+100+100+100+100+100+100+100</f>
        <v>800</v>
      </c>
      <c r="G25" s="264">
        <f>+100+100+100+100+100+100+100+100</f>
        <v>800</v>
      </c>
      <c r="H25" s="258">
        <f t="shared" si="1"/>
        <v>100</v>
      </c>
      <c r="I25" s="264">
        <f>+100+100+100+100+100+100+100+100+100</f>
        <v>900</v>
      </c>
      <c r="J25" s="264">
        <f>+100+100+100+100+100+100+100+100+100</f>
        <v>900</v>
      </c>
      <c r="K25" s="258">
        <f t="shared" si="2"/>
        <v>100</v>
      </c>
      <c r="L25" s="435">
        <f t="shared" si="3"/>
        <v>100</v>
      </c>
    </row>
    <row r="26" spans="1:12" ht="15.6" customHeight="1" x14ac:dyDescent="0.2">
      <c r="A26" s="242"/>
      <c r="B26" s="259" t="s">
        <v>170</v>
      </c>
      <c r="C26" s="260">
        <f>+70+80+70</f>
        <v>220</v>
      </c>
      <c r="D26" s="260">
        <f>+74.07+188.89+70.13</f>
        <v>333.09</v>
      </c>
      <c r="E26" s="262">
        <f t="shared" si="0"/>
        <v>151.40454545454546</v>
      </c>
      <c r="F26" s="265">
        <f>+90+100+90</f>
        <v>280</v>
      </c>
      <c r="G26" s="265">
        <f>+93.33+105.55+89.8</f>
        <v>288.68</v>
      </c>
      <c r="H26" s="262">
        <f t="shared" si="1"/>
        <v>103.1</v>
      </c>
      <c r="I26" s="265">
        <f>+100+100+100</f>
        <v>300</v>
      </c>
      <c r="J26" s="265">
        <f>+100+96+100</f>
        <v>296</v>
      </c>
      <c r="K26" s="262">
        <f t="shared" si="2"/>
        <v>98.666666666666671</v>
      </c>
      <c r="L26" s="435">
        <f t="shared" si="3"/>
        <v>117.72373737373738</v>
      </c>
    </row>
    <row r="27" spans="1:12" ht="15.6" customHeight="1" x14ac:dyDescent="0.2">
      <c r="A27" s="242"/>
      <c r="B27" s="255" t="s">
        <v>171</v>
      </c>
      <c r="C27" s="256">
        <f>+100+100+100+100+100+100+100+100+100+50+100+100+20</f>
        <v>1170</v>
      </c>
      <c r="D27" s="264">
        <f>+100+100+100+100+100+100+100+100+100+61.6+100+100+20.86</f>
        <v>1182.4599999999998</v>
      </c>
      <c r="E27" s="258">
        <f t="shared" si="0"/>
        <v>101.06495726495726</v>
      </c>
      <c r="F27" s="256">
        <f>+100+100+100+100+100+100+100+100+100+50+100+20</f>
        <v>1070</v>
      </c>
      <c r="G27" s="256">
        <f>+100+100+100+100+100+100+100+100+100+72+100+23.14</f>
        <v>1095.1400000000001</v>
      </c>
      <c r="H27" s="258">
        <f t="shared" si="1"/>
        <v>102.34953271028039</v>
      </c>
      <c r="I27" s="264">
        <f>+100+100+100+100+100+100+100+100+100+50+100+20</f>
        <v>1070</v>
      </c>
      <c r="J27" s="264">
        <f>+100+100+100+100+100+100+100+100+100+58+100+22.57</f>
        <v>1080.57</v>
      </c>
      <c r="K27" s="258">
        <f t="shared" si="2"/>
        <v>100.98785046728972</v>
      </c>
      <c r="L27" s="435">
        <f t="shared" si="3"/>
        <v>101.46744681417579</v>
      </c>
    </row>
    <row r="28" spans="1:12" ht="15.6" customHeight="1" x14ac:dyDescent="0.2">
      <c r="A28" s="242"/>
      <c r="B28" s="259" t="s">
        <v>172</v>
      </c>
      <c r="C28" s="266">
        <f t="shared" ref="C28:D35" si="4">+100+100</f>
        <v>200</v>
      </c>
      <c r="D28" s="266">
        <f t="shared" si="4"/>
        <v>200</v>
      </c>
      <c r="E28" s="262">
        <f t="shared" si="0"/>
        <v>100</v>
      </c>
      <c r="F28" s="266">
        <f t="shared" ref="F28:G35" si="5">+100+100</f>
        <v>200</v>
      </c>
      <c r="G28" s="266">
        <f t="shared" si="5"/>
        <v>200</v>
      </c>
      <c r="H28" s="262">
        <f t="shared" si="1"/>
        <v>100</v>
      </c>
      <c r="I28" s="266">
        <f t="shared" ref="I28:J35" si="6">+100+100</f>
        <v>200</v>
      </c>
      <c r="J28" s="266">
        <f t="shared" si="6"/>
        <v>200</v>
      </c>
      <c r="K28" s="262">
        <f t="shared" si="2"/>
        <v>100</v>
      </c>
      <c r="L28" s="435">
        <f t="shared" si="3"/>
        <v>100</v>
      </c>
    </row>
    <row r="29" spans="1:12" ht="15.6" customHeight="1" x14ac:dyDescent="0.2">
      <c r="A29" s="242"/>
      <c r="B29" s="255" t="s">
        <v>173</v>
      </c>
      <c r="C29" s="267">
        <f t="shared" si="4"/>
        <v>200</v>
      </c>
      <c r="D29" s="267">
        <f t="shared" si="4"/>
        <v>200</v>
      </c>
      <c r="E29" s="258">
        <f t="shared" si="0"/>
        <v>100</v>
      </c>
      <c r="F29" s="267">
        <f t="shared" si="5"/>
        <v>200</v>
      </c>
      <c r="G29" s="267">
        <f t="shared" si="5"/>
        <v>200</v>
      </c>
      <c r="H29" s="258">
        <f t="shared" si="1"/>
        <v>100</v>
      </c>
      <c r="I29" s="267">
        <f t="shared" si="6"/>
        <v>200</v>
      </c>
      <c r="J29" s="267">
        <f t="shared" si="6"/>
        <v>200</v>
      </c>
      <c r="K29" s="258">
        <f t="shared" si="2"/>
        <v>100</v>
      </c>
      <c r="L29" s="435">
        <f t="shared" si="3"/>
        <v>100</v>
      </c>
    </row>
    <row r="30" spans="1:12" ht="15.6" customHeight="1" x14ac:dyDescent="0.2">
      <c r="A30" s="242"/>
      <c r="B30" s="259" t="s">
        <v>174</v>
      </c>
      <c r="C30" s="266">
        <f t="shared" si="4"/>
        <v>200</v>
      </c>
      <c r="D30" s="266">
        <f t="shared" si="4"/>
        <v>200</v>
      </c>
      <c r="E30" s="262">
        <f t="shared" si="0"/>
        <v>100</v>
      </c>
      <c r="F30" s="266">
        <f t="shared" si="5"/>
        <v>200</v>
      </c>
      <c r="G30" s="266">
        <f t="shared" si="5"/>
        <v>200</v>
      </c>
      <c r="H30" s="262">
        <f t="shared" si="1"/>
        <v>100</v>
      </c>
      <c r="I30" s="266">
        <f t="shared" si="6"/>
        <v>200</v>
      </c>
      <c r="J30" s="266">
        <f t="shared" si="6"/>
        <v>200</v>
      </c>
      <c r="K30" s="262">
        <f t="shared" si="2"/>
        <v>100</v>
      </c>
      <c r="L30" s="435">
        <f t="shared" si="3"/>
        <v>100</v>
      </c>
    </row>
    <row r="31" spans="1:12" ht="15.6" customHeight="1" x14ac:dyDescent="0.2">
      <c r="A31" s="242"/>
      <c r="B31" s="255" t="s">
        <v>175</v>
      </c>
      <c r="C31" s="267">
        <f t="shared" si="4"/>
        <v>200</v>
      </c>
      <c r="D31" s="267">
        <f t="shared" si="4"/>
        <v>200</v>
      </c>
      <c r="E31" s="258">
        <f t="shared" si="0"/>
        <v>100</v>
      </c>
      <c r="F31" s="267">
        <f t="shared" si="5"/>
        <v>200</v>
      </c>
      <c r="G31" s="267">
        <f t="shared" si="5"/>
        <v>200</v>
      </c>
      <c r="H31" s="258">
        <f t="shared" si="1"/>
        <v>100</v>
      </c>
      <c r="I31" s="267">
        <f t="shared" si="6"/>
        <v>200</v>
      </c>
      <c r="J31" s="267">
        <f t="shared" si="6"/>
        <v>200</v>
      </c>
      <c r="K31" s="258">
        <f t="shared" si="2"/>
        <v>100</v>
      </c>
      <c r="L31" s="435">
        <f t="shared" si="3"/>
        <v>100</v>
      </c>
    </row>
    <row r="32" spans="1:12" ht="15.6" customHeight="1" x14ac:dyDescent="0.2">
      <c r="A32" s="242"/>
      <c r="B32" s="259" t="s">
        <v>176</v>
      </c>
      <c r="C32" s="266">
        <f t="shared" si="4"/>
        <v>200</v>
      </c>
      <c r="D32" s="266">
        <f t="shared" si="4"/>
        <v>200</v>
      </c>
      <c r="E32" s="262">
        <f t="shared" si="0"/>
        <v>100</v>
      </c>
      <c r="F32" s="266">
        <f t="shared" si="5"/>
        <v>200</v>
      </c>
      <c r="G32" s="266">
        <f t="shared" si="5"/>
        <v>200</v>
      </c>
      <c r="H32" s="262">
        <f t="shared" si="1"/>
        <v>100</v>
      </c>
      <c r="I32" s="266">
        <f t="shared" si="6"/>
        <v>200</v>
      </c>
      <c r="J32" s="266">
        <f t="shared" si="6"/>
        <v>200</v>
      </c>
      <c r="K32" s="262">
        <f t="shared" si="2"/>
        <v>100</v>
      </c>
      <c r="L32" s="435">
        <f t="shared" si="3"/>
        <v>100</v>
      </c>
    </row>
    <row r="33" spans="1:12" ht="15.6" customHeight="1" x14ac:dyDescent="0.2">
      <c r="A33" s="242"/>
      <c r="B33" s="255" t="s">
        <v>177</v>
      </c>
      <c r="C33" s="267">
        <f t="shared" si="4"/>
        <v>200</v>
      </c>
      <c r="D33" s="267">
        <f t="shared" si="4"/>
        <v>200</v>
      </c>
      <c r="E33" s="258">
        <f t="shared" si="0"/>
        <v>100</v>
      </c>
      <c r="F33" s="267">
        <f t="shared" si="5"/>
        <v>200</v>
      </c>
      <c r="G33" s="267">
        <f t="shared" si="5"/>
        <v>200</v>
      </c>
      <c r="H33" s="258">
        <f t="shared" si="1"/>
        <v>100</v>
      </c>
      <c r="I33" s="267">
        <f t="shared" si="6"/>
        <v>200</v>
      </c>
      <c r="J33" s="267">
        <f t="shared" si="6"/>
        <v>200</v>
      </c>
      <c r="K33" s="258">
        <f t="shared" si="2"/>
        <v>100</v>
      </c>
      <c r="L33" s="435">
        <f t="shared" si="3"/>
        <v>100</v>
      </c>
    </row>
    <row r="34" spans="1:12" ht="15.6" customHeight="1" x14ac:dyDescent="0.2">
      <c r="A34" s="242"/>
      <c r="B34" s="259" t="s">
        <v>178</v>
      </c>
      <c r="C34" s="266">
        <f t="shared" si="4"/>
        <v>200</v>
      </c>
      <c r="D34" s="266">
        <f t="shared" si="4"/>
        <v>200</v>
      </c>
      <c r="E34" s="262">
        <f t="shared" si="0"/>
        <v>100</v>
      </c>
      <c r="F34" s="266">
        <f t="shared" si="5"/>
        <v>200</v>
      </c>
      <c r="G34" s="266">
        <f t="shared" si="5"/>
        <v>200</v>
      </c>
      <c r="H34" s="262">
        <f t="shared" si="1"/>
        <v>100</v>
      </c>
      <c r="I34" s="266">
        <f t="shared" si="6"/>
        <v>200</v>
      </c>
      <c r="J34" s="266">
        <f t="shared" si="6"/>
        <v>200</v>
      </c>
      <c r="K34" s="262">
        <f t="shared" si="2"/>
        <v>100</v>
      </c>
      <c r="L34" s="435">
        <f t="shared" si="3"/>
        <v>100</v>
      </c>
    </row>
    <row r="35" spans="1:12" ht="15.6" customHeight="1" x14ac:dyDescent="0.2">
      <c r="A35" s="242"/>
      <c r="B35" s="255" t="s">
        <v>179</v>
      </c>
      <c r="C35" s="267">
        <f t="shared" si="4"/>
        <v>200</v>
      </c>
      <c r="D35" s="267">
        <f t="shared" si="4"/>
        <v>200</v>
      </c>
      <c r="E35" s="258">
        <f t="shared" si="0"/>
        <v>100</v>
      </c>
      <c r="F35" s="267">
        <f t="shared" si="5"/>
        <v>200</v>
      </c>
      <c r="G35" s="267">
        <f t="shared" si="5"/>
        <v>200</v>
      </c>
      <c r="H35" s="258">
        <f t="shared" si="1"/>
        <v>100</v>
      </c>
      <c r="I35" s="267">
        <f t="shared" si="6"/>
        <v>200</v>
      </c>
      <c r="J35" s="267">
        <f t="shared" si="6"/>
        <v>200</v>
      </c>
      <c r="K35" s="258">
        <f t="shared" si="2"/>
        <v>100</v>
      </c>
      <c r="L35" s="435">
        <f t="shared" si="3"/>
        <v>100</v>
      </c>
    </row>
    <row r="36" spans="1:12" ht="15.6" customHeight="1" x14ac:dyDescent="0.2">
      <c r="A36" s="242"/>
      <c r="B36" s="259" t="s">
        <v>201</v>
      </c>
      <c r="C36" s="260">
        <f>+85+80+95+50+25+6+80+90+80</f>
        <v>591</v>
      </c>
      <c r="D36" s="266">
        <f>+98+85+100+52.45+31.32+5+81+91+84</f>
        <v>627.77</v>
      </c>
      <c r="E36" s="262">
        <f t="shared" si="0"/>
        <v>106.22165820642978</v>
      </c>
      <c r="F36" s="266">
        <f>+85+80+95+50+25+6+80+90+80</f>
        <v>591</v>
      </c>
      <c r="G36" s="266">
        <f>+97.05+85+100+53.62+26.48+5.41+85.67+92+81.52</f>
        <v>626.75</v>
      </c>
      <c r="H36" s="262">
        <f t="shared" si="1"/>
        <v>106.04906937394247</v>
      </c>
      <c r="I36" s="266">
        <f>+85+80+95+50+10+6+80+90+80</f>
        <v>576</v>
      </c>
      <c r="J36" s="266">
        <f>+97.62+85+100+53.17+10.06+6.08+84.67+90+84.42</f>
        <v>611.02</v>
      </c>
      <c r="K36" s="262">
        <f t="shared" si="2"/>
        <v>106.07986111111111</v>
      </c>
      <c r="L36" s="435">
        <f t="shared" si="3"/>
        <v>106.11686289716113</v>
      </c>
    </row>
    <row r="37" spans="1:12" ht="15.6" customHeight="1" x14ac:dyDescent="0.2">
      <c r="A37" s="242"/>
      <c r="B37" s="255" t="s">
        <v>180</v>
      </c>
      <c r="C37" s="256">
        <f t="shared" ref="C37:D38" si="7">+100+100</f>
        <v>200</v>
      </c>
      <c r="D37" s="256">
        <f t="shared" si="7"/>
        <v>200</v>
      </c>
      <c r="E37" s="258">
        <f t="shared" si="0"/>
        <v>100</v>
      </c>
      <c r="F37" s="256">
        <f t="shared" ref="F37:G38" si="8">+100+100</f>
        <v>200</v>
      </c>
      <c r="G37" s="267">
        <f t="shared" si="8"/>
        <v>200</v>
      </c>
      <c r="H37" s="258">
        <f t="shared" si="1"/>
        <v>100</v>
      </c>
      <c r="I37" s="256">
        <f t="shared" ref="I37:J38" si="9">+100+100</f>
        <v>200</v>
      </c>
      <c r="J37" s="267">
        <f t="shared" si="9"/>
        <v>200</v>
      </c>
      <c r="K37" s="258">
        <f t="shared" si="2"/>
        <v>100</v>
      </c>
      <c r="L37" s="435">
        <f t="shared" si="3"/>
        <v>100</v>
      </c>
    </row>
    <row r="38" spans="1:12" ht="15.6" customHeight="1" x14ac:dyDescent="0.2">
      <c r="A38" s="242"/>
      <c r="B38" s="259" t="s">
        <v>182</v>
      </c>
      <c r="C38" s="266">
        <f t="shared" si="7"/>
        <v>200</v>
      </c>
      <c r="D38" s="266">
        <f t="shared" si="7"/>
        <v>200</v>
      </c>
      <c r="E38" s="262">
        <f t="shared" si="0"/>
        <v>100</v>
      </c>
      <c r="F38" s="266">
        <f t="shared" si="8"/>
        <v>200</v>
      </c>
      <c r="G38" s="266">
        <f t="shared" si="8"/>
        <v>200</v>
      </c>
      <c r="H38" s="262">
        <f t="shared" si="1"/>
        <v>100</v>
      </c>
      <c r="I38" s="266">
        <f t="shared" si="9"/>
        <v>200</v>
      </c>
      <c r="J38" s="266">
        <f t="shared" si="9"/>
        <v>200</v>
      </c>
      <c r="K38" s="262">
        <f t="shared" si="2"/>
        <v>100</v>
      </c>
      <c r="L38" s="435">
        <f t="shared" si="3"/>
        <v>100</v>
      </c>
    </row>
    <row r="39" spans="1:12" ht="15.6" customHeight="1" x14ac:dyDescent="0.2">
      <c r="A39" s="242"/>
      <c r="B39" s="255" t="s">
        <v>203</v>
      </c>
      <c r="C39" s="256">
        <f>+70+90+90+90+80+90+90</f>
        <v>600</v>
      </c>
      <c r="D39" s="267">
        <f>+73.33+90.02+89.94+90.48+80.25+83.33+90.03</f>
        <v>597.38</v>
      </c>
      <c r="E39" s="258">
        <f t="shared" si="0"/>
        <v>99.563333333333333</v>
      </c>
      <c r="F39" s="256">
        <f>+70+90+90+90+80+90+90</f>
        <v>600</v>
      </c>
      <c r="G39" s="267">
        <f>+67.74+89.96+87.69+90+83.33+90+94.15</f>
        <v>602.87</v>
      </c>
      <c r="H39" s="258">
        <f t="shared" si="1"/>
        <v>100.47833333333334</v>
      </c>
      <c r="I39" s="256">
        <f>+70+90+90+90+80+90+90</f>
        <v>600</v>
      </c>
      <c r="J39" s="256">
        <f>+72.22+89.96+90+89.33+78.89+90+90.77</f>
        <v>601.16999999999996</v>
      </c>
      <c r="K39" s="258">
        <f t="shared" si="2"/>
        <v>100.19499999999999</v>
      </c>
      <c r="L39" s="435">
        <f t="shared" si="3"/>
        <v>100.0788888888889</v>
      </c>
    </row>
    <row r="40" spans="1:12" ht="15.6" customHeight="1" x14ac:dyDescent="0.2">
      <c r="A40" s="242"/>
      <c r="B40" s="259" t="s">
        <v>183</v>
      </c>
      <c r="C40" s="260">
        <f t="shared" ref="C40:C42" si="10">+70+70+70+70</f>
        <v>280</v>
      </c>
      <c r="D40" s="266">
        <f>+70+75.2+76+75</f>
        <v>296.2</v>
      </c>
      <c r="E40" s="262">
        <f t="shared" si="0"/>
        <v>105.78571428571429</v>
      </c>
      <c r="F40" s="260">
        <f t="shared" ref="F40:F42" si="11">+70+70+70+70</f>
        <v>280</v>
      </c>
      <c r="G40" s="266">
        <f>+70+73.2+77+75</f>
        <v>295.2</v>
      </c>
      <c r="H40" s="262">
        <f t="shared" si="1"/>
        <v>105.42857142857143</v>
      </c>
      <c r="I40" s="260">
        <f t="shared" ref="I40:I42" si="12">+70+70+70+70</f>
        <v>280</v>
      </c>
      <c r="J40" s="266">
        <f>+70+72.47+76+75</f>
        <v>293.47000000000003</v>
      </c>
      <c r="K40" s="262">
        <f t="shared" si="2"/>
        <v>104.8107142857143</v>
      </c>
      <c r="L40" s="435">
        <f t="shared" si="3"/>
        <v>105.34166666666668</v>
      </c>
    </row>
    <row r="41" spans="1:12" ht="15.6" customHeight="1" x14ac:dyDescent="0.2">
      <c r="A41" s="242"/>
      <c r="B41" s="255" t="s">
        <v>184</v>
      </c>
      <c r="C41" s="267">
        <f t="shared" si="10"/>
        <v>280</v>
      </c>
      <c r="D41" s="267">
        <f>+71.43+70+70+75</f>
        <v>286.43</v>
      </c>
      <c r="E41" s="258">
        <f t="shared" si="0"/>
        <v>102.29642857142858</v>
      </c>
      <c r="F41" s="267">
        <f t="shared" si="11"/>
        <v>280</v>
      </c>
      <c r="G41" s="267">
        <f>+71.43+71.86+76+75</f>
        <v>294.29000000000002</v>
      </c>
      <c r="H41" s="258">
        <f t="shared" si="1"/>
        <v>105.10357142857144</v>
      </c>
      <c r="I41" s="267">
        <f t="shared" si="12"/>
        <v>280</v>
      </c>
      <c r="J41" s="267">
        <f>+71.43+75.86+72+75</f>
        <v>294.29000000000002</v>
      </c>
      <c r="K41" s="258">
        <f t="shared" si="2"/>
        <v>105.10357142857144</v>
      </c>
      <c r="L41" s="435">
        <f t="shared" si="3"/>
        <v>104.16785714285716</v>
      </c>
    </row>
    <row r="42" spans="1:12" ht="15.6" customHeight="1" x14ac:dyDescent="0.2">
      <c r="A42" s="242"/>
      <c r="B42" s="259" t="s">
        <v>185</v>
      </c>
      <c r="C42" s="260">
        <f t="shared" si="10"/>
        <v>280</v>
      </c>
      <c r="D42" s="266">
        <f>+69.64+70.01+74.44+71.43</f>
        <v>285.52</v>
      </c>
      <c r="E42" s="262">
        <f t="shared" si="0"/>
        <v>101.97142857142858</v>
      </c>
      <c r="F42" s="260">
        <f t="shared" si="11"/>
        <v>280</v>
      </c>
      <c r="G42" s="266">
        <f>+75+73.33+76.67+75</f>
        <v>300</v>
      </c>
      <c r="H42" s="262">
        <f t="shared" si="1"/>
        <v>107.14285714285714</v>
      </c>
      <c r="I42" s="260">
        <f t="shared" si="12"/>
        <v>280</v>
      </c>
      <c r="J42" s="266">
        <f>+69.33+69.96+69.79+75</f>
        <v>284.08</v>
      </c>
      <c r="K42" s="262">
        <f t="shared" si="2"/>
        <v>101.45714285714286</v>
      </c>
      <c r="L42" s="435">
        <f t="shared" si="3"/>
        <v>103.52380952380952</v>
      </c>
    </row>
    <row r="43" spans="1:12" ht="15.6" customHeight="1" x14ac:dyDescent="0.2">
      <c r="A43" s="242"/>
      <c r="B43" s="255" t="s">
        <v>186</v>
      </c>
      <c r="C43" s="256">
        <f>+40+80+90+40+80+90+6+40</f>
        <v>466</v>
      </c>
      <c r="D43" s="267">
        <f>+40.98+77.5+90.63+40+80+90+6.6+42.65</f>
        <v>468.36</v>
      </c>
      <c r="E43" s="258">
        <f t="shared" si="0"/>
        <v>100.50643776824035</v>
      </c>
      <c r="F43" s="256">
        <f>+40+80+90+40+80+90+6+40</f>
        <v>466</v>
      </c>
      <c r="G43" s="267">
        <f>+40.25+82.5+93.19+40+80+90+8.13+40.74</f>
        <v>474.81</v>
      </c>
      <c r="H43" s="258">
        <f t="shared" si="1"/>
        <v>101.89055793991416</v>
      </c>
      <c r="I43" s="267">
        <f>+40+80+90+40+80+90+6+40</f>
        <v>466</v>
      </c>
      <c r="J43" s="267">
        <f>+40.54+85+92.58+40+80+90+7.04+38.89</f>
        <v>474.05</v>
      </c>
      <c r="K43" s="258">
        <f t="shared" si="2"/>
        <v>101.7274678111588</v>
      </c>
      <c r="L43" s="435">
        <f t="shared" si="3"/>
        <v>101.37482117310445</v>
      </c>
    </row>
    <row r="44" spans="1:12" ht="15.6" customHeight="1" x14ac:dyDescent="0.2">
      <c r="A44" s="242"/>
      <c r="B44" s="259" t="s">
        <v>245</v>
      </c>
      <c r="C44" s="260">
        <f t="shared" ref="C44:D49" si="13">+80+70</f>
        <v>150</v>
      </c>
      <c r="D44" s="260">
        <f t="shared" si="13"/>
        <v>150</v>
      </c>
      <c r="E44" s="262">
        <f t="shared" si="0"/>
        <v>100</v>
      </c>
      <c r="F44" s="260">
        <f t="shared" ref="F44:G49" si="14">+80+70</f>
        <v>150</v>
      </c>
      <c r="G44" s="260">
        <f t="shared" si="14"/>
        <v>150</v>
      </c>
      <c r="H44" s="262">
        <f t="shared" si="1"/>
        <v>100</v>
      </c>
      <c r="I44" s="260">
        <f t="shared" ref="I44:J49" si="15">+80+70</f>
        <v>150</v>
      </c>
      <c r="J44" s="260">
        <f>+80+75</f>
        <v>155</v>
      </c>
      <c r="K44" s="262">
        <f t="shared" si="2"/>
        <v>103.33333333333333</v>
      </c>
      <c r="L44" s="435">
        <f t="shared" si="3"/>
        <v>101.1111111111111</v>
      </c>
    </row>
    <row r="45" spans="1:12" ht="15.6" customHeight="1" x14ac:dyDescent="0.2">
      <c r="A45" s="242"/>
      <c r="B45" s="255" t="s">
        <v>187</v>
      </c>
      <c r="C45" s="256">
        <f t="shared" si="13"/>
        <v>150</v>
      </c>
      <c r="D45" s="256">
        <f t="shared" si="13"/>
        <v>150</v>
      </c>
      <c r="E45" s="258">
        <f t="shared" si="0"/>
        <v>100</v>
      </c>
      <c r="F45" s="256">
        <f t="shared" si="14"/>
        <v>150</v>
      </c>
      <c r="G45" s="256">
        <f t="shared" si="14"/>
        <v>150</v>
      </c>
      <c r="H45" s="258">
        <f t="shared" si="1"/>
        <v>100</v>
      </c>
      <c r="I45" s="256">
        <f t="shared" si="15"/>
        <v>150</v>
      </c>
      <c r="J45" s="256">
        <f>+82+70</f>
        <v>152</v>
      </c>
      <c r="K45" s="258">
        <f t="shared" si="2"/>
        <v>101.33333333333333</v>
      </c>
      <c r="L45" s="435">
        <f t="shared" si="3"/>
        <v>100.44444444444444</v>
      </c>
    </row>
    <row r="46" spans="1:12" ht="15.6" customHeight="1" x14ac:dyDescent="0.2">
      <c r="A46" s="242"/>
      <c r="B46" s="259" t="s">
        <v>188</v>
      </c>
      <c r="C46" s="260">
        <f t="shared" si="13"/>
        <v>150</v>
      </c>
      <c r="D46" s="260">
        <f t="shared" si="13"/>
        <v>150</v>
      </c>
      <c r="E46" s="262">
        <f t="shared" si="0"/>
        <v>100</v>
      </c>
      <c r="F46" s="260">
        <f t="shared" si="14"/>
        <v>150</v>
      </c>
      <c r="G46" s="260">
        <f t="shared" si="14"/>
        <v>150</v>
      </c>
      <c r="H46" s="262">
        <f t="shared" si="1"/>
        <v>100</v>
      </c>
      <c r="I46" s="260">
        <f t="shared" si="15"/>
        <v>150</v>
      </c>
      <c r="J46" s="260">
        <f t="shared" si="15"/>
        <v>150</v>
      </c>
      <c r="K46" s="262">
        <f t="shared" si="2"/>
        <v>100</v>
      </c>
      <c r="L46" s="435">
        <f t="shared" si="3"/>
        <v>100</v>
      </c>
    </row>
    <row r="47" spans="1:12" ht="15.6" customHeight="1" x14ac:dyDescent="0.2">
      <c r="A47" s="242"/>
      <c r="B47" s="255" t="s">
        <v>189</v>
      </c>
      <c r="C47" s="256">
        <f t="shared" si="13"/>
        <v>150</v>
      </c>
      <c r="D47" s="256">
        <f t="shared" si="13"/>
        <v>150</v>
      </c>
      <c r="E47" s="258">
        <f t="shared" si="0"/>
        <v>100</v>
      </c>
      <c r="F47" s="256">
        <f t="shared" si="14"/>
        <v>150</v>
      </c>
      <c r="G47" s="256">
        <f t="shared" si="14"/>
        <v>150</v>
      </c>
      <c r="H47" s="258">
        <f t="shared" si="1"/>
        <v>100</v>
      </c>
      <c r="I47" s="256">
        <f t="shared" si="15"/>
        <v>150</v>
      </c>
      <c r="J47" s="256">
        <f t="shared" si="15"/>
        <v>150</v>
      </c>
      <c r="K47" s="258">
        <f t="shared" si="2"/>
        <v>100</v>
      </c>
      <c r="L47" s="435">
        <f t="shared" si="3"/>
        <v>100</v>
      </c>
    </row>
    <row r="48" spans="1:12" ht="15.6" customHeight="1" x14ac:dyDescent="0.2">
      <c r="A48" s="242"/>
      <c r="B48" s="268" t="s">
        <v>190</v>
      </c>
      <c r="C48" s="260">
        <f t="shared" si="13"/>
        <v>150</v>
      </c>
      <c r="D48" s="266">
        <f t="shared" si="13"/>
        <v>150</v>
      </c>
      <c r="E48" s="262">
        <f t="shared" si="0"/>
        <v>100</v>
      </c>
      <c r="F48" s="260">
        <f t="shared" si="14"/>
        <v>150</v>
      </c>
      <c r="G48" s="266">
        <f t="shared" si="14"/>
        <v>150</v>
      </c>
      <c r="H48" s="262">
        <f t="shared" si="1"/>
        <v>100</v>
      </c>
      <c r="I48" s="260">
        <f t="shared" si="15"/>
        <v>150</v>
      </c>
      <c r="J48" s="266">
        <f t="shared" si="15"/>
        <v>150</v>
      </c>
      <c r="K48" s="262">
        <f t="shared" si="2"/>
        <v>100</v>
      </c>
      <c r="L48" s="435">
        <f t="shared" si="3"/>
        <v>100</v>
      </c>
    </row>
    <row r="49" spans="1:12" ht="15.6" customHeight="1" x14ac:dyDescent="0.2">
      <c r="A49" s="242"/>
      <c r="B49" s="255" t="s">
        <v>191</v>
      </c>
      <c r="C49" s="256">
        <f t="shared" si="13"/>
        <v>150</v>
      </c>
      <c r="D49" s="256">
        <f t="shared" si="13"/>
        <v>150</v>
      </c>
      <c r="E49" s="258">
        <f t="shared" si="0"/>
        <v>100</v>
      </c>
      <c r="F49" s="256">
        <f t="shared" si="14"/>
        <v>150</v>
      </c>
      <c r="G49" s="256">
        <f t="shared" si="14"/>
        <v>150</v>
      </c>
      <c r="H49" s="258">
        <f t="shared" si="1"/>
        <v>100</v>
      </c>
      <c r="I49" s="256">
        <f t="shared" si="15"/>
        <v>150</v>
      </c>
      <c r="J49" s="256">
        <f t="shared" si="15"/>
        <v>150</v>
      </c>
      <c r="K49" s="258">
        <f t="shared" si="2"/>
        <v>100</v>
      </c>
      <c r="L49" s="435">
        <f t="shared" si="3"/>
        <v>100</v>
      </c>
    </row>
    <row r="50" spans="1:12" ht="15.6" customHeight="1" x14ac:dyDescent="0.2">
      <c r="A50" s="242"/>
      <c r="B50" s="269" t="s">
        <v>192</v>
      </c>
      <c r="C50" s="270">
        <f>+72+36+92+30+75+40</f>
        <v>345</v>
      </c>
      <c r="D50" s="270">
        <f>+76.19+37.84+97.34+28.78+70.87+40</f>
        <v>351.02</v>
      </c>
      <c r="E50" s="262">
        <f t="shared" si="0"/>
        <v>101.74492753623188</v>
      </c>
      <c r="F50" s="270">
        <f>+72+36+92+30+75+40</f>
        <v>345</v>
      </c>
      <c r="G50" s="270">
        <f>+76.19+34.29+95.77+29.41+70.87+40</f>
        <v>346.53</v>
      </c>
      <c r="H50" s="262">
        <f t="shared" si="1"/>
        <v>100.44347826086957</v>
      </c>
      <c r="I50" s="270">
        <f>+72+36+92+30+75+40</f>
        <v>345</v>
      </c>
      <c r="J50" s="270">
        <f>+76+34.78+97.18+28.57+71.04+40</f>
        <v>347.57</v>
      </c>
      <c r="K50" s="262">
        <f t="shared" si="2"/>
        <v>100.74492753623188</v>
      </c>
      <c r="L50" s="435">
        <f t="shared" si="3"/>
        <v>100.97777777777777</v>
      </c>
    </row>
    <row r="51" spans="1:12" ht="15.6" customHeight="1" x14ac:dyDescent="0.2">
      <c r="A51" s="242"/>
      <c r="B51" s="255" t="s">
        <v>193</v>
      </c>
      <c r="C51" s="256">
        <f t="shared" ref="C51:C52" si="16">+100+70+80</f>
        <v>250</v>
      </c>
      <c r="D51" s="267">
        <f>+100+66.43+76.92</f>
        <v>243.35000000000002</v>
      </c>
      <c r="E51" s="258">
        <f t="shared" si="0"/>
        <v>97.340000000000018</v>
      </c>
      <c r="F51" s="256">
        <f t="shared" ref="F51:F52" si="17">+100+70+80</f>
        <v>250</v>
      </c>
      <c r="G51" s="267">
        <f>+100+66.44+75</f>
        <v>241.44</v>
      </c>
      <c r="H51" s="258">
        <f t="shared" si="1"/>
        <v>96.575999999999993</v>
      </c>
      <c r="I51" s="256">
        <f t="shared" ref="I51:I52" si="18">+100+70+80</f>
        <v>250</v>
      </c>
      <c r="J51" s="267">
        <f>+100+69.7+76</f>
        <v>245.7</v>
      </c>
      <c r="K51" s="258">
        <f t="shared" si="2"/>
        <v>98.28</v>
      </c>
      <c r="L51" s="435">
        <f t="shared" si="3"/>
        <v>97.398666666666671</v>
      </c>
    </row>
    <row r="52" spans="1:12" ht="15.6" customHeight="1" x14ac:dyDescent="0.2">
      <c r="A52" s="242"/>
      <c r="B52" s="269" t="s">
        <v>194</v>
      </c>
      <c r="C52" s="260">
        <f t="shared" si="16"/>
        <v>250</v>
      </c>
      <c r="D52" s="270">
        <f>+100+66.32+77.4</f>
        <v>243.72</v>
      </c>
      <c r="E52" s="262">
        <f t="shared" si="0"/>
        <v>97.488</v>
      </c>
      <c r="F52" s="260">
        <f t="shared" si="17"/>
        <v>250</v>
      </c>
      <c r="G52" s="270">
        <f>+100+68.97+78.95</f>
        <v>247.92000000000002</v>
      </c>
      <c r="H52" s="262">
        <f t="shared" si="1"/>
        <v>99.168000000000006</v>
      </c>
      <c r="I52" s="260">
        <f t="shared" si="18"/>
        <v>250</v>
      </c>
      <c r="J52" s="270">
        <f>+100+68.97+78.95</f>
        <v>247.92000000000002</v>
      </c>
      <c r="K52" s="262">
        <f t="shared" si="2"/>
        <v>99.168000000000006</v>
      </c>
      <c r="L52" s="435">
        <f t="shared" si="3"/>
        <v>98.608000000000004</v>
      </c>
    </row>
    <row r="53" spans="1:12" ht="15.6" customHeight="1" x14ac:dyDescent="0.2">
      <c r="A53" s="242"/>
      <c r="B53" s="255" t="s">
        <v>195</v>
      </c>
      <c r="C53" s="256">
        <f>+59+19+45+25+90+90</f>
        <v>328</v>
      </c>
      <c r="D53" s="267">
        <f>+61.9+19.04+45.42+26.09+93.94+92.79</f>
        <v>339.18</v>
      </c>
      <c r="E53" s="258">
        <f t="shared" si="0"/>
        <v>103.40853658536585</v>
      </c>
      <c r="F53" s="256">
        <f>+59+19+45+25+92+92</f>
        <v>332</v>
      </c>
      <c r="G53" s="267">
        <f>+62.1+20.23+45.93+26.32+93.94+93.59</f>
        <v>342.11</v>
      </c>
      <c r="H53" s="258">
        <f t="shared" si="1"/>
        <v>103.04518072289157</v>
      </c>
      <c r="I53" s="267">
        <f>+59+19+45+25+92+92</f>
        <v>332</v>
      </c>
      <c r="J53" s="267">
        <f>+62.5+20.08+46.01+26.45+94.12+93.93</f>
        <v>343.09000000000003</v>
      </c>
      <c r="K53" s="258">
        <f t="shared" si="2"/>
        <v>103.34036144578313</v>
      </c>
      <c r="L53" s="435">
        <f t="shared" si="3"/>
        <v>103.26469291801351</v>
      </c>
    </row>
    <row r="54" spans="1:12" ht="15.6" customHeight="1" x14ac:dyDescent="0.2">
      <c r="A54" s="242"/>
      <c r="B54" s="269" t="s">
        <v>196</v>
      </c>
      <c r="C54" s="271">
        <f>+41.16+37.42+11.26+15.69+113.64+20+29.47+100+100+100+100+100+100+60</f>
        <v>928.64</v>
      </c>
      <c r="D54" s="272">
        <f>+39.81+35.39+7.96+12.03+113.62+13.11+28.42+70+100+100+100+100+100+53.85</f>
        <v>874.19</v>
      </c>
      <c r="E54" s="262">
        <f t="shared" si="0"/>
        <v>94.136586836664364</v>
      </c>
      <c r="F54" s="272">
        <f>+42.51+39.27+9.84+14.29+113.04+20+29.47+100+100+100+100+100+60</f>
        <v>828.42</v>
      </c>
      <c r="G54" s="272">
        <f>+40.65+36.47+6.29+10.47+106.92+18.81+23.16+25+100+100+100+100+58.33</f>
        <v>726.1</v>
      </c>
      <c r="H54" s="262">
        <f t="shared" si="1"/>
        <v>87.648777190314092</v>
      </c>
      <c r="I54" s="272">
        <f>+43.94+41.29+8.42+12.88+114.29+20+26.32+100+100+100+100+100+60</f>
        <v>827.14</v>
      </c>
      <c r="J54" s="272">
        <f>+41.4+37.27+5.37+9.56+114.52+15.57+21.74+0+100+100+100+100+58.33</f>
        <v>703.7600000000001</v>
      </c>
      <c r="K54" s="262">
        <f t="shared" si="2"/>
        <v>85.083540875788884</v>
      </c>
      <c r="L54" s="435">
        <f t="shared" si="3"/>
        <v>88.95630163425578</v>
      </c>
    </row>
    <row r="55" spans="1:12" ht="15.6" customHeight="1" x14ac:dyDescent="0.2">
      <c r="A55" s="242"/>
      <c r="B55" s="273"/>
      <c r="C55" s="274"/>
      <c r="D55" s="274"/>
      <c r="E55" s="274"/>
      <c r="F55" s="274"/>
      <c r="G55" s="274"/>
      <c r="H55" s="274"/>
      <c r="I55" s="274"/>
      <c r="J55" s="274"/>
      <c r="K55" s="274"/>
      <c r="L55" s="433"/>
    </row>
    <row r="56" spans="1:12" ht="19.899999999999999" customHeight="1" x14ac:dyDescent="0.2">
      <c r="A56" s="249"/>
      <c r="B56" s="275" t="s">
        <v>197</v>
      </c>
      <c r="C56" s="276"/>
      <c r="D56" s="277"/>
      <c r="E56" s="277"/>
      <c r="F56" s="277"/>
      <c r="G56" s="277"/>
      <c r="H56" s="277"/>
      <c r="I56" s="277"/>
      <c r="J56" s="277"/>
      <c r="K56" s="277"/>
      <c r="L56" s="434"/>
    </row>
    <row r="57" spans="1:12" ht="15.6" customHeight="1" x14ac:dyDescent="0.2">
      <c r="A57" s="242"/>
      <c r="B57" s="273"/>
      <c r="C57" s="274"/>
      <c r="D57" s="274"/>
      <c r="E57" s="274"/>
      <c r="F57" s="274"/>
      <c r="G57" s="274"/>
      <c r="H57" s="274"/>
      <c r="I57" s="274"/>
      <c r="J57" s="274"/>
      <c r="K57" s="274"/>
      <c r="L57" s="433"/>
    </row>
    <row r="58" spans="1:12" ht="15.6" customHeight="1" x14ac:dyDescent="0.2">
      <c r="A58" s="242"/>
      <c r="B58" s="255" t="s">
        <v>246</v>
      </c>
      <c r="C58" s="256">
        <f>+80+80+76</f>
        <v>236</v>
      </c>
      <c r="D58" s="264">
        <f>+85+85+75</f>
        <v>245</v>
      </c>
      <c r="E58" s="258">
        <f t="shared" ref="E58:E68" si="19">+D58*100/C58</f>
        <v>103.8135593220339</v>
      </c>
      <c r="F58" s="264">
        <f>+80+80+76</f>
        <v>236</v>
      </c>
      <c r="G58" s="264">
        <f>+85+81+76</f>
        <v>242</v>
      </c>
      <c r="H58" s="258">
        <f t="shared" ref="H58:H68" si="20">+G58*100/F58</f>
        <v>102.54237288135593</v>
      </c>
      <c r="I58" s="264">
        <f>+80+80+76</f>
        <v>236</v>
      </c>
      <c r="J58" s="264">
        <f>+83+79+78</f>
        <v>240</v>
      </c>
      <c r="K58" s="258">
        <f t="shared" ref="K58:K68" si="21">+J58*100/I58</f>
        <v>101.69491525423729</v>
      </c>
      <c r="L58" s="435">
        <f t="shared" ref="L58:L68" si="22">+(E58+H58+K58)/3</f>
        <v>102.68361581920904</v>
      </c>
    </row>
    <row r="59" spans="1:12" ht="15.6" customHeight="1" x14ac:dyDescent="0.2">
      <c r="A59" s="242"/>
      <c r="B59" s="268" t="s">
        <v>198</v>
      </c>
      <c r="C59" s="278">
        <f>+85+90+85</f>
        <v>260</v>
      </c>
      <c r="D59" s="266">
        <f>+85+91+86</f>
        <v>262</v>
      </c>
      <c r="E59" s="262">
        <f t="shared" si="19"/>
        <v>100.76923076923077</v>
      </c>
      <c r="F59" s="266">
        <f>+85+90+85</f>
        <v>260</v>
      </c>
      <c r="G59" s="266">
        <f>+86+90+86</f>
        <v>262</v>
      </c>
      <c r="H59" s="262">
        <f t="shared" si="20"/>
        <v>100.76923076923077</v>
      </c>
      <c r="I59" s="266">
        <f>+85+85+85</f>
        <v>255</v>
      </c>
      <c r="J59" s="266">
        <f>+80+89+82</f>
        <v>251</v>
      </c>
      <c r="K59" s="262">
        <f t="shared" si="21"/>
        <v>98.431372549019613</v>
      </c>
      <c r="L59" s="435">
        <f t="shared" si="22"/>
        <v>99.989944695827049</v>
      </c>
    </row>
    <row r="60" spans="1:12" ht="15.6" customHeight="1" x14ac:dyDescent="0.2">
      <c r="A60" s="242"/>
      <c r="B60" s="255" t="s">
        <v>199</v>
      </c>
      <c r="C60" s="256">
        <f>+92+85+90+85+85+85</f>
        <v>522</v>
      </c>
      <c r="D60" s="264">
        <f>+47.16+86.64+100+81.48+89.94+91.66</f>
        <v>496.88</v>
      </c>
      <c r="E60" s="258">
        <f t="shared" si="19"/>
        <v>95.187739463601531</v>
      </c>
      <c r="F60" s="264">
        <f>+92+90+90+85+85+85</f>
        <v>527</v>
      </c>
      <c r="G60" s="264">
        <f>+87.17+88.26+87.5+88.23+88.72+89.74</f>
        <v>529.62</v>
      </c>
      <c r="H60" s="258">
        <f t="shared" si="20"/>
        <v>100.49715370018976</v>
      </c>
      <c r="I60" s="264">
        <f>+92+90+75+80+85+85</f>
        <v>507</v>
      </c>
      <c r="J60" s="264">
        <f>+90.56+92.73+77.77+51.42+89.75+88</f>
        <v>490.23</v>
      </c>
      <c r="K60" s="258">
        <f t="shared" si="21"/>
        <v>96.692307692307693</v>
      </c>
      <c r="L60" s="435">
        <f t="shared" si="22"/>
        <v>97.459066952032984</v>
      </c>
    </row>
    <row r="61" spans="1:12" ht="15.6" customHeight="1" x14ac:dyDescent="0.2">
      <c r="A61" s="242"/>
      <c r="B61" s="268" t="s">
        <v>200</v>
      </c>
      <c r="C61" s="278">
        <f>+95+95+95+95+95+95</f>
        <v>570</v>
      </c>
      <c r="D61" s="265">
        <f>+96+100+100+100+100+100</f>
        <v>596</v>
      </c>
      <c r="E61" s="262">
        <f t="shared" si="19"/>
        <v>104.56140350877193</v>
      </c>
      <c r="F61" s="265">
        <f>+95+95+95+95+95+95</f>
        <v>570</v>
      </c>
      <c r="G61" s="265">
        <f>+96+100+100+100+100+100</f>
        <v>596</v>
      </c>
      <c r="H61" s="262">
        <f t="shared" si="20"/>
        <v>104.56140350877193</v>
      </c>
      <c r="I61" s="265">
        <f>+95+95+95+95+95+90</f>
        <v>565</v>
      </c>
      <c r="J61" s="265">
        <f>+96+100+100+100+100+100</f>
        <v>596</v>
      </c>
      <c r="K61" s="262">
        <f t="shared" si="21"/>
        <v>105.48672566371681</v>
      </c>
      <c r="L61" s="435">
        <f t="shared" si="22"/>
        <v>104.8698442270869</v>
      </c>
    </row>
    <row r="62" spans="1:12" ht="15.6" customHeight="1" x14ac:dyDescent="0.2">
      <c r="A62" s="242"/>
      <c r="B62" s="255" t="s">
        <v>201</v>
      </c>
      <c r="C62" s="256">
        <f>+90+75+90+90+100+95+100+100+95+90+90+90+90</f>
        <v>1195</v>
      </c>
      <c r="D62" s="264">
        <f>+92+80+90+8+100+98+100+100+100+90+96+96+94</f>
        <v>1144</v>
      </c>
      <c r="E62" s="258">
        <f t="shared" si="19"/>
        <v>95.73221757322176</v>
      </c>
      <c r="F62" s="264">
        <f>+90+75+90+90+100+95+100+100+95+90+90+90+90</f>
        <v>1195</v>
      </c>
      <c r="G62" s="264">
        <f>+95+80+96+10+100+97+100+100+92+96+95+92+91</f>
        <v>1144</v>
      </c>
      <c r="H62" s="258">
        <f t="shared" si="20"/>
        <v>95.73221757322176</v>
      </c>
      <c r="I62" s="264">
        <f>+90+75+90+90+100+95+100+100+95+90+90+90+90</f>
        <v>1195</v>
      </c>
      <c r="J62" s="264">
        <f>+94+79+96+34+100+99+100+100+100+96+96+89+93</f>
        <v>1176</v>
      </c>
      <c r="K62" s="258">
        <f t="shared" si="21"/>
        <v>98.410041841004187</v>
      </c>
      <c r="L62" s="435">
        <f t="shared" si="22"/>
        <v>96.624825662482564</v>
      </c>
    </row>
    <row r="63" spans="1:12" ht="15.6" customHeight="1" x14ac:dyDescent="0.2">
      <c r="A63" s="242"/>
      <c r="B63" s="268" t="s">
        <v>186</v>
      </c>
      <c r="C63" s="278">
        <f>+74+78+90+86</f>
        <v>328</v>
      </c>
      <c r="D63" s="265">
        <f>+69+80+93+80</f>
        <v>322</v>
      </c>
      <c r="E63" s="262">
        <f t="shared" si="19"/>
        <v>98.170731707317074</v>
      </c>
      <c r="F63" s="265">
        <f>+69+100+80+100+79+89+100+100+87</f>
        <v>804</v>
      </c>
      <c r="G63" s="265">
        <f>+52+100+81+100+84+90+100+100+117</f>
        <v>824</v>
      </c>
      <c r="H63" s="262">
        <f t="shared" si="20"/>
        <v>102.48756218905473</v>
      </c>
      <c r="I63" s="265">
        <f>+69+100+81+100+79+89+100+100+88</f>
        <v>806</v>
      </c>
      <c r="J63" s="265">
        <f>+66+100+87+100+84+95+100+100+54</f>
        <v>786</v>
      </c>
      <c r="K63" s="262">
        <f t="shared" si="21"/>
        <v>97.518610421836229</v>
      </c>
      <c r="L63" s="435">
        <f t="shared" si="22"/>
        <v>99.392301439402672</v>
      </c>
    </row>
    <row r="64" spans="1:12" ht="15.6" customHeight="1" x14ac:dyDescent="0.2">
      <c r="A64" s="242"/>
      <c r="B64" s="255" t="s">
        <v>202</v>
      </c>
      <c r="C64" s="256">
        <f>+90+90+90</f>
        <v>270</v>
      </c>
      <c r="D64" s="264">
        <f>+89+97+97</f>
        <v>283</v>
      </c>
      <c r="E64" s="258">
        <f t="shared" si="19"/>
        <v>104.81481481481481</v>
      </c>
      <c r="F64" s="264">
        <f>+90+90+90</f>
        <v>270</v>
      </c>
      <c r="G64" s="264">
        <f>+93+95+95</f>
        <v>283</v>
      </c>
      <c r="H64" s="258">
        <f t="shared" si="20"/>
        <v>104.81481481481481</v>
      </c>
      <c r="I64" s="264">
        <f>+90+90+90</f>
        <v>270</v>
      </c>
      <c r="J64" s="264">
        <f>+89+95+97</f>
        <v>281</v>
      </c>
      <c r="K64" s="258">
        <f t="shared" si="21"/>
        <v>104.07407407407408</v>
      </c>
      <c r="L64" s="435">
        <f t="shared" si="22"/>
        <v>104.5679012345679</v>
      </c>
    </row>
    <row r="65" spans="1:15" ht="15.6" customHeight="1" x14ac:dyDescent="0.2">
      <c r="A65" s="242"/>
      <c r="B65" s="268" t="s">
        <v>203</v>
      </c>
      <c r="C65" s="278">
        <f>+95+95+100</f>
        <v>290</v>
      </c>
      <c r="D65" s="265">
        <f>+100+100+100</f>
        <v>300</v>
      </c>
      <c r="E65" s="262">
        <f t="shared" si="19"/>
        <v>103.44827586206897</v>
      </c>
      <c r="F65" s="265">
        <f>+95+95+100</f>
        <v>290</v>
      </c>
      <c r="G65" s="265">
        <f>+100+100+100</f>
        <v>300</v>
      </c>
      <c r="H65" s="262">
        <f t="shared" si="20"/>
        <v>103.44827586206897</v>
      </c>
      <c r="I65" s="265">
        <f>+95+95+100</f>
        <v>290</v>
      </c>
      <c r="J65" s="265">
        <f>+100+100+100</f>
        <v>300</v>
      </c>
      <c r="K65" s="262">
        <f t="shared" si="21"/>
        <v>103.44827586206897</v>
      </c>
      <c r="L65" s="435">
        <f t="shared" si="22"/>
        <v>103.44827586206897</v>
      </c>
    </row>
    <row r="66" spans="1:15" ht="15.6" customHeight="1" x14ac:dyDescent="0.2">
      <c r="A66" s="242"/>
      <c r="B66" s="255" t="s">
        <v>204</v>
      </c>
      <c r="C66" s="256">
        <f>+90+75+67+80+50+90</f>
        <v>452</v>
      </c>
      <c r="D66" s="264">
        <f>+87+0+73+81+55+90</f>
        <v>386</v>
      </c>
      <c r="E66" s="258">
        <f t="shared" si="19"/>
        <v>85.398230088495581</v>
      </c>
      <c r="F66" s="264">
        <f>+90+75+67+80+50+90</f>
        <v>452</v>
      </c>
      <c r="G66" s="264">
        <f>+87+75+72+83+58+89</f>
        <v>464</v>
      </c>
      <c r="H66" s="258">
        <f t="shared" si="20"/>
        <v>102.65486725663717</v>
      </c>
      <c r="I66" s="264">
        <f>+90+75+67+80+50+90</f>
        <v>452</v>
      </c>
      <c r="J66" s="264">
        <f>+87+75+72+82+50+95</f>
        <v>461</v>
      </c>
      <c r="K66" s="258">
        <f t="shared" si="21"/>
        <v>101.99115044247787</v>
      </c>
      <c r="L66" s="435">
        <f t="shared" si="22"/>
        <v>96.681415929203538</v>
      </c>
    </row>
    <row r="67" spans="1:15" ht="15.6" customHeight="1" x14ac:dyDescent="0.2">
      <c r="A67" s="242"/>
      <c r="B67" s="268" t="s">
        <v>205</v>
      </c>
      <c r="C67" s="278">
        <f>+100+50+50+50</f>
        <v>250</v>
      </c>
      <c r="D67" s="278">
        <f>+100+50+50+50</f>
        <v>250</v>
      </c>
      <c r="E67" s="262">
        <f t="shared" si="19"/>
        <v>100</v>
      </c>
      <c r="F67" s="265">
        <f>+0+50+50+50</f>
        <v>150</v>
      </c>
      <c r="G67" s="265">
        <f>+0+50+50+50</f>
        <v>150</v>
      </c>
      <c r="H67" s="262">
        <f t="shared" si="20"/>
        <v>100</v>
      </c>
      <c r="I67" s="265">
        <f>+100+50+50+50</f>
        <v>250</v>
      </c>
      <c r="J67" s="265">
        <f>+100+50+50+50</f>
        <v>250</v>
      </c>
      <c r="K67" s="262">
        <f t="shared" si="21"/>
        <v>100</v>
      </c>
      <c r="L67" s="435">
        <f t="shared" si="22"/>
        <v>100</v>
      </c>
    </row>
    <row r="68" spans="1:15" ht="15.6" customHeight="1" x14ac:dyDescent="0.2">
      <c r="B68" s="255" t="s">
        <v>206</v>
      </c>
      <c r="C68" s="256">
        <f>+90+90</f>
        <v>180</v>
      </c>
      <c r="D68" s="264">
        <f>+92+95</f>
        <v>187</v>
      </c>
      <c r="E68" s="258">
        <f t="shared" si="19"/>
        <v>103.88888888888889</v>
      </c>
      <c r="F68" s="264">
        <f>+90+90</f>
        <v>180</v>
      </c>
      <c r="G68" s="264">
        <f>+93+94</f>
        <v>187</v>
      </c>
      <c r="H68" s="258">
        <f t="shared" si="20"/>
        <v>103.88888888888889</v>
      </c>
      <c r="I68" s="264">
        <f>+90+90</f>
        <v>180</v>
      </c>
      <c r="J68" s="264">
        <f>+94+95</f>
        <v>189</v>
      </c>
      <c r="K68" s="258">
        <f t="shared" si="21"/>
        <v>105</v>
      </c>
      <c r="L68" s="435">
        <f t="shared" si="22"/>
        <v>104.25925925925925</v>
      </c>
    </row>
    <row r="69" spans="1:15" ht="15.6" customHeight="1" x14ac:dyDescent="0.2">
      <c r="A69" s="242"/>
      <c r="B69" s="279"/>
      <c r="C69" s="280"/>
      <c r="D69" s="281"/>
      <c r="E69" s="281"/>
      <c r="F69" s="281"/>
      <c r="G69" s="281"/>
      <c r="H69" s="281"/>
      <c r="I69" s="281"/>
      <c r="J69" s="281"/>
      <c r="K69" s="281"/>
      <c r="L69" s="433"/>
    </row>
    <row r="70" spans="1:15" ht="19.899999999999999" customHeight="1" x14ac:dyDescent="0.2">
      <c r="A70" s="242"/>
      <c r="B70" s="275" t="s">
        <v>247</v>
      </c>
      <c r="C70" s="276"/>
      <c r="D70" s="277"/>
      <c r="E70" s="277"/>
      <c r="F70" s="277"/>
      <c r="G70" s="277"/>
      <c r="H70" s="277"/>
      <c r="I70" s="277"/>
      <c r="J70" s="277"/>
      <c r="K70" s="277"/>
      <c r="L70" s="434"/>
    </row>
    <row r="71" spans="1:15" ht="15.6" customHeight="1" x14ac:dyDescent="0.2">
      <c r="A71" s="242"/>
      <c r="B71" s="279"/>
      <c r="C71" s="280"/>
      <c r="D71" s="282"/>
      <c r="E71" s="282"/>
      <c r="F71" s="282"/>
      <c r="G71" s="282"/>
      <c r="H71" s="282"/>
      <c r="I71" s="282"/>
      <c r="J71" s="282"/>
      <c r="K71" s="282"/>
      <c r="L71" s="433"/>
    </row>
    <row r="72" spans="1:15" x14ac:dyDescent="0.2">
      <c r="A72" s="242"/>
      <c r="B72" s="268" t="s">
        <v>207</v>
      </c>
      <c r="C72" s="278">
        <f>+100+89+100</f>
        <v>289</v>
      </c>
      <c r="D72" s="265">
        <f>+100+89+100</f>
        <v>289</v>
      </c>
      <c r="E72" s="262">
        <f t="shared" ref="E72:E73" si="23">+D72*100/C72</f>
        <v>100</v>
      </c>
      <c r="F72" s="265">
        <f>+100+89+100</f>
        <v>289</v>
      </c>
      <c r="G72" s="265">
        <f>+100+89+100</f>
        <v>289</v>
      </c>
      <c r="H72" s="262">
        <f t="shared" ref="H72:H73" si="24">+G72*100/F72</f>
        <v>100</v>
      </c>
      <c r="I72" s="265">
        <f>+100+89+100</f>
        <v>289</v>
      </c>
      <c r="J72" s="265">
        <f>+100+89+100</f>
        <v>289</v>
      </c>
      <c r="K72" s="262">
        <f t="shared" ref="K72:K73" si="25">+J72*100/I72</f>
        <v>100</v>
      </c>
      <c r="L72" s="435">
        <f t="shared" ref="L72:L73" si="26">+(E72+H72+K72)/3</f>
        <v>100</v>
      </c>
    </row>
    <row r="73" spans="1:15" x14ac:dyDescent="0.2">
      <c r="A73" s="242"/>
      <c r="B73" s="255" t="s">
        <v>208</v>
      </c>
      <c r="C73" s="256">
        <f>+85+100+98</f>
        <v>283</v>
      </c>
      <c r="D73" s="264">
        <f>+84.2+100+99.71</f>
        <v>283.90999999999997</v>
      </c>
      <c r="E73" s="258">
        <f t="shared" si="23"/>
        <v>100.321554770318</v>
      </c>
      <c r="F73" s="264">
        <f>+85+100+98</f>
        <v>283</v>
      </c>
      <c r="G73" s="264">
        <f>+89.47+100+99.34</f>
        <v>288.81</v>
      </c>
      <c r="H73" s="258">
        <f t="shared" si="24"/>
        <v>102.0530035335689</v>
      </c>
      <c r="I73" s="264">
        <f>+85+100+98</f>
        <v>283</v>
      </c>
      <c r="J73" s="264">
        <f>+83.33+100+99.12</f>
        <v>282.45</v>
      </c>
      <c r="K73" s="258">
        <f t="shared" si="25"/>
        <v>99.805653710247356</v>
      </c>
      <c r="L73" s="435">
        <f t="shared" si="26"/>
        <v>100.72673733804474</v>
      </c>
    </row>
    <row r="74" spans="1:15" ht="15.6" customHeight="1" x14ac:dyDescent="0.2">
      <c r="A74" s="242"/>
      <c r="B74" s="242"/>
      <c r="C74" s="283"/>
      <c r="D74" s="283"/>
      <c r="E74" s="242"/>
      <c r="F74" s="242"/>
      <c r="G74" s="242"/>
      <c r="H74" s="242"/>
      <c r="I74" s="242"/>
      <c r="J74" s="242"/>
      <c r="K74" s="242"/>
      <c r="L74" s="436"/>
      <c r="M74" s="242"/>
      <c r="N74" s="242"/>
      <c r="O74" s="242"/>
    </row>
    <row r="75" spans="1:15" ht="19.899999999999999" customHeight="1" x14ac:dyDescent="0.2">
      <c r="A75" s="242"/>
      <c r="B75" s="284" t="s">
        <v>209</v>
      </c>
      <c r="C75" s="285"/>
      <c r="D75" s="286"/>
      <c r="E75" s="286"/>
      <c r="F75" s="286"/>
      <c r="G75" s="286"/>
      <c r="H75" s="286"/>
      <c r="I75" s="286"/>
      <c r="J75" s="286"/>
      <c r="K75" s="286"/>
      <c r="L75" s="434"/>
    </row>
    <row r="76" spans="1:15" ht="15.6" customHeight="1" x14ac:dyDescent="0.2">
      <c r="A76" s="242"/>
      <c r="B76" s="287"/>
      <c r="C76" s="288"/>
      <c r="D76" s="281"/>
      <c r="E76" s="281"/>
      <c r="F76" s="281"/>
      <c r="G76" s="281"/>
      <c r="H76" s="281"/>
      <c r="I76" s="281"/>
      <c r="J76" s="281"/>
      <c r="K76" s="281"/>
      <c r="L76" s="433"/>
    </row>
    <row r="77" spans="1:15" ht="15.6" customHeight="1" x14ac:dyDescent="0.2">
      <c r="A77" s="242"/>
      <c r="B77" s="268" t="s">
        <v>210</v>
      </c>
      <c r="C77" s="278">
        <f>+80+100+100</f>
        <v>280</v>
      </c>
      <c r="D77" s="265">
        <f>+86.75+100+100</f>
        <v>286.75</v>
      </c>
      <c r="E77" s="262">
        <f t="shared" ref="E77:E81" si="27">+D77*100/C77</f>
        <v>102.41071428571429</v>
      </c>
      <c r="F77" s="265">
        <f>+90+100+100</f>
        <v>290</v>
      </c>
      <c r="G77" s="265">
        <f>+93+100+100</f>
        <v>293</v>
      </c>
      <c r="H77" s="262">
        <f t="shared" ref="H77:H81" si="28">+G77*100/F77</f>
        <v>101.03448275862068</v>
      </c>
      <c r="I77" s="265">
        <f>+80+100+100</f>
        <v>280</v>
      </c>
      <c r="J77" s="265">
        <f>+81.82+100+100</f>
        <v>281.82</v>
      </c>
      <c r="K77" s="262">
        <f t="shared" ref="K77:K81" si="29">+J77*100/I77</f>
        <v>100.65</v>
      </c>
      <c r="L77" s="435">
        <f t="shared" ref="L77:L81" si="30">+(E77+H77+K77)/3</f>
        <v>101.365065681445</v>
      </c>
    </row>
    <row r="78" spans="1:15" ht="15.6" customHeight="1" x14ac:dyDescent="0.2">
      <c r="A78" s="242"/>
      <c r="B78" s="255" t="s">
        <v>248</v>
      </c>
      <c r="C78" s="256">
        <f>+100+88+90</f>
        <v>278</v>
      </c>
      <c r="D78" s="264">
        <f>+100+87.01+94.44</f>
        <v>281.45</v>
      </c>
      <c r="E78" s="258">
        <f t="shared" si="27"/>
        <v>101.2410071942446</v>
      </c>
      <c r="F78" s="264">
        <f>+100+88+90</f>
        <v>278</v>
      </c>
      <c r="G78" s="264">
        <f>+100+92.93+95.24</f>
        <v>288.17</v>
      </c>
      <c r="H78" s="258">
        <f t="shared" si="28"/>
        <v>103.65827338129496</v>
      </c>
      <c r="I78" s="264">
        <f>+100+88+90</f>
        <v>278</v>
      </c>
      <c r="J78" s="264">
        <f>+100+88.02+93.15</f>
        <v>281.16999999999996</v>
      </c>
      <c r="K78" s="258">
        <f t="shared" si="29"/>
        <v>101.14028776978417</v>
      </c>
      <c r="L78" s="435">
        <f t="shared" si="30"/>
        <v>102.01318944844125</v>
      </c>
    </row>
    <row r="79" spans="1:15" ht="15.6" customHeight="1" x14ac:dyDescent="0.2">
      <c r="A79" s="242"/>
      <c r="B79" s="268" t="s">
        <v>211</v>
      </c>
      <c r="C79" s="278">
        <f>+70+70+70+80</f>
        <v>290</v>
      </c>
      <c r="D79" s="265">
        <f>+100+100+74+80</f>
        <v>354</v>
      </c>
      <c r="E79" s="262">
        <f t="shared" si="27"/>
        <v>122.06896551724138</v>
      </c>
      <c r="F79" s="265">
        <f>+70+100+70+80</f>
        <v>320</v>
      </c>
      <c r="G79" s="265">
        <f>+100+100+77+100</f>
        <v>377</v>
      </c>
      <c r="H79" s="262">
        <f t="shared" si="28"/>
        <v>117.8125</v>
      </c>
      <c r="I79" s="265">
        <f>+70+70+70+80</f>
        <v>290</v>
      </c>
      <c r="J79" s="265">
        <f>+100+100+78+100</f>
        <v>378</v>
      </c>
      <c r="K79" s="262">
        <f t="shared" si="29"/>
        <v>130.34482758620689</v>
      </c>
      <c r="L79" s="435">
        <f t="shared" si="30"/>
        <v>123.40876436781609</v>
      </c>
    </row>
    <row r="80" spans="1:15" ht="15.6" customHeight="1" x14ac:dyDescent="0.2">
      <c r="A80" s="242"/>
      <c r="B80" s="255" t="s">
        <v>212</v>
      </c>
      <c r="C80" s="256">
        <f>+100+7+11</f>
        <v>118</v>
      </c>
      <c r="D80" s="256">
        <f>+100+7+11</f>
        <v>118</v>
      </c>
      <c r="E80" s="258">
        <f t="shared" si="27"/>
        <v>100</v>
      </c>
      <c r="F80" s="264">
        <f>+100+8+11</f>
        <v>119</v>
      </c>
      <c r="G80" s="264">
        <f>+100+8+11</f>
        <v>119</v>
      </c>
      <c r="H80" s="258">
        <f t="shared" si="28"/>
        <v>100</v>
      </c>
      <c r="I80" s="264">
        <f>+100+9.6+11</f>
        <v>120.6</v>
      </c>
      <c r="J80" s="264">
        <f>+100+9.6+11</f>
        <v>120.6</v>
      </c>
      <c r="K80" s="258">
        <f t="shared" si="29"/>
        <v>100</v>
      </c>
      <c r="L80" s="435">
        <f t="shared" si="30"/>
        <v>100</v>
      </c>
    </row>
    <row r="81" spans="1:12" ht="15.6" customHeight="1" x14ac:dyDescent="0.2">
      <c r="A81" s="242"/>
      <c r="B81" s="289" t="s">
        <v>249</v>
      </c>
      <c r="C81" s="290">
        <f>+100+100+100+80</f>
        <v>380</v>
      </c>
      <c r="D81" s="266">
        <f>+100+100+100+80</f>
        <v>380</v>
      </c>
      <c r="E81" s="262">
        <f t="shared" si="27"/>
        <v>100</v>
      </c>
      <c r="F81" s="266">
        <f>+100+100+100+80</f>
        <v>380</v>
      </c>
      <c r="G81" s="266">
        <f>+100+100+100+80</f>
        <v>380</v>
      </c>
      <c r="H81" s="262">
        <f t="shared" si="28"/>
        <v>100</v>
      </c>
      <c r="I81" s="290">
        <f>+100+100+100+80</f>
        <v>380</v>
      </c>
      <c r="J81" s="266">
        <f>+100+100+100+80</f>
        <v>380</v>
      </c>
      <c r="K81" s="262">
        <f t="shared" si="29"/>
        <v>100</v>
      </c>
      <c r="L81" s="435">
        <f t="shared" si="30"/>
        <v>100</v>
      </c>
    </row>
    <row r="82" spans="1:12" ht="15.6" customHeight="1" x14ac:dyDescent="0.2">
      <c r="A82" s="242"/>
      <c r="B82" s="279"/>
      <c r="C82" s="280"/>
      <c r="D82" s="281"/>
      <c r="E82" s="281"/>
      <c r="F82" s="281"/>
      <c r="G82" s="281"/>
      <c r="H82" s="281"/>
      <c r="I82" s="281"/>
      <c r="J82" s="281"/>
      <c r="K82" s="281"/>
      <c r="L82" s="433"/>
    </row>
    <row r="83" spans="1:12" ht="19.899999999999999" customHeight="1" x14ac:dyDescent="0.2">
      <c r="A83" s="242"/>
      <c r="B83" s="284" t="s">
        <v>213</v>
      </c>
      <c r="C83" s="285"/>
      <c r="D83" s="291"/>
      <c r="E83" s="291"/>
      <c r="F83" s="291"/>
      <c r="G83" s="291"/>
      <c r="H83" s="291"/>
      <c r="I83" s="291"/>
      <c r="J83" s="291"/>
      <c r="K83" s="291"/>
      <c r="L83" s="434"/>
    </row>
    <row r="84" spans="1:12" ht="15.6" customHeight="1" x14ac:dyDescent="0.2">
      <c r="A84" s="242"/>
      <c r="B84" s="273"/>
      <c r="C84" s="274"/>
      <c r="D84" s="281"/>
      <c r="E84" s="281"/>
      <c r="F84" s="281"/>
      <c r="G84" s="281"/>
      <c r="H84" s="281"/>
      <c r="I84" s="281"/>
      <c r="J84" s="281"/>
      <c r="K84" s="281"/>
      <c r="L84" s="433"/>
    </row>
    <row r="85" spans="1:12" ht="15.6" customHeight="1" x14ac:dyDescent="0.2">
      <c r="A85" s="242"/>
      <c r="B85" s="255" t="s">
        <v>214</v>
      </c>
      <c r="C85" s="256">
        <f>+10+100</f>
        <v>110</v>
      </c>
      <c r="D85" s="264">
        <f>+10.34+100</f>
        <v>110.34</v>
      </c>
      <c r="E85" s="258">
        <f t="shared" ref="E85:E89" si="31">+D85*100/C85</f>
        <v>100.30909090909091</v>
      </c>
      <c r="F85" s="264">
        <f>+10+100</f>
        <v>110</v>
      </c>
      <c r="G85" s="264">
        <f>+10.39+100</f>
        <v>110.39</v>
      </c>
      <c r="H85" s="258">
        <f t="shared" ref="H85:H89" si="32">+G85*100/F85</f>
        <v>100.35454545454546</v>
      </c>
      <c r="I85" s="264">
        <f>+10+100</f>
        <v>110</v>
      </c>
      <c r="J85" s="264">
        <f>+6.57+100</f>
        <v>106.57</v>
      </c>
      <c r="K85" s="258">
        <f t="shared" ref="K85:K89" si="33">+J85*100/I85</f>
        <v>96.881818181818176</v>
      </c>
      <c r="L85" s="435">
        <f t="shared" ref="L85:L89" si="34">+(E85+H85+K85)/3</f>
        <v>99.181818181818187</v>
      </c>
    </row>
    <row r="86" spans="1:12" ht="15.6" customHeight="1" x14ac:dyDescent="0.2">
      <c r="A86" s="242"/>
      <c r="B86" s="268" t="s">
        <v>215</v>
      </c>
      <c r="C86" s="278">
        <f>+7+20+100</f>
        <v>127</v>
      </c>
      <c r="D86" s="265">
        <f>+1.55+18.29+100</f>
        <v>119.84</v>
      </c>
      <c r="E86" s="262">
        <f t="shared" si="31"/>
        <v>94.362204724409452</v>
      </c>
      <c r="F86" s="265">
        <f>+7+20+100</f>
        <v>127</v>
      </c>
      <c r="G86" s="265">
        <f>+3.02+13.45+100</f>
        <v>116.47</v>
      </c>
      <c r="H86" s="262">
        <f t="shared" si="32"/>
        <v>91.70866141732283</v>
      </c>
      <c r="I86" s="265">
        <f>+7+20+100</f>
        <v>127</v>
      </c>
      <c r="J86" s="265">
        <f>+7.45+18.75+100</f>
        <v>126.2</v>
      </c>
      <c r="K86" s="262">
        <f t="shared" si="33"/>
        <v>99.370078740157481</v>
      </c>
      <c r="L86" s="435">
        <f t="shared" si="34"/>
        <v>95.146981627296597</v>
      </c>
    </row>
    <row r="87" spans="1:12" ht="15.6" customHeight="1" x14ac:dyDescent="0.2">
      <c r="A87" s="292"/>
      <c r="B87" s="255" t="s">
        <v>216</v>
      </c>
      <c r="C87" s="256">
        <f>+100+100+110+100+1.5</f>
        <v>411.5</v>
      </c>
      <c r="D87" s="264">
        <f>+100+100+109.4+100+1.51</f>
        <v>410.90999999999997</v>
      </c>
      <c r="E87" s="258">
        <f t="shared" si="31"/>
        <v>99.856622114216279</v>
      </c>
      <c r="F87" s="264">
        <f>+100+100+110+100+1.5</f>
        <v>411.5</v>
      </c>
      <c r="G87" s="264">
        <f>+100+100+95.53+100+1.51</f>
        <v>397.03999999999996</v>
      </c>
      <c r="H87" s="258">
        <f t="shared" si="32"/>
        <v>96.486026731470233</v>
      </c>
      <c r="I87" s="264">
        <f>+100+100+110+100+1.5</f>
        <v>411.5</v>
      </c>
      <c r="J87" s="264">
        <f>+100+100+98.61+100+1.45</f>
        <v>400.06</v>
      </c>
      <c r="K87" s="258">
        <f t="shared" si="33"/>
        <v>97.219927095990286</v>
      </c>
      <c r="L87" s="435">
        <f t="shared" si="34"/>
        <v>97.854191980558937</v>
      </c>
    </row>
    <row r="88" spans="1:12" s="293" customFormat="1" ht="15.6" customHeight="1" x14ac:dyDescent="0.2">
      <c r="A88" s="292"/>
      <c r="B88" s="268" t="s">
        <v>217</v>
      </c>
      <c r="C88" s="278">
        <f>+92+92+78</f>
        <v>262</v>
      </c>
      <c r="D88" s="265">
        <f>+108.33+100+100</f>
        <v>308.33</v>
      </c>
      <c r="E88" s="262">
        <f t="shared" si="31"/>
        <v>117.68320610687023</v>
      </c>
      <c r="F88" s="265">
        <f>+92+90+0</f>
        <v>182</v>
      </c>
      <c r="G88" s="265">
        <f>+100+100+0</f>
        <v>200</v>
      </c>
      <c r="H88" s="262">
        <f t="shared" si="32"/>
        <v>109.89010989010988</v>
      </c>
      <c r="I88" s="265">
        <f>+92+92+80</f>
        <v>264</v>
      </c>
      <c r="J88" s="265">
        <f>+92+91.66+150</f>
        <v>333.65999999999997</v>
      </c>
      <c r="K88" s="262">
        <f t="shared" si="33"/>
        <v>126.38636363636364</v>
      </c>
      <c r="L88" s="435">
        <f t="shared" si="34"/>
        <v>117.98655987778125</v>
      </c>
    </row>
    <row r="89" spans="1:12" ht="15.6" customHeight="1" x14ac:dyDescent="0.2">
      <c r="A89" s="292"/>
      <c r="B89" s="255" t="s">
        <v>218</v>
      </c>
      <c r="C89" s="256">
        <f>+0+90+90</f>
        <v>180</v>
      </c>
      <c r="D89" s="264">
        <f>+0+37.4+27.78</f>
        <v>65.180000000000007</v>
      </c>
      <c r="E89" s="258">
        <f t="shared" si="31"/>
        <v>36.211111111111116</v>
      </c>
      <c r="F89" s="264">
        <f>+0+90+90+90</f>
        <v>270</v>
      </c>
      <c r="G89" s="264">
        <f>+0+100+100+30</f>
        <v>230</v>
      </c>
      <c r="H89" s="258">
        <f t="shared" si="32"/>
        <v>85.18518518518519</v>
      </c>
      <c r="I89" s="264">
        <f>+0+90+90+90</f>
        <v>270</v>
      </c>
      <c r="J89" s="264">
        <f>+0+100+100+13.33</f>
        <v>213.33</v>
      </c>
      <c r="K89" s="258">
        <f t="shared" si="33"/>
        <v>79.011111111111106</v>
      </c>
      <c r="L89" s="435">
        <f t="shared" si="34"/>
        <v>66.802469135802468</v>
      </c>
    </row>
    <row r="90" spans="1:12" ht="15.6" customHeight="1" x14ac:dyDescent="0.2">
      <c r="A90" s="242"/>
      <c r="B90" s="294"/>
      <c r="C90" s="295"/>
      <c r="D90" s="296"/>
      <c r="E90" s="296"/>
      <c r="F90" s="296"/>
      <c r="G90" s="296"/>
      <c r="H90" s="296"/>
      <c r="I90" s="296"/>
      <c r="J90" s="296"/>
      <c r="K90" s="296"/>
      <c r="L90" s="433"/>
    </row>
    <row r="91" spans="1:12" ht="19.899999999999999" customHeight="1" x14ac:dyDescent="0.2">
      <c r="A91" s="242"/>
      <c r="B91" s="284" t="s">
        <v>219</v>
      </c>
      <c r="C91" s="285"/>
      <c r="D91" s="291"/>
      <c r="E91" s="291"/>
      <c r="F91" s="291"/>
      <c r="G91" s="291"/>
      <c r="H91" s="291"/>
      <c r="I91" s="291"/>
      <c r="J91" s="291"/>
      <c r="K91" s="291"/>
      <c r="L91" s="434"/>
    </row>
    <row r="92" spans="1:12" ht="15.6" customHeight="1" x14ac:dyDescent="0.2">
      <c r="A92" s="242"/>
      <c r="B92" s="273"/>
      <c r="C92" s="274"/>
      <c r="D92" s="281"/>
      <c r="E92" s="281"/>
      <c r="F92" s="281"/>
      <c r="G92" s="281"/>
      <c r="H92" s="281"/>
      <c r="I92" s="281"/>
      <c r="J92" s="281"/>
      <c r="K92" s="281"/>
      <c r="L92" s="433"/>
    </row>
    <row r="93" spans="1:12" ht="15.6" customHeight="1" x14ac:dyDescent="0.2">
      <c r="A93" s="242"/>
      <c r="B93" s="268" t="s">
        <v>220</v>
      </c>
      <c r="C93" s="278">
        <f>+96+90+96</f>
        <v>282</v>
      </c>
      <c r="D93" s="265">
        <f>+100+94.5+100</f>
        <v>294.5</v>
      </c>
      <c r="E93" s="262">
        <f t="shared" ref="E93:E95" si="35">+D93*100/C93</f>
        <v>104.43262411347517</v>
      </c>
      <c r="F93" s="265">
        <f>+96+90+96</f>
        <v>282</v>
      </c>
      <c r="G93" s="265">
        <f>+100+91.3+99.6</f>
        <v>290.89999999999998</v>
      </c>
      <c r="H93" s="262">
        <f t="shared" ref="H93:H95" si="36">+G93*100/F93</f>
        <v>103.15602836879431</v>
      </c>
      <c r="I93" s="265">
        <f>+96+90+96</f>
        <v>282</v>
      </c>
      <c r="J93" s="265">
        <f>+100+93+100</f>
        <v>293</v>
      </c>
      <c r="K93" s="262">
        <f t="shared" ref="K93:K95" si="37">+J93*100/I93</f>
        <v>103.90070921985816</v>
      </c>
      <c r="L93" s="435">
        <f t="shared" ref="L93:L95" si="38">+(E93+H93+K93)/3</f>
        <v>103.82978723404256</v>
      </c>
    </row>
    <row r="94" spans="1:12" ht="15.6" customHeight="1" x14ac:dyDescent="0.2">
      <c r="A94" s="242"/>
      <c r="B94" s="255" t="s">
        <v>221</v>
      </c>
      <c r="C94" s="256">
        <f>+45+70+90+60+100+80+100+80+80</f>
        <v>705</v>
      </c>
      <c r="D94" s="264">
        <f>+60+74+100+62+100+90+100+79+74</f>
        <v>739</v>
      </c>
      <c r="E94" s="258">
        <f t="shared" si="35"/>
        <v>104.822695035461</v>
      </c>
      <c r="F94" s="264">
        <f>+50+80+90+80+100+80+100+90+80</f>
        <v>750</v>
      </c>
      <c r="G94" s="264">
        <f>+47+75+100+87+100+100+100+91+93</f>
        <v>793</v>
      </c>
      <c r="H94" s="258">
        <f t="shared" si="36"/>
        <v>105.73333333333333</v>
      </c>
      <c r="I94" s="264">
        <f>+55+90+90+100+100+80+100+100+80</f>
        <v>795</v>
      </c>
      <c r="J94" s="264">
        <f>+57+88+100+100+100+85+100+100+98</f>
        <v>828</v>
      </c>
      <c r="K94" s="258">
        <f t="shared" si="37"/>
        <v>104.15094339622641</v>
      </c>
      <c r="L94" s="435">
        <f t="shared" si="38"/>
        <v>104.90232392167358</v>
      </c>
    </row>
    <row r="95" spans="1:12" s="293" customFormat="1" ht="15.6" customHeight="1" x14ac:dyDescent="0.2">
      <c r="A95" s="242"/>
      <c r="B95" s="268" t="s">
        <v>222</v>
      </c>
      <c r="C95" s="278">
        <f>+100+76</f>
        <v>176</v>
      </c>
      <c r="D95" s="265">
        <f>+100+72.63</f>
        <v>172.63</v>
      </c>
      <c r="E95" s="262">
        <f t="shared" si="35"/>
        <v>98.085227272727266</v>
      </c>
      <c r="F95" s="265">
        <f>+100+78</f>
        <v>178</v>
      </c>
      <c r="G95" s="265">
        <f>+99+77.78</f>
        <v>176.78</v>
      </c>
      <c r="H95" s="262">
        <f t="shared" si="36"/>
        <v>99.31460674157303</v>
      </c>
      <c r="I95" s="265">
        <f>+100+80</f>
        <v>180</v>
      </c>
      <c r="J95" s="265">
        <f>+98.67+79.17</f>
        <v>177.84</v>
      </c>
      <c r="K95" s="262">
        <f t="shared" si="37"/>
        <v>98.8</v>
      </c>
      <c r="L95" s="435">
        <f t="shared" si="38"/>
        <v>98.73327800476676</v>
      </c>
    </row>
    <row r="96" spans="1:12" ht="15.6" customHeight="1" x14ac:dyDescent="0.2">
      <c r="A96" s="242"/>
      <c r="B96" s="242"/>
      <c r="C96" s="283"/>
      <c r="D96" s="283"/>
      <c r="E96" s="242"/>
      <c r="F96" s="242"/>
      <c r="G96" s="242"/>
      <c r="H96" s="242"/>
      <c r="I96" s="242"/>
      <c r="J96" s="242"/>
      <c r="K96" s="242"/>
      <c r="L96" s="433"/>
    </row>
    <row r="97" spans="1:13" ht="19.899999999999999" customHeight="1" x14ac:dyDescent="0.2">
      <c r="A97" s="242"/>
      <c r="B97" s="284" t="s">
        <v>223</v>
      </c>
      <c r="C97" s="285"/>
      <c r="D97" s="291"/>
      <c r="E97" s="291"/>
      <c r="F97" s="291"/>
      <c r="G97" s="291"/>
      <c r="H97" s="291"/>
      <c r="I97" s="291"/>
      <c r="J97" s="291"/>
      <c r="K97" s="291"/>
      <c r="L97" s="434"/>
    </row>
    <row r="98" spans="1:13" ht="15.6" customHeight="1" x14ac:dyDescent="0.2">
      <c r="A98" s="242"/>
      <c r="B98" s="287"/>
      <c r="C98" s="288"/>
      <c r="D98" s="281"/>
      <c r="E98" s="281"/>
      <c r="F98" s="281"/>
      <c r="G98" s="281"/>
      <c r="H98" s="281"/>
      <c r="I98" s="281"/>
      <c r="J98" s="281"/>
      <c r="K98" s="281"/>
      <c r="L98" s="433"/>
    </row>
    <row r="99" spans="1:13" ht="15.6" customHeight="1" x14ac:dyDescent="0.2">
      <c r="A99" s="242"/>
      <c r="B99" s="255" t="s">
        <v>224</v>
      </c>
      <c r="C99" s="256">
        <f>+90+80+80+100</f>
        <v>350</v>
      </c>
      <c r="D99" s="264">
        <f>+92+94.91+83+100</f>
        <v>369.90999999999997</v>
      </c>
      <c r="E99" s="258">
        <f t="shared" ref="E99:E101" si="39">+D99*100/C99</f>
        <v>105.68857142857142</v>
      </c>
      <c r="F99" s="264">
        <f>+90+80+80+0+100</f>
        <v>350</v>
      </c>
      <c r="G99" s="264">
        <f>+92+83+83+0+100</f>
        <v>358</v>
      </c>
      <c r="H99" s="258">
        <f t="shared" ref="H99:H101" si="40">+G99*100/F99</f>
        <v>102.28571428571429</v>
      </c>
      <c r="I99" s="264">
        <f>+90+80+80+0+100</f>
        <v>350</v>
      </c>
      <c r="J99" s="264">
        <f>+90.47+83.33+83.33+0+100</f>
        <v>357.13</v>
      </c>
      <c r="K99" s="258">
        <f t="shared" ref="K99:K101" si="41">+J99*100/I99</f>
        <v>102.03714285714285</v>
      </c>
      <c r="L99" s="435">
        <f t="shared" ref="L99:L101" si="42">+(E99+H99+K99)/3</f>
        <v>103.33714285714285</v>
      </c>
    </row>
    <row r="100" spans="1:13" s="293" customFormat="1" ht="15.6" customHeight="1" x14ac:dyDescent="0.2">
      <c r="A100" s="242"/>
      <c r="B100" s="268" t="s">
        <v>225</v>
      </c>
      <c r="C100" s="278">
        <f>+100+100+100</f>
        <v>300</v>
      </c>
      <c r="D100" s="278">
        <f>+100+100+100</f>
        <v>300</v>
      </c>
      <c r="E100" s="262">
        <f t="shared" si="39"/>
        <v>100</v>
      </c>
      <c r="F100" s="265">
        <f>+100+0+100+0+100</f>
        <v>300</v>
      </c>
      <c r="G100" s="265">
        <f>+100+0+100+0+100</f>
        <v>300</v>
      </c>
      <c r="H100" s="262">
        <f t="shared" si="40"/>
        <v>100</v>
      </c>
      <c r="I100" s="265">
        <f>+100+0+100+0+100</f>
        <v>300</v>
      </c>
      <c r="J100" s="265">
        <f>+100+0+100+0+100</f>
        <v>300</v>
      </c>
      <c r="K100" s="262">
        <f t="shared" si="41"/>
        <v>100</v>
      </c>
      <c r="L100" s="435">
        <f t="shared" si="42"/>
        <v>100</v>
      </c>
    </row>
    <row r="101" spans="1:13" ht="15.6" customHeight="1" x14ac:dyDescent="0.2">
      <c r="A101" s="242"/>
      <c r="B101" s="255" t="s">
        <v>226</v>
      </c>
      <c r="C101" s="256">
        <v>100</v>
      </c>
      <c r="D101" s="264">
        <v>100</v>
      </c>
      <c r="E101" s="258">
        <f t="shared" si="39"/>
        <v>100</v>
      </c>
      <c r="F101" s="264">
        <v>80</v>
      </c>
      <c r="G101" s="264">
        <v>83.33</v>
      </c>
      <c r="H101" s="258">
        <f t="shared" si="40"/>
        <v>104.16249999999999</v>
      </c>
      <c r="I101" s="264">
        <v>90</v>
      </c>
      <c r="J101" s="264">
        <f>+39+64</f>
        <v>103</v>
      </c>
      <c r="K101" s="258">
        <f t="shared" si="41"/>
        <v>114.44444444444444</v>
      </c>
      <c r="L101" s="435">
        <f t="shared" si="42"/>
        <v>106.20231481481481</v>
      </c>
    </row>
    <row r="102" spans="1:13" ht="15.6" customHeight="1" x14ac:dyDescent="0.2">
      <c r="A102" s="242"/>
      <c r="B102" s="273"/>
      <c r="C102" s="274"/>
      <c r="D102" s="281"/>
      <c r="E102" s="281"/>
      <c r="F102" s="281"/>
      <c r="G102" s="281"/>
      <c r="H102" s="281"/>
      <c r="I102" s="281"/>
      <c r="J102" s="281"/>
      <c r="K102" s="281"/>
      <c r="L102" s="433"/>
    </row>
    <row r="103" spans="1:13" ht="30" x14ac:dyDescent="0.2">
      <c r="A103" s="242"/>
      <c r="B103" s="284" t="s">
        <v>227</v>
      </c>
      <c r="C103" s="285"/>
      <c r="D103" s="291"/>
      <c r="E103" s="291"/>
      <c r="F103" s="291"/>
      <c r="G103" s="291"/>
      <c r="H103" s="291"/>
      <c r="I103" s="291"/>
      <c r="J103" s="291"/>
      <c r="K103" s="291"/>
      <c r="L103" s="434"/>
    </row>
    <row r="104" spans="1:13" ht="15.6" customHeight="1" x14ac:dyDescent="0.2">
      <c r="A104" s="242"/>
      <c r="B104" s="279"/>
      <c r="C104" s="280"/>
      <c r="D104" s="281"/>
      <c r="E104" s="281"/>
      <c r="F104" s="281"/>
      <c r="G104" s="281"/>
      <c r="H104" s="281"/>
      <c r="I104" s="281"/>
      <c r="J104" s="281"/>
      <c r="K104" s="281"/>
      <c r="L104" s="433"/>
    </row>
    <row r="105" spans="1:13" s="293" customFormat="1" ht="15.6" customHeight="1" x14ac:dyDescent="0.2">
      <c r="A105" s="242"/>
      <c r="B105" s="268" t="s">
        <v>207</v>
      </c>
      <c r="C105" s="278">
        <f>+100+50+25+33</f>
        <v>208</v>
      </c>
      <c r="D105" s="265">
        <f>+100+50+25+33</f>
        <v>208</v>
      </c>
      <c r="E105" s="262">
        <f t="shared" ref="E105:E107" si="43">+D105*100/C105</f>
        <v>100</v>
      </c>
      <c r="F105" s="265">
        <f>+25+33+50</f>
        <v>108</v>
      </c>
      <c r="G105" s="265">
        <f>+25+33+50</f>
        <v>108</v>
      </c>
      <c r="H105" s="262">
        <f t="shared" ref="H105:H107" si="44">+G105*100/F105</f>
        <v>100</v>
      </c>
      <c r="I105" s="265">
        <f>+25+25+33+50</f>
        <v>133</v>
      </c>
      <c r="J105" s="265">
        <f>+33+25+25+50</f>
        <v>133</v>
      </c>
      <c r="K105" s="262">
        <f t="shared" ref="K105:K107" si="45">+J105*100/I105</f>
        <v>100</v>
      </c>
      <c r="L105" s="435">
        <f t="shared" ref="L105:L107" si="46">+(E105+H105+K105)/3</f>
        <v>100</v>
      </c>
    </row>
    <row r="106" spans="1:13" ht="15.6" customHeight="1" x14ac:dyDescent="0.2">
      <c r="A106" s="242"/>
      <c r="B106" s="255" t="s">
        <v>228</v>
      </c>
      <c r="C106" s="256">
        <f>+80+100+100+100+100+100+100+100+25+100</f>
        <v>905</v>
      </c>
      <c r="D106" s="256">
        <f>+80+100+100+100+100+100+100+100+25+100</f>
        <v>905</v>
      </c>
      <c r="E106" s="258">
        <f t="shared" si="43"/>
        <v>100</v>
      </c>
      <c r="F106" s="264">
        <f>+80+100+100+100+100+100+50+100</f>
        <v>730</v>
      </c>
      <c r="G106" s="264">
        <f>+80+100+100+100+100+100+50+100</f>
        <v>730</v>
      </c>
      <c r="H106" s="258">
        <f t="shared" si="44"/>
        <v>100</v>
      </c>
      <c r="I106" s="264">
        <f>+80+100+100+100+100+25+100</f>
        <v>605</v>
      </c>
      <c r="J106" s="264">
        <f>+80+100+100+100+100+25+100</f>
        <v>605</v>
      </c>
      <c r="K106" s="258">
        <f t="shared" si="45"/>
        <v>100</v>
      </c>
      <c r="L106" s="435">
        <f t="shared" si="46"/>
        <v>100</v>
      </c>
    </row>
    <row r="107" spans="1:13" ht="15.6" customHeight="1" x14ac:dyDescent="0.2">
      <c r="A107" s="242"/>
      <c r="B107" s="268" t="s">
        <v>229</v>
      </c>
      <c r="C107" s="278">
        <f>+70+40+40+100+40</f>
        <v>290</v>
      </c>
      <c r="D107" s="265">
        <f>+70.27+39.66+41.42+100+41.01</f>
        <v>292.36</v>
      </c>
      <c r="E107" s="262">
        <f t="shared" si="43"/>
        <v>100.81379310344828</v>
      </c>
      <c r="F107" s="265">
        <f>+70+40+40+100+40</f>
        <v>290</v>
      </c>
      <c r="G107" s="265">
        <f>+70.27+40.5+40.95+100+40.48</f>
        <v>292.2</v>
      </c>
      <c r="H107" s="262">
        <f t="shared" si="44"/>
        <v>100.75862068965517</v>
      </c>
      <c r="I107" s="265">
        <f>+70+40+40+100+40</f>
        <v>290</v>
      </c>
      <c r="J107" s="265">
        <f>+70.27+40.76+41.5+100+40.88</f>
        <v>293.41000000000003</v>
      </c>
      <c r="K107" s="262">
        <f t="shared" si="45"/>
        <v>101.17586206896553</v>
      </c>
      <c r="L107" s="435">
        <f t="shared" si="46"/>
        <v>100.916091954023</v>
      </c>
    </row>
    <row r="108" spans="1:13" ht="15.6" customHeight="1" x14ac:dyDescent="0.2">
      <c r="A108" s="242"/>
      <c r="B108" s="279"/>
      <c r="C108" s="280"/>
      <c r="D108" s="281"/>
      <c r="E108" s="281"/>
      <c r="F108" s="281"/>
      <c r="G108" s="281"/>
      <c r="H108" s="281"/>
      <c r="I108" s="281"/>
      <c r="J108" s="281"/>
      <c r="K108" s="281"/>
      <c r="L108" s="433"/>
    </row>
    <row r="109" spans="1:13" ht="19.899999999999999" customHeight="1" x14ac:dyDescent="0.2">
      <c r="A109" s="242"/>
      <c r="B109" s="284" t="s">
        <v>230</v>
      </c>
      <c r="C109" s="285"/>
      <c r="D109" s="291"/>
      <c r="E109" s="291"/>
      <c r="F109" s="291"/>
      <c r="G109" s="291"/>
      <c r="H109" s="291"/>
      <c r="I109" s="291"/>
      <c r="J109" s="291"/>
      <c r="K109" s="291"/>
      <c r="L109" s="434"/>
    </row>
    <row r="110" spans="1:13" ht="15.6" customHeight="1" x14ac:dyDescent="0.2">
      <c r="A110" s="242"/>
      <c r="B110" s="297"/>
      <c r="C110" s="298"/>
      <c r="D110" s="281"/>
      <c r="E110" s="281"/>
      <c r="F110" s="281"/>
      <c r="G110" s="281"/>
      <c r="H110" s="281"/>
      <c r="I110" s="281"/>
      <c r="J110" s="281"/>
      <c r="K110" s="281"/>
      <c r="L110" s="433"/>
    </row>
    <row r="111" spans="1:13" ht="15.6" customHeight="1" x14ac:dyDescent="0.2">
      <c r="A111" s="242"/>
      <c r="B111" s="255" t="s">
        <v>231</v>
      </c>
      <c r="C111" s="256">
        <f>+8+3+8+3+16</f>
        <v>38</v>
      </c>
      <c r="D111" s="264">
        <f>+7.86+0.39+3.18+0+16.78</f>
        <v>28.21</v>
      </c>
      <c r="E111" s="258">
        <f>+D111*100/C111</f>
        <v>74.236842105263165</v>
      </c>
      <c r="F111" s="264">
        <f>+9+3+8+3+18</f>
        <v>41</v>
      </c>
      <c r="G111" s="264">
        <f>+3.64+0.69+6.53+0+14.06</f>
        <v>24.92</v>
      </c>
      <c r="H111" s="258">
        <f>+G111*100/F111</f>
        <v>60.780487804878049</v>
      </c>
      <c r="I111" s="264">
        <f>+9+3+8+3+18</f>
        <v>41</v>
      </c>
      <c r="J111" s="264">
        <f>+7.21+0.55+1.55+0+18.37</f>
        <v>27.68</v>
      </c>
      <c r="K111" s="258">
        <f>+J111*100/I111</f>
        <v>67.512195121951223</v>
      </c>
      <c r="L111" s="435">
        <f>+(E111+H111+K111)/3</f>
        <v>67.509841677364136</v>
      </c>
    </row>
    <row r="112" spans="1:13" ht="15.6" customHeight="1" x14ac:dyDescent="0.2">
      <c r="A112" s="242"/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436"/>
      <c r="M112" s="242"/>
    </row>
    <row r="113" spans="1:12" s="293" customFormat="1" ht="15.6" customHeight="1" x14ac:dyDescent="0.2">
      <c r="A113" s="242"/>
      <c r="B113" s="268" t="s">
        <v>232</v>
      </c>
      <c r="C113" s="265" t="s">
        <v>181</v>
      </c>
      <c r="D113" s="265" t="s">
        <v>181</v>
      </c>
      <c r="E113" s="262" t="s">
        <v>181</v>
      </c>
      <c r="F113" s="265" t="s">
        <v>181</v>
      </c>
      <c r="G113" s="265" t="s">
        <v>181</v>
      </c>
      <c r="H113" s="262" t="s">
        <v>181</v>
      </c>
      <c r="I113" s="265" t="s">
        <v>181</v>
      </c>
      <c r="J113" s="265" t="s">
        <v>181</v>
      </c>
      <c r="K113" s="262" t="s">
        <v>181</v>
      </c>
      <c r="L113" s="437" t="s">
        <v>181</v>
      </c>
    </row>
    <row r="114" spans="1:12" ht="15.6" customHeight="1" x14ac:dyDescent="0.2">
      <c r="A114" s="242"/>
      <c r="B114" s="297"/>
      <c r="C114" s="298"/>
      <c r="D114" s="281"/>
      <c r="E114" s="281"/>
      <c r="F114" s="281"/>
      <c r="G114" s="281"/>
      <c r="H114" s="281"/>
      <c r="I114" s="281"/>
      <c r="J114" s="281"/>
      <c r="K114" s="281"/>
      <c r="L114" s="433"/>
    </row>
    <row r="115" spans="1:12" ht="15.6" customHeight="1" x14ac:dyDescent="0.2">
      <c r="A115" s="242"/>
      <c r="B115" s="255" t="s">
        <v>233</v>
      </c>
      <c r="C115" s="256">
        <f>+80+75+85+50+30+80+100</f>
        <v>500</v>
      </c>
      <c r="D115" s="264">
        <f>+80+71.42+85.71+50+28.8+83.87+100</f>
        <v>499.8</v>
      </c>
      <c r="E115" s="258">
        <f>+D115*100/C115</f>
        <v>99.96</v>
      </c>
      <c r="F115" s="299">
        <f>+80+75+85+50+30+80+100</f>
        <v>500</v>
      </c>
      <c r="G115" s="264">
        <f>+81.25+75+85.71+50+28.8+83.87+100</f>
        <v>504.63</v>
      </c>
      <c r="H115" s="258">
        <f>+G115*100/F115</f>
        <v>100.926</v>
      </c>
      <c r="I115" s="299">
        <f>+80+75+85+50+30+80+100</f>
        <v>500</v>
      </c>
      <c r="J115" s="264">
        <f>+85.75+71.42+85.71+50+28.8+83.87+0</f>
        <v>405.55</v>
      </c>
      <c r="K115" s="258">
        <f>+J115*100/I115</f>
        <v>81.11</v>
      </c>
      <c r="L115" s="435">
        <f>+(E115+H115+K115)/3</f>
        <v>93.998666666666665</v>
      </c>
    </row>
    <row r="116" spans="1:12" ht="15.6" customHeight="1" x14ac:dyDescent="0.2">
      <c r="A116" s="242"/>
      <c r="B116" s="297"/>
      <c r="C116" s="298"/>
      <c r="D116" s="281"/>
      <c r="E116" s="281"/>
      <c r="F116" s="281"/>
      <c r="G116" s="281"/>
      <c r="H116" s="281"/>
      <c r="I116" s="281"/>
      <c r="J116" s="281"/>
      <c r="K116" s="281"/>
      <c r="L116" s="433"/>
    </row>
    <row r="117" spans="1:12" ht="15.6" customHeight="1" x14ac:dyDescent="0.2">
      <c r="A117" s="242"/>
      <c r="B117" s="268" t="s">
        <v>234</v>
      </c>
      <c r="C117" s="278">
        <f>+100+100+100+100+100+100+100</f>
        <v>700</v>
      </c>
      <c r="D117" s="278">
        <f>+100+100+100+100+100+100+100</f>
        <v>700</v>
      </c>
      <c r="E117" s="262">
        <f>+D117*100/C117</f>
        <v>100</v>
      </c>
      <c r="F117" s="278">
        <f>+100+100+100+100+100+100+100</f>
        <v>700</v>
      </c>
      <c r="G117" s="278">
        <f>+100+100+100+100+100+100+0</f>
        <v>600</v>
      </c>
      <c r="H117" s="262">
        <f>+G117*100/F117</f>
        <v>85.714285714285708</v>
      </c>
      <c r="I117" s="300">
        <f>+100+100+100+100+100+100+100</f>
        <v>700</v>
      </c>
      <c r="J117" s="300">
        <f>+0+100+0+0+0+0+0</f>
        <v>100</v>
      </c>
      <c r="K117" s="262">
        <f>+J117*100/I117</f>
        <v>14.285714285714286</v>
      </c>
      <c r="L117" s="435">
        <f>+(E117+H117+K117)/3</f>
        <v>66.666666666666671</v>
      </c>
    </row>
    <row r="118" spans="1:12" ht="15.6" customHeight="1" x14ac:dyDescent="0.2">
      <c r="A118" s="242"/>
      <c r="B118" s="287"/>
      <c r="C118" s="288"/>
      <c r="D118" s="288"/>
      <c r="E118" s="244"/>
      <c r="F118" s="244"/>
      <c r="G118" s="244"/>
      <c r="H118" s="244"/>
      <c r="I118" s="244"/>
      <c r="J118" s="244"/>
      <c r="K118" s="244"/>
      <c r="L118" s="433"/>
    </row>
    <row r="119" spans="1:12" ht="19.899999999999999" customHeight="1" x14ac:dyDescent="0.2">
      <c r="A119" s="301"/>
      <c r="B119" s="284" t="s">
        <v>250</v>
      </c>
      <c r="C119" s="285"/>
      <c r="D119" s="291"/>
      <c r="E119" s="291"/>
      <c r="F119" s="291"/>
      <c r="G119" s="291"/>
      <c r="H119" s="291"/>
      <c r="I119" s="291"/>
      <c r="J119" s="291"/>
      <c r="K119" s="291"/>
      <c r="L119" s="434"/>
    </row>
    <row r="120" spans="1:12" ht="15.6" customHeight="1" x14ac:dyDescent="0.2">
      <c r="A120" s="242"/>
      <c r="B120" s="287"/>
      <c r="C120" s="288"/>
      <c r="D120" s="288"/>
      <c r="E120" s="244"/>
      <c r="F120" s="244"/>
      <c r="G120" s="244"/>
      <c r="H120" s="244"/>
      <c r="I120" s="244"/>
      <c r="J120" s="244"/>
      <c r="K120" s="244"/>
      <c r="L120" s="433"/>
    </row>
    <row r="121" spans="1:12" s="293" customFormat="1" ht="15.6" customHeight="1" x14ac:dyDescent="0.2">
      <c r="A121" s="242"/>
      <c r="B121" s="255" t="s">
        <v>235</v>
      </c>
      <c r="C121" s="256">
        <f>+90+100+100+100</f>
        <v>390</v>
      </c>
      <c r="D121" s="256">
        <f>+90+100+100+100</f>
        <v>390</v>
      </c>
      <c r="E121" s="258">
        <f>+D121*100/C121</f>
        <v>100</v>
      </c>
      <c r="F121" s="299">
        <f>+90+100+100+100</f>
        <v>390</v>
      </c>
      <c r="G121" s="264">
        <f>+83.33+100+100+100</f>
        <v>383.33</v>
      </c>
      <c r="H121" s="258">
        <f>+G121*100/F121</f>
        <v>98.289743589743594</v>
      </c>
      <c r="I121" s="264">
        <f>+90+100+100+100</f>
        <v>390</v>
      </c>
      <c r="J121" s="264">
        <f>+83.33+100+100+100</f>
        <v>383.33</v>
      </c>
      <c r="K121" s="258">
        <f>+J121*100/I121</f>
        <v>98.289743589743594</v>
      </c>
      <c r="L121" s="435">
        <f>+(E121+H121+K121)/3</f>
        <v>98.859829059829053</v>
      </c>
    </row>
    <row r="130" spans="3:9" ht="27" x14ac:dyDescent="0.2">
      <c r="C130" s="239"/>
      <c r="D130" s="438" t="s">
        <v>251</v>
      </c>
      <c r="E130" s="438" t="s">
        <v>252</v>
      </c>
      <c r="F130" s="438" t="s">
        <v>253</v>
      </c>
      <c r="G130" s="438" t="s">
        <v>254</v>
      </c>
      <c r="H130" s="439" t="s">
        <v>255</v>
      </c>
      <c r="I130" s="239"/>
    </row>
    <row r="131" spans="3:9" ht="27" x14ac:dyDescent="0.2">
      <c r="C131" s="239"/>
      <c r="D131" s="440" t="s">
        <v>256</v>
      </c>
      <c r="E131" s="440" t="s">
        <v>257</v>
      </c>
      <c r="F131" s="440" t="s">
        <v>258</v>
      </c>
      <c r="G131" s="440" t="s">
        <v>259</v>
      </c>
      <c r="H131" s="441">
        <v>42955</v>
      </c>
      <c r="I131" s="239"/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36875000000000002" right="0.3840277777777778" top="0.25624999999999998" bottom="0.69027777777777777" header="0.51180555555555551" footer="0.51180555555555551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</vt:i4>
      </vt:variant>
    </vt:vector>
  </HeadingPairs>
  <TitlesOfParts>
    <vt:vector size="12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'10610'!Área_de_impresión</vt:lpstr>
      <vt:lpstr>'50603'!Área_de_impresión</vt:lpstr>
      <vt:lpstr>'50604'!Área_de_impresión</vt:lpstr>
      <vt:lpstr>'50604'!Excel_BuiltIn_Print_Area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2017-08-14T16:53:00Z</cp:lastPrinted>
  <dcterms:created xsi:type="dcterms:W3CDTF">2005-11-28T14:59:09Z</dcterms:created>
  <dcterms:modified xsi:type="dcterms:W3CDTF">2017-08-14T17:53:59Z</dcterms:modified>
</cp:coreProperties>
</file>