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 activeTab="1"/>
  </bookViews>
  <sheets>
    <sheet name="10601" sheetId="6" r:id="rId1"/>
    <sheet name="10602" sheetId="28" r:id="rId2"/>
    <sheet name="10610" sheetId="31" r:id="rId3"/>
    <sheet name="50603" sheetId="30" r:id="rId4"/>
    <sheet name="50604" sheetId="29" r:id="rId5"/>
  </sheets>
  <definedNames>
    <definedName name="_xlnm.Print_Area" localSheetId="0">'10601'!$A$1:$N$46</definedName>
    <definedName name="_xlnm.Print_Area" localSheetId="1">'10602'!$A$1:$H$16</definedName>
    <definedName name="_xlnm.Print_Area" localSheetId="4">'50604'!$B$1:$L$129</definedName>
    <definedName name="_xlnm.Print_Titles" localSheetId="4">'50604'!$1:$14</definedName>
  </definedNames>
  <calcPr calcId="145621"/>
</workbook>
</file>

<file path=xl/calcChain.xml><?xml version="1.0" encoding="utf-8"?>
<calcChain xmlns="http://schemas.openxmlformats.org/spreadsheetml/2006/main">
  <c r="N30" i="31" l="1"/>
  <c r="N24" i="31"/>
  <c r="N23" i="31"/>
  <c r="K23" i="31"/>
  <c r="J129" i="29" l="1"/>
  <c r="K129" i="29" s="1"/>
  <c r="I129" i="29"/>
  <c r="G129" i="29"/>
  <c r="F129" i="29"/>
  <c r="H129" i="29" s="1"/>
  <c r="D129" i="29"/>
  <c r="E129" i="29" s="1"/>
  <c r="L129" i="29" s="1"/>
  <c r="C129" i="29"/>
  <c r="J127" i="29"/>
  <c r="K127" i="29" s="1"/>
  <c r="I127" i="29"/>
  <c r="G127" i="29"/>
  <c r="F127" i="29"/>
  <c r="H127" i="29" s="1"/>
  <c r="D127" i="29"/>
  <c r="E127" i="29" s="1"/>
  <c r="L127" i="29" s="1"/>
  <c r="C127" i="29"/>
  <c r="J123" i="29"/>
  <c r="K123" i="29" s="1"/>
  <c r="I123" i="29"/>
  <c r="G123" i="29"/>
  <c r="F123" i="29"/>
  <c r="H123" i="29" s="1"/>
  <c r="D123" i="29"/>
  <c r="E123" i="29" s="1"/>
  <c r="L123" i="29" s="1"/>
  <c r="C123" i="29"/>
  <c r="J121" i="29"/>
  <c r="K121" i="29" s="1"/>
  <c r="I121" i="29"/>
  <c r="G121" i="29"/>
  <c r="F121" i="29"/>
  <c r="H121" i="29" s="1"/>
  <c r="D121" i="29"/>
  <c r="E121" i="29" s="1"/>
  <c r="L121" i="29" s="1"/>
  <c r="C121" i="29"/>
  <c r="J119" i="29"/>
  <c r="K119" i="29" s="1"/>
  <c r="I119" i="29"/>
  <c r="G119" i="29"/>
  <c r="F119" i="29"/>
  <c r="H119" i="29" s="1"/>
  <c r="D119" i="29"/>
  <c r="E119" i="29" s="1"/>
  <c r="L119" i="29" s="1"/>
  <c r="C119" i="29"/>
  <c r="J115" i="29"/>
  <c r="K115" i="29" s="1"/>
  <c r="I115" i="29"/>
  <c r="G115" i="29"/>
  <c r="F115" i="29"/>
  <c r="H115" i="29" s="1"/>
  <c r="D115" i="29"/>
  <c r="E115" i="29" s="1"/>
  <c r="L115" i="29" s="1"/>
  <c r="C115" i="29"/>
  <c r="J111" i="29"/>
  <c r="K111" i="29" s="1"/>
  <c r="I111" i="29"/>
  <c r="G111" i="29"/>
  <c r="F111" i="29"/>
  <c r="H111" i="29" s="1"/>
  <c r="D111" i="29"/>
  <c r="E111" i="29" s="1"/>
  <c r="L111" i="29" s="1"/>
  <c r="C111" i="29"/>
  <c r="J110" i="29"/>
  <c r="K110" i="29" s="1"/>
  <c r="I110" i="29"/>
  <c r="G110" i="29"/>
  <c r="F110" i="29"/>
  <c r="H110" i="29" s="1"/>
  <c r="D110" i="29"/>
  <c r="E110" i="29" s="1"/>
  <c r="L110" i="29" s="1"/>
  <c r="C110" i="29"/>
  <c r="J106" i="29"/>
  <c r="K106" i="29" s="1"/>
  <c r="I106" i="29"/>
  <c r="G106" i="29"/>
  <c r="F106" i="29"/>
  <c r="H106" i="29" s="1"/>
  <c r="D106" i="29"/>
  <c r="E106" i="29" s="1"/>
  <c r="L106" i="29" s="1"/>
  <c r="C106" i="29"/>
  <c r="J105" i="29"/>
  <c r="K105" i="29" s="1"/>
  <c r="I105" i="29"/>
  <c r="G105" i="29"/>
  <c r="F105" i="29"/>
  <c r="H105" i="29" s="1"/>
  <c r="D105" i="29"/>
  <c r="E105" i="29" s="1"/>
  <c r="L105" i="29" s="1"/>
  <c r="C105" i="29"/>
  <c r="J104" i="29"/>
  <c r="K104" i="29" s="1"/>
  <c r="I104" i="29"/>
  <c r="G104" i="29"/>
  <c r="F104" i="29"/>
  <c r="H104" i="29" s="1"/>
  <c r="D104" i="29"/>
  <c r="E104" i="29" s="1"/>
  <c r="L104" i="29" s="1"/>
  <c r="C104" i="29"/>
  <c r="J103" i="29"/>
  <c r="K103" i="29" s="1"/>
  <c r="I103" i="29"/>
  <c r="G103" i="29"/>
  <c r="F103" i="29"/>
  <c r="H103" i="29" s="1"/>
  <c r="D103" i="29"/>
  <c r="E103" i="29" s="1"/>
  <c r="L103" i="29" s="1"/>
  <c r="C103" i="29"/>
  <c r="J99" i="29"/>
  <c r="K99" i="29" s="1"/>
  <c r="I99" i="29"/>
  <c r="G99" i="29"/>
  <c r="F99" i="29"/>
  <c r="H99" i="29" s="1"/>
  <c r="D99" i="29"/>
  <c r="E99" i="29" s="1"/>
  <c r="L99" i="29" s="1"/>
  <c r="C99" i="29"/>
  <c r="J98" i="29"/>
  <c r="K98" i="29" s="1"/>
  <c r="I98" i="29"/>
  <c r="G98" i="29"/>
  <c r="F98" i="29"/>
  <c r="H98" i="29" s="1"/>
  <c r="D98" i="29"/>
  <c r="E98" i="29" s="1"/>
  <c r="L98" i="29" s="1"/>
  <c r="C98" i="29"/>
  <c r="J97" i="29"/>
  <c r="K97" i="29" s="1"/>
  <c r="I97" i="29"/>
  <c r="G97" i="29"/>
  <c r="F97" i="29"/>
  <c r="H97" i="29" s="1"/>
  <c r="D97" i="29"/>
  <c r="E97" i="29" s="1"/>
  <c r="L97" i="29" s="1"/>
  <c r="C97" i="29"/>
  <c r="J93" i="29"/>
  <c r="K93" i="29" s="1"/>
  <c r="I93" i="29"/>
  <c r="G93" i="29"/>
  <c r="F93" i="29"/>
  <c r="H93" i="29" s="1"/>
  <c r="D93" i="29"/>
  <c r="E93" i="29" s="1"/>
  <c r="L93" i="29" s="1"/>
  <c r="C93" i="29"/>
  <c r="J92" i="29"/>
  <c r="K92" i="29" s="1"/>
  <c r="I92" i="29"/>
  <c r="G92" i="29"/>
  <c r="F92" i="29"/>
  <c r="H92" i="29" s="1"/>
  <c r="D92" i="29"/>
  <c r="E92" i="29" s="1"/>
  <c r="L92" i="29" s="1"/>
  <c r="C92" i="29"/>
  <c r="J88" i="29"/>
  <c r="K88" i="29" s="1"/>
  <c r="I88" i="29"/>
  <c r="G88" i="29"/>
  <c r="F88" i="29"/>
  <c r="H88" i="29" s="1"/>
  <c r="D88" i="29"/>
  <c r="E88" i="29" s="1"/>
  <c r="L88" i="29" s="1"/>
  <c r="C88" i="29"/>
  <c r="J87" i="29"/>
  <c r="K87" i="29" s="1"/>
  <c r="I87" i="29"/>
  <c r="G87" i="29"/>
  <c r="F87" i="29"/>
  <c r="H87" i="29" s="1"/>
  <c r="D87" i="29"/>
  <c r="E87" i="29" s="1"/>
  <c r="L87" i="29" s="1"/>
  <c r="C87" i="29"/>
  <c r="J86" i="29"/>
  <c r="K86" i="29" s="1"/>
  <c r="I86" i="29"/>
  <c r="G86" i="29"/>
  <c r="F86" i="29"/>
  <c r="H86" i="29" s="1"/>
  <c r="D86" i="29"/>
  <c r="E86" i="29" s="1"/>
  <c r="L86" i="29" s="1"/>
  <c r="C86" i="29"/>
  <c r="J82" i="29"/>
  <c r="K82" i="29" s="1"/>
  <c r="I82" i="29"/>
  <c r="G82" i="29"/>
  <c r="F82" i="29"/>
  <c r="H82" i="29" s="1"/>
  <c r="D82" i="29"/>
  <c r="E82" i="29" s="1"/>
  <c r="L82" i="29" s="1"/>
  <c r="C82" i="29"/>
  <c r="J81" i="29"/>
  <c r="K81" i="29" s="1"/>
  <c r="I81" i="29"/>
  <c r="G81" i="29"/>
  <c r="F81" i="29"/>
  <c r="H81" i="29" s="1"/>
  <c r="D81" i="29"/>
  <c r="E81" i="29" s="1"/>
  <c r="L81" i="29" s="1"/>
  <c r="C81" i="29"/>
  <c r="J80" i="29"/>
  <c r="K80" i="29" s="1"/>
  <c r="I80" i="29"/>
  <c r="G80" i="29"/>
  <c r="F80" i="29"/>
  <c r="H80" i="29" s="1"/>
  <c r="D80" i="29"/>
  <c r="E80" i="29" s="1"/>
  <c r="L80" i="29" s="1"/>
  <c r="C80" i="29"/>
  <c r="J79" i="29"/>
  <c r="K79" i="29" s="1"/>
  <c r="I79" i="29"/>
  <c r="G79" i="29"/>
  <c r="F79" i="29"/>
  <c r="H79" i="29" s="1"/>
  <c r="D79" i="29"/>
  <c r="E79" i="29" s="1"/>
  <c r="L79" i="29" s="1"/>
  <c r="C79" i="29"/>
  <c r="J78" i="29"/>
  <c r="K78" i="29" s="1"/>
  <c r="I78" i="29"/>
  <c r="G78" i="29"/>
  <c r="F78" i="29"/>
  <c r="H78" i="29" s="1"/>
  <c r="D78" i="29"/>
  <c r="E78" i="29" s="1"/>
  <c r="L78" i="29" s="1"/>
  <c r="C78" i="29"/>
  <c r="J74" i="29"/>
  <c r="K74" i="29" s="1"/>
  <c r="I74" i="29"/>
  <c r="G74" i="29"/>
  <c r="F74" i="29"/>
  <c r="H74" i="29" s="1"/>
  <c r="D74" i="29"/>
  <c r="E74" i="29" s="1"/>
  <c r="L74" i="29" s="1"/>
  <c r="C74" i="29"/>
  <c r="J73" i="29"/>
  <c r="K73" i="29" s="1"/>
  <c r="I73" i="29"/>
  <c r="G73" i="29"/>
  <c r="F73" i="29"/>
  <c r="H73" i="29" s="1"/>
  <c r="D73" i="29"/>
  <c r="E73" i="29" s="1"/>
  <c r="L73" i="29" s="1"/>
  <c r="C73" i="29"/>
  <c r="J69" i="29"/>
  <c r="K69" i="29" s="1"/>
  <c r="I69" i="29"/>
  <c r="G69" i="29"/>
  <c r="F69" i="29"/>
  <c r="H69" i="29" s="1"/>
  <c r="D69" i="29"/>
  <c r="E69" i="29" s="1"/>
  <c r="L69" i="29" s="1"/>
  <c r="C69" i="29"/>
  <c r="J68" i="29"/>
  <c r="K68" i="29" s="1"/>
  <c r="I68" i="29"/>
  <c r="G68" i="29"/>
  <c r="F68" i="29"/>
  <c r="H68" i="29" s="1"/>
  <c r="D68" i="29"/>
  <c r="E68" i="29" s="1"/>
  <c r="L68" i="29" s="1"/>
  <c r="C68" i="29"/>
  <c r="J67" i="29"/>
  <c r="K67" i="29" s="1"/>
  <c r="I67" i="29"/>
  <c r="G67" i="29"/>
  <c r="F67" i="29"/>
  <c r="H67" i="29" s="1"/>
  <c r="D67" i="29"/>
  <c r="E67" i="29" s="1"/>
  <c r="L67" i="29" s="1"/>
  <c r="C67" i="29"/>
  <c r="J66" i="29"/>
  <c r="K66" i="29" s="1"/>
  <c r="I66" i="29"/>
  <c r="G66" i="29"/>
  <c r="F66" i="29"/>
  <c r="H66" i="29" s="1"/>
  <c r="D66" i="29"/>
  <c r="E66" i="29" s="1"/>
  <c r="L66" i="29" s="1"/>
  <c r="C66" i="29"/>
  <c r="J65" i="29"/>
  <c r="K65" i="29" s="1"/>
  <c r="I65" i="29"/>
  <c r="G65" i="29"/>
  <c r="F65" i="29"/>
  <c r="H65" i="29" s="1"/>
  <c r="D65" i="29"/>
  <c r="E65" i="29" s="1"/>
  <c r="L65" i="29" s="1"/>
  <c r="C65" i="29"/>
  <c r="J64" i="29"/>
  <c r="K64" i="29" s="1"/>
  <c r="I64" i="29"/>
  <c r="G64" i="29"/>
  <c r="F64" i="29"/>
  <c r="H64" i="29" s="1"/>
  <c r="D64" i="29"/>
  <c r="E64" i="29" s="1"/>
  <c r="L64" i="29" s="1"/>
  <c r="C64" i="29"/>
  <c r="J63" i="29"/>
  <c r="K63" i="29" s="1"/>
  <c r="I63" i="29"/>
  <c r="G63" i="29"/>
  <c r="F63" i="29"/>
  <c r="H63" i="29" s="1"/>
  <c r="D63" i="29"/>
  <c r="E63" i="29" s="1"/>
  <c r="L63" i="29" s="1"/>
  <c r="C63" i="29"/>
  <c r="J62" i="29"/>
  <c r="K62" i="29" s="1"/>
  <c r="I62" i="29"/>
  <c r="G62" i="29"/>
  <c r="F62" i="29"/>
  <c r="H62" i="29" s="1"/>
  <c r="D62" i="29"/>
  <c r="E62" i="29" s="1"/>
  <c r="L62" i="29" s="1"/>
  <c r="C62" i="29"/>
  <c r="J61" i="29"/>
  <c r="K61" i="29" s="1"/>
  <c r="I61" i="29"/>
  <c r="G61" i="29"/>
  <c r="F61" i="29"/>
  <c r="H61" i="29" s="1"/>
  <c r="D61" i="29"/>
  <c r="E61" i="29" s="1"/>
  <c r="L61" i="29" s="1"/>
  <c r="C61" i="29"/>
  <c r="J60" i="29"/>
  <c r="K60" i="29" s="1"/>
  <c r="I60" i="29"/>
  <c r="G60" i="29"/>
  <c r="F60" i="29"/>
  <c r="H60" i="29" s="1"/>
  <c r="D60" i="29"/>
  <c r="E60" i="29" s="1"/>
  <c r="L60" i="29" s="1"/>
  <c r="C60" i="29"/>
  <c r="J59" i="29"/>
  <c r="K59" i="29" s="1"/>
  <c r="I59" i="29"/>
  <c r="G59" i="29"/>
  <c r="F59" i="29"/>
  <c r="H59" i="29" s="1"/>
  <c r="D59" i="29"/>
  <c r="E59" i="29" s="1"/>
  <c r="L59" i="29" s="1"/>
  <c r="C59" i="29"/>
  <c r="J55" i="29"/>
  <c r="K55" i="29" s="1"/>
  <c r="I55" i="29"/>
  <c r="G55" i="29"/>
  <c r="F55" i="29"/>
  <c r="H55" i="29" s="1"/>
  <c r="D55" i="29"/>
  <c r="E55" i="29" s="1"/>
  <c r="L55" i="29" s="1"/>
  <c r="C55" i="29"/>
  <c r="J54" i="29"/>
  <c r="K54" i="29" s="1"/>
  <c r="I54" i="29"/>
  <c r="G54" i="29"/>
  <c r="F54" i="29"/>
  <c r="H54" i="29" s="1"/>
  <c r="D54" i="29"/>
  <c r="E54" i="29" s="1"/>
  <c r="L54" i="29" s="1"/>
  <c r="C54" i="29"/>
  <c r="J53" i="29"/>
  <c r="K53" i="29" s="1"/>
  <c r="I53" i="29"/>
  <c r="G53" i="29"/>
  <c r="F53" i="29"/>
  <c r="H53" i="29" s="1"/>
  <c r="D53" i="29"/>
  <c r="E53" i="29" s="1"/>
  <c r="L53" i="29" s="1"/>
  <c r="C53" i="29"/>
  <c r="J52" i="29"/>
  <c r="K52" i="29" s="1"/>
  <c r="I52" i="29"/>
  <c r="G52" i="29"/>
  <c r="F52" i="29"/>
  <c r="H52" i="29" s="1"/>
  <c r="D52" i="29"/>
  <c r="E52" i="29" s="1"/>
  <c r="L52" i="29" s="1"/>
  <c r="C52" i="29"/>
  <c r="J51" i="29"/>
  <c r="I51" i="29"/>
  <c r="G51" i="29"/>
  <c r="H51" i="29" s="1"/>
  <c r="F51" i="29"/>
  <c r="D51" i="29"/>
  <c r="C51" i="29"/>
  <c r="E51" i="29" s="1"/>
  <c r="J50" i="29"/>
  <c r="I50" i="29"/>
  <c r="K50" i="29" s="1"/>
  <c r="G50" i="29"/>
  <c r="H50" i="29" s="1"/>
  <c r="F50" i="29"/>
  <c r="D50" i="29"/>
  <c r="C50" i="29"/>
  <c r="E50" i="29" s="1"/>
  <c r="J49" i="29"/>
  <c r="I49" i="29"/>
  <c r="K49" i="29" s="1"/>
  <c r="G49" i="29"/>
  <c r="H49" i="29" s="1"/>
  <c r="F49" i="29"/>
  <c r="D49" i="29"/>
  <c r="C49" i="29"/>
  <c r="E49" i="29" s="1"/>
  <c r="J48" i="29"/>
  <c r="I48" i="29"/>
  <c r="K48" i="29" s="1"/>
  <c r="G48" i="29"/>
  <c r="H48" i="29" s="1"/>
  <c r="F48" i="29"/>
  <c r="D48" i="29"/>
  <c r="C48" i="29"/>
  <c r="E48" i="29" s="1"/>
  <c r="J47" i="29"/>
  <c r="I47" i="29"/>
  <c r="K47" i="29" s="1"/>
  <c r="G47" i="29"/>
  <c r="H47" i="29" s="1"/>
  <c r="F47" i="29"/>
  <c r="D47" i="29"/>
  <c r="C47" i="29"/>
  <c r="E47" i="29" s="1"/>
  <c r="J46" i="29"/>
  <c r="I46" i="29"/>
  <c r="K46" i="29" s="1"/>
  <c r="G46" i="29"/>
  <c r="H46" i="29" s="1"/>
  <c r="F46" i="29"/>
  <c r="D46" i="29"/>
  <c r="C46" i="29"/>
  <c r="E46" i="29" s="1"/>
  <c r="J45" i="29"/>
  <c r="I45" i="29"/>
  <c r="K45" i="29" s="1"/>
  <c r="G45" i="29"/>
  <c r="H45" i="29" s="1"/>
  <c r="F45" i="29"/>
  <c r="D45" i="29"/>
  <c r="C45" i="29"/>
  <c r="E45" i="29" s="1"/>
  <c r="J44" i="29"/>
  <c r="I44" i="29"/>
  <c r="K44" i="29" s="1"/>
  <c r="G44" i="29"/>
  <c r="H44" i="29" s="1"/>
  <c r="F44" i="29"/>
  <c r="D44" i="29"/>
  <c r="C44" i="29"/>
  <c r="E44" i="29" s="1"/>
  <c r="J43" i="29"/>
  <c r="I43" i="29"/>
  <c r="K43" i="29" s="1"/>
  <c r="G43" i="29"/>
  <c r="H43" i="29" s="1"/>
  <c r="F43" i="29"/>
  <c r="D43" i="29"/>
  <c r="C43" i="29"/>
  <c r="E43" i="29" s="1"/>
  <c r="J42" i="29"/>
  <c r="I42" i="29"/>
  <c r="K42" i="29" s="1"/>
  <c r="G42" i="29"/>
  <c r="H42" i="29" s="1"/>
  <c r="F42" i="29"/>
  <c r="D42" i="29"/>
  <c r="C42" i="29"/>
  <c r="E42" i="29" s="1"/>
  <c r="J41" i="29"/>
  <c r="I41" i="29"/>
  <c r="K41" i="29" s="1"/>
  <c r="G41" i="29"/>
  <c r="H41" i="29" s="1"/>
  <c r="F41" i="29"/>
  <c r="D41" i="29"/>
  <c r="C41" i="29"/>
  <c r="E41" i="29" s="1"/>
  <c r="J40" i="29"/>
  <c r="I40" i="29"/>
  <c r="K40" i="29" s="1"/>
  <c r="G40" i="29"/>
  <c r="H40" i="29" s="1"/>
  <c r="F40" i="29"/>
  <c r="D40" i="29"/>
  <c r="C40" i="29"/>
  <c r="E40" i="29" s="1"/>
  <c r="J39" i="29"/>
  <c r="I39" i="29"/>
  <c r="K39" i="29" s="1"/>
  <c r="G39" i="29"/>
  <c r="H39" i="29" s="1"/>
  <c r="F39" i="29"/>
  <c r="D39" i="29"/>
  <c r="C39" i="29"/>
  <c r="E39" i="29" s="1"/>
  <c r="J38" i="29"/>
  <c r="I38" i="29"/>
  <c r="K38" i="29" s="1"/>
  <c r="G38" i="29"/>
  <c r="H38" i="29" s="1"/>
  <c r="F38" i="29"/>
  <c r="D38" i="29"/>
  <c r="C38" i="29"/>
  <c r="E38" i="29" s="1"/>
  <c r="J37" i="29"/>
  <c r="I37" i="29"/>
  <c r="K37" i="29" s="1"/>
  <c r="G37" i="29"/>
  <c r="H37" i="29" s="1"/>
  <c r="F37" i="29"/>
  <c r="D37" i="29"/>
  <c r="C37" i="29"/>
  <c r="E37" i="29" s="1"/>
  <c r="J36" i="29"/>
  <c r="I36" i="29"/>
  <c r="K36" i="29" s="1"/>
  <c r="G36" i="29"/>
  <c r="H36" i="29" s="1"/>
  <c r="F36" i="29"/>
  <c r="D36" i="29"/>
  <c r="C36" i="29"/>
  <c r="E36" i="29" s="1"/>
  <c r="J35" i="29"/>
  <c r="I35" i="29"/>
  <c r="K35" i="29" s="1"/>
  <c r="G35" i="29"/>
  <c r="H35" i="29" s="1"/>
  <c r="F35" i="29"/>
  <c r="D35" i="29"/>
  <c r="C35" i="29"/>
  <c r="E35" i="29" s="1"/>
  <c r="J34" i="29"/>
  <c r="I34" i="29"/>
  <c r="K34" i="29" s="1"/>
  <c r="G34" i="29"/>
  <c r="H34" i="29" s="1"/>
  <c r="F34" i="29"/>
  <c r="D34" i="29"/>
  <c r="C34" i="29"/>
  <c r="E34" i="29" s="1"/>
  <c r="J33" i="29"/>
  <c r="I33" i="29"/>
  <c r="K33" i="29" s="1"/>
  <c r="G33" i="29"/>
  <c r="H33" i="29" s="1"/>
  <c r="F33" i="29"/>
  <c r="D33" i="29"/>
  <c r="C33" i="29"/>
  <c r="E33" i="29" s="1"/>
  <c r="J32" i="29"/>
  <c r="I32" i="29"/>
  <c r="K32" i="29" s="1"/>
  <c r="G32" i="29"/>
  <c r="H32" i="29" s="1"/>
  <c r="F32" i="29"/>
  <c r="D32" i="29"/>
  <c r="C32" i="29"/>
  <c r="E32" i="29" s="1"/>
  <c r="J31" i="29"/>
  <c r="I31" i="29"/>
  <c r="K31" i="29" s="1"/>
  <c r="G31" i="29"/>
  <c r="H31" i="29" s="1"/>
  <c r="F31" i="29"/>
  <c r="D31" i="29"/>
  <c r="C31" i="29"/>
  <c r="E31" i="29" s="1"/>
  <c r="J30" i="29"/>
  <c r="I30" i="29"/>
  <c r="K30" i="29" s="1"/>
  <c r="G30" i="29"/>
  <c r="H30" i="29" s="1"/>
  <c r="F30" i="29"/>
  <c r="D30" i="29"/>
  <c r="C30" i="29"/>
  <c r="E30" i="29" s="1"/>
  <c r="L30" i="29" s="1"/>
  <c r="J29" i="29"/>
  <c r="I29" i="29"/>
  <c r="K29" i="29" s="1"/>
  <c r="G29" i="29"/>
  <c r="H29" i="29" s="1"/>
  <c r="F29" i="29"/>
  <c r="D29" i="29"/>
  <c r="C29" i="29"/>
  <c r="E29" i="29" s="1"/>
  <c r="L29" i="29" s="1"/>
  <c r="J28" i="29"/>
  <c r="I28" i="29"/>
  <c r="K28" i="29" s="1"/>
  <c r="G28" i="29"/>
  <c r="H28" i="29" s="1"/>
  <c r="F28" i="29"/>
  <c r="D28" i="29"/>
  <c r="C28" i="29"/>
  <c r="E28" i="29" s="1"/>
  <c r="L28" i="29" s="1"/>
  <c r="J27" i="29"/>
  <c r="I27" i="29"/>
  <c r="K27" i="29" s="1"/>
  <c r="G27" i="29"/>
  <c r="H27" i="29" s="1"/>
  <c r="F27" i="29"/>
  <c r="D27" i="29"/>
  <c r="C27" i="29"/>
  <c r="E27" i="29" s="1"/>
  <c r="L27" i="29" s="1"/>
  <c r="J26" i="29"/>
  <c r="I26" i="29"/>
  <c r="K26" i="29" s="1"/>
  <c r="G26" i="29"/>
  <c r="H26" i="29" s="1"/>
  <c r="F26" i="29"/>
  <c r="D26" i="29"/>
  <c r="C26" i="29"/>
  <c r="E26" i="29" s="1"/>
  <c r="L26" i="29" s="1"/>
  <c r="J25" i="29"/>
  <c r="I25" i="29"/>
  <c r="K25" i="29" s="1"/>
  <c r="G25" i="29"/>
  <c r="H25" i="29" s="1"/>
  <c r="F25" i="29"/>
  <c r="D25" i="29"/>
  <c r="C25" i="29"/>
  <c r="E25" i="29" s="1"/>
  <c r="L25" i="29" s="1"/>
  <c r="J24" i="29"/>
  <c r="I24" i="29"/>
  <c r="K24" i="29" s="1"/>
  <c r="G24" i="29"/>
  <c r="H24" i="29" s="1"/>
  <c r="F24" i="29"/>
  <c r="D24" i="29"/>
  <c r="C24" i="29"/>
  <c r="E24" i="29" s="1"/>
  <c r="L24" i="29" s="1"/>
  <c r="J23" i="29"/>
  <c r="I23" i="29"/>
  <c r="K23" i="29" s="1"/>
  <c r="G23" i="29"/>
  <c r="H23" i="29" s="1"/>
  <c r="F23" i="29"/>
  <c r="D23" i="29"/>
  <c r="C23" i="29"/>
  <c r="E23" i="29" s="1"/>
  <c r="L23" i="29" s="1"/>
  <c r="J22" i="29"/>
  <c r="I22" i="29"/>
  <c r="K22" i="29" s="1"/>
  <c r="G22" i="29"/>
  <c r="H22" i="29" s="1"/>
  <c r="F22" i="29"/>
  <c r="D22" i="29"/>
  <c r="C22" i="29"/>
  <c r="E22" i="29" s="1"/>
  <c r="L22" i="29" s="1"/>
  <c r="J21" i="29"/>
  <c r="I21" i="29"/>
  <c r="K21" i="29" s="1"/>
  <c r="G21" i="29"/>
  <c r="H21" i="29" s="1"/>
  <c r="F21" i="29"/>
  <c r="D21" i="29"/>
  <c r="C21" i="29"/>
  <c r="E21" i="29" s="1"/>
  <c r="L21" i="29" s="1"/>
  <c r="J20" i="29"/>
  <c r="I20" i="29"/>
  <c r="K20" i="29" s="1"/>
  <c r="G20" i="29"/>
  <c r="H20" i="29" s="1"/>
  <c r="F20" i="29"/>
  <c r="D20" i="29"/>
  <c r="C20" i="29"/>
  <c r="E20" i="29" s="1"/>
  <c r="L20" i="29" s="1"/>
  <c r="J19" i="29"/>
  <c r="I19" i="29"/>
  <c r="K19" i="29" s="1"/>
  <c r="G19" i="29"/>
  <c r="H19" i="29" s="1"/>
  <c r="F19" i="29"/>
  <c r="D19" i="29"/>
  <c r="C19" i="29"/>
  <c r="E19" i="29" s="1"/>
  <c r="L19" i="29" s="1"/>
  <c r="J18" i="29"/>
  <c r="I18" i="29"/>
  <c r="K18" i="29" s="1"/>
  <c r="G18" i="29"/>
  <c r="H18" i="29" s="1"/>
  <c r="F18" i="29"/>
  <c r="D18" i="29"/>
  <c r="C18" i="29"/>
  <c r="E18" i="29" s="1"/>
  <c r="L18" i="29" s="1"/>
  <c r="J17" i="29"/>
  <c r="I17" i="29"/>
  <c r="K17" i="29" s="1"/>
  <c r="G17" i="29"/>
  <c r="H17" i="29" s="1"/>
  <c r="F17" i="29"/>
  <c r="D17" i="29"/>
  <c r="C17" i="29"/>
  <c r="E17" i="29" s="1"/>
  <c r="L17" i="29" s="1"/>
  <c r="L31" i="29" l="1"/>
  <c r="L32" i="29"/>
  <c r="L33" i="29"/>
  <c r="L34" i="29"/>
  <c r="L35" i="29"/>
  <c r="L36" i="29"/>
  <c r="L37" i="29"/>
  <c r="L38" i="29"/>
  <c r="L39" i="29"/>
  <c r="L40" i="29"/>
  <c r="L41" i="29"/>
  <c r="L42" i="29"/>
  <c r="L43" i="29"/>
  <c r="L44" i="29"/>
  <c r="L45" i="29"/>
  <c r="L46" i="29"/>
  <c r="L47" i="29"/>
  <c r="L48" i="29"/>
  <c r="L49" i="29"/>
  <c r="L50" i="29"/>
  <c r="L51" i="29"/>
  <c r="K51" i="29"/>
  <c r="I15" i="28"/>
  <c r="H15" i="28"/>
  <c r="G15" i="28"/>
  <c r="F15" i="28"/>
  <c r="E15" i="28"/>
  <c r="E14" i="28"/>
  <c r="E13" i="28"/>
  <c r="E12" i="28"/>
  <c r="G46" i="6" l="1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<sst xmlns="http://schemas.openxmlformats.org/spreadsheetml/2006/main" count="494" uniqueCount="258">
  <si>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</si>
  <si>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</si>
  <si>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</si>
  <si>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</si>
  <si>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</si>
  <si>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</si>
  <si>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</si>
  <si>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</si>
  <si>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</si>
  <si>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</si>
  <si>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</si>
  <si>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</si>
  <si>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</si>
  <si>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</si>
  <si>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</si>
  <si>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</si>
  <si>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</si>
  <si>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</si>
  <si>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</si>
  <si>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</si>
  <si>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</si>
  <si>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</si>
  <si>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</si>
  <si>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</si>
  <si>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</si>
  <si>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</si>
  <si>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</si>
  <si>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</si>
  <si>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</si>
  <si>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</si>
  <si>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</si>
  <si>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</si>
  <si>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</si>
  <si>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</si>
  <si>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</si>
  <si>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</si>
  <si>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</si>
  <si>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</si>
  <si>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</si>
  <si>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</si>
  <si>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</si>
  <si>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</si>
  <si>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</si>
  <si>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</si>
  <si>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</si>
  <si>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</si>
  <si>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</si>
  <si>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</si>
  <si>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</si>
  <si>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</si>
  <si>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</si>
  <si>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</si>
  <si>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</si>
  <si>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</si>
  <si>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</si>
  <si>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</si>
  <si>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</si>
  <si>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</si>
  <si>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</si>
  <si>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</si>
  <si>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</si>
  <si>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</si>
  <si>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</si>
  <si>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</si>
  <si>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</si>
  <si>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</si>
  <si>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</si>
  <si>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</si>
  <si>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</si>
  <si>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</si>
  <si>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</si>
  <si>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</si>
  <si>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</si>
  <si>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</si>
  <si>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</si>
  <si>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</si>
  <si>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</si>
  <si>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</si>
  <si>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</si>
  <si>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</si>
  <si>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</si>
  <si>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</si>
  <si>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</si>
  <si>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</si>
  <si>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</si>
  <si>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</si>
  <si>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</si>
  <si>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</si>
  <si>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</si>
  <si>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</si>
  <si>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</si>
  <si>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</si>
  <si>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</si>
  <si>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</si>
  <si>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</si>
  <si>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</si>
  <si>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</si>
  <si>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</si>
  <si>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</si>
  <si>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MINISTERIO DE HACIENDA                                                        INSTITUTO PROVINCIAL DE JUEGOS Y CASINOS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</si>
  <si>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</si>
  <si>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</si>
  <si>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</si>
  <si>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</si>
  <si>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</si>
  <si>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</si>
  <si>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</si>
  <si>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</si>
  <si>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</si>
  <si>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</si>
  <si>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</si>
  <si>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</si>
  <si>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</si>
  <si>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</si>
  <si>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</si>
  <si>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</si>
  <si>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</si>
  <si>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</si>
  <si>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</si>
  <si>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</si>
  <si>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</si>
  <si>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</si>
  <si>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</si>
  <si>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</si>
  <si>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</si>
  <si>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</si>
  <si>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</si>
  <si>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</si>
  <si>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</si>
  <si>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</si>
  <si>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</si>
  <si>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</si>
  <si>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</si>
  <si>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</si>
  <si>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</si>
  <si>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</si>
  <si>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</si>
  <si>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</si>
  <si>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</si>
  <si>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</si>
  <si>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</si>
  <si>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</si>
  <si>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</si>
  <si>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</si>
  <si>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</si>
  <si>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</si>
  <si>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</si>
  <si>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</si>
  <si>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</si>
  <si>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2015</t>
  </si>
  <si>
    <t>2016</t>
  </si>
  <si>
    <t>-</t>
  </si>
  <si>
    <t>Ministerio de Hacienda</t>
  </si>
  <si>
    <t xml:space="preserve"> </t>
  </si>
  <si>
    <t>DIRECCIÓN DE ADMINISTRACIÓN</t>
  </si>
  <si>
    <t>SUBDIRECCIÓN SEGURIDAD INFORMÁTICA</t>
  </si>
  <si>
    <t xml:space="preserve">C.JU.O. : 1.06.01 - </t>
  </si>
  <si>
    <t>CARÁCTER……………………………………………….05</t>
  </si>
  <si>
    <t>UNIDAD ORGANIZATIVA……………………………..….03</t>
  </si>
  <si>
    <t>ADMINISTRACIÓN TRIBUTARIA MENDOZA - LEY DE RESPONSABILIDAD FISCAL</t>
  </si>
  <si>
    <t>RESOLUCIÓN INTERNA ATM Nº 61/16 - INDICADORES DE GESTIÓN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</si>
  <si>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</si>
  <si>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</si>
  <si>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</si>
  <si>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</si>
  <si>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</si>
  <si>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</si>
  <si>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</si>
  <si>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INTELIGENCIA FISCAL</t>
  </si>
  <si>
    <t>FISCALIZACIÓN PERMANENTE</t>
  </si>
  <si>
    <t>FISCALIZACION EXTERNA</t>
  </si>
  <si>
    <t>SELLOS Y TASA DE JUSTICIA</t>
  </si>
  <si>
    <t>PATRIMONIALES GESTION INTERNA</t>
  </si>
  <si>
    <t>CONTACT CENTER</t>
  </si>
  <si>
    <t>ACTIVIDADES ECONOMICAS GESTION INTERNA</t>
  </si>
  <si>
    <t>ACTIVIDADES ECONÓMICAS - ATENCIÓN CONTRIBUYENTE</t>
  </si>
  <si>
    <t>AGENTES DE RETENCIÓN, PERCEPCIÓN E INFORMACIÓN</t>
  </si>
  <si>
    <t>GRANDES CONTRIBUYENTES</t>
  </si>
  <si>
    <t>RECEPTORIA CORRALITOS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</si>
  <si>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</si>
  <si>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</si>
  <si>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</si>
  <si>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</si>
  <si>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</si>
  <si>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</si>
  <si>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RECEPTORIA CONSEJO PROFESIONAL</t>
  </si>
  <si>
    <t>DELEGACION ZONA SUR</t>
  </si>
  <si>
    <t xml:space="preserve"> 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</si>
  <si>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</si>
  <si>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</si>
  <si>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</si>
  <si>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</si>
  <si>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</si>
  <si>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</si>
  <si>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</si>
  <si>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</si>
  <si>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</si>
  <si>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</si>
  <si>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</si>
  <si>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</si>
  <si>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</si>
  <si>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</si>
  <si>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</si>
  <si>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CAPITAL FEDERAL</t>
  </si>
  <si>
    <t>GESTION DE COBRAZAS ADMINISTRATIVAS</t>
  </si>
  <si>
    <t>GESTIÓN DE COBRANZAS JUDICIALES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</si>
  <si>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</si>
  <si>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</si>
  <si>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</si>
  <si>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</si>
  <si>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</si>
  <si>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</si>
  <si>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</si>
  <si>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</si>
  <si>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</si>
  <si>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</si>
  <si>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ARCHIVO</t>
  </si>
  <si>
    <t>DIRECCION GENERAL DE REGALIAS</t>
  </si>
  <si>
    <t>AUDITORIA</t>
  </si>
  <si>
    <t>EXPLOTACIÓN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</si>
  <si>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</si>
  <si>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</si>
  <si>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</si>
  <si>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</si>
  <si>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</si>
  <si>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</si>
  <si>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ASUNTOS TÉCNICOS</t>
  </si>
  <si>
    <t>ASUNTOS LEGALES</t>
  </si>
  <si>
    <t>PROCESOS UNIVERSALES</t>
  </si>
  <si>
    <t>DIRECCIÓN DE TECNOLOGÍAS DE LA INFORMACIÓN</t>
  </si>
  <si>
    <t>COI</t>
  </si>
  <si>
    <t>DEMADI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</si>
  <si>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</si>
  <si>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</si>
  <si>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</si>
  <si>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</si>
  <si>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</si>
  <si>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</si>
  <si>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INVESTIGACIÓN ESTADÍSTICA</t>
  </si>
  <si>
    <t>RECAUDACIÓN Y CONTROL DE INGRESOS</t>
  </si>
  <si>
    <t>SUBDIRECCIÓN SECRETARÍA GENERAL</t>
  </si>
  <si>
    <t>DESPACHO</t>
  </si>
  <si>
    <t>NORMATIVAS</t>
  </si>
  <si>
    <t>SEGURIDAD INFORMÁTICA</t>
  </si>
  <si>
    <t>ADMINISTRACIÓN GENERAL</t>
  </si>
  <si>
    <t>PLANIFICACIÓN ESTRATÉGICA</t>
  </si>
  <si>
    <t>COMUNICACIÓN Y PRENSA</t>
  </si>
  <si>
    <t>GESTIÓN DE CALIDAD</t>
  </si>
  <si>
    <t>OTRAS AREAS</t>
  </si>
  <si>
    <t>TRIBUNAL ADMINISTRATIVO FISCAL</t>
  </si>
  <si>
    <t>CONSEJO DE LOTEOS</t>
  </si>
  <si>
    <t>CUADRO DE INDICADORES Y METAS  - 4to TRIMESTRE 2016</t>
  </si>
  <si>
    <t>LRF LEY Nº 7.314 - ANEXO 30 - ART. 44 Y 45  - 4º TRIMESTRE 2016</t>
  </si>
  <si>
    <t>OCTUBRE</t>
  </si>
  <si>
    <t>NOVIEMBRE</t>
  </si>
  <si>
    <t>DICIEMBRE</t>
  </si>
  <si>
    <t>PATRIMONIALES ATENCIÓN CONTRIBUYENTES</t>
  </si>
  <si>
    <t>C.J.U.O. 1 - 06 - 10 - 4º TRIMESTE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</si>
</sst>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43" formatCode="_ * #,##0.00_ ;_ * \-#,##0.00_ ;_ * &quot;-&quot;??_ ;_ @_ "/>
    <numFmt numFmtId="164" formatCode="#,##0\ _p_t_a"/>
    <numFmt numFmtId="165" formatCode="#,##0.00\ _p_t_a"/>
    <numFmt numFmtId="166" formatCode="_-* #,##0.00\ _€_-;\-* #,##0.00\ _€_-;_-* &quot;-&quot;??\ _€_-;_-@_-"/>
    <numFmt numFmtId="167" formatCode="0.0"/>
    <numFmt numFmtId="168" formatCode="0_ ;\-0\ 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b/>
      <sz val="9"/>
      <name val="Microsoft Sans Serif"/>
      <family val="2"/>
    </font>
    <font>
      <sz val="9"/>
      <name val="Microsoft Sans Serif"/>
      <family val="2"/>
    </font>
    <font>
      <b/>
      <sz val="11"/>
      <name val="Calibri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22"/>
      <color indexed="8"/>
      <name val="Calibri"/>
      <family val="2"/>
    </font>
    <font>
      <b/>
      <sz val="16"/>
      <color indexed="8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sz val="12"/>
      <name val="Times New Roman"/>
      <family val="1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5"/>
        <bgColor indexed="35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22" fillId="7" borderId="1" applyNumberFormat="0" applyAlignment="0" applyProtection="0"/>
    <xf numFmtId="0" fontId="23" fillId="3" borderId="0" applyNumberFormat="0" applyBorder="0" applyAlignment="0" applyProtection="0"/>
    <xf numFmtId="43" fontId="6" fillId="0" borderId="0" applyFont="0" applyFill="0" applyBorder="0" applyAlignment="0" applyProtection="0"/>
    <xf numFmtId="0" fontId="24" fillId="22" borderId="0" applyNumberFormat="0" applyBorder="0" applyAlignment="0" applyProtection="0"/>
    <xf numFmtId="0" fontId="6" fillId="23" borderId="4" applyNumberFormat="0" applyFont="0" applyAlignment="0" applyProtection="0"/>
    <xf numFmtId="0" fontId="25" fillId="16" borderId="5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21" fillId="0" borderId="8" applyNumberFormat="0" applyFill="0" applyAlignment="0" applyProtection="0"/>
    <xf numFmtId="0" fontId="31" fillId="0" borderId="9" applyNumberFormat="0" applyFill="0" applyAlignment="0" applyProtection="0"/>
    <xf numFmtId="0" fontId="11" fillId="0" borderId="0"/>
    <xf numFmtId="43" fontId="1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15" fillId="0" borderId="0"/>
    <xf numFmtId="9" fontId="15" fillId="0" borderId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1" fillId="0" borderId="0"/>
    <xf numFmtId="9" fontId="6" fillId="0" borderId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14">
    <xf numFmtId="0" fontId="0" fillId="0" borderId="0" xfId="0"/>
    <xf numFmtId="0" fontId="10" fillId="0" borderId="0" xfId="0" applyFont="1"/>
    <xf numFmtId="0" fontId="11" fillId="0" borderId="0" xfId="0" applyFont="1"/>
    <xf numFmtId="1" fontId="13" fillId="24" borderId="11" xfId="32" applyNumberFormat="1" applyFont="1" applyFill="1" applyBorder="1" applyAlignment="1">
      <alignment horizontal="center" vertical="center"/>
    </xf>
    <xf numFmtId="0" fontId="7" fillId="24" borderId="14" xfId="0" applyFont="1" applyFill="1" applyBorder="1"/>
    <xf numFmtId="1" fontId="13" fillId="24" borderId="15" xfId="32" applyNumberFormat="1" applyFont="1" applyFill="1" applyBorder="1" applyAlignment="1">
      <alignment horizontal="center" vertical="center"/>
    </xf>
    <xf numFmtId="0" fontId="13" fillId="24" borderId="16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14" fillId="0" borderId="17" xfId="0" applyFont="1" applyBorder="1" applyAlignment="1"/>
    <xf numFmtId="0" fontId="14" fillId="0" borderId="11" xfId="0" applyFont="1" applyBorder="1"/>
    <xf numFmtId="0" fontId="14" fillId="0" borderId="0" xfId="0" applyFont="1"/>
    <xf numFmtId="0" fontId="14" fillId="0" borderId="17" xfId="0" applyFont="1" applyFill="1" applyBorder="1" applyAlignment="1"/>
    <xf numFmtId="0" fontId="14" fillId="0" borderId="0" xfId="0" applyFont="1" applyFill="1"/>
    <xf numFmtId="0" fontId="14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4" fillId="26" borderId="15" xfId="0" applyFont="1" applyFill="1" applyBorder="1"/>
    <xf numFmtId="1" fontId="14" fillId="26" borderId="15" xfId="0" applyNumberFormat="1" applyFont="1" applyFill="1" applyBorder="1"/>
    <xf numFmtId="0" fontId="11" fillId="26" borderId="15" xfId="0" applyFont="1" applyFill="1" applyBorder="1"/>
    <xf numFmtId="0" fontId="11" fillId="26" borderId="16" xfId="0" applyFont="1" applyFill="1" applyBorder="1"/>
    <xf numFmtId="0" fontId="14" fillId="0" borderId="24" xfId="0" applyFont="1" applyBorder="1"/>
    <xf numFmtId="0" fontId="14" fillId="0" borderId="25" xfId="0" applyFont="1" applyBorder="1"/>
    <xf numFmtId="0" fontId="14" fillId="26" borderId="26" xfId="0" applyFont="1" applyFill="1" applyBorder="1"/>
    <xf numFmtId="0" fontId="14" fillId="0" borderId="11" xfId="0" applyFont="1" applyFill="1" applyBorder="1"/>
    <xf numFmtId="0" fontId="14" fillId="0" borderId="20" xfId="0" applyFont="1" applyBorder="1"/>
    <xf numFmtId="0" fontId="14" fillId="0" borderId="27" xfId="0" applyFont="1" applyBorder="1"/>
    <xf numFmtId="0" fontId="11" fillId="26" borderId="30" xfId="0" applyFont="1" applyFill="1" applyBorder="1"/>
    <xf numFmtId="0" fontId="10" fillId="0" borderId="0" xfId="0" applyFont="1" applyBorder="1" applyAlignment="1"/>
    <xf numFmtId="0" fontId="10" fillId="0" borderId="32" xfId="0" applyFont="1" applyBorder="1"/>
    <xf numFmtId="0" fontId="8" fillId="0" borderId="0" xfId="0" applyFont="1" applyBorder="1" applyAlignment="1">
      <alignment horizontal="center"/>
    </xf>
    <xf numFmtId="0" fontId="8" fillId="0" borderId="31" xfId="0" applyFont="1" applyBorder="1" applyAlignment="1">
      <alignment vertical="center"/>
    </xf>
    <xf numFmtId="0" fontId="14" fillId="0" borderId="17" xfId="0" applyFont="1" applyBorder="1"/>
    <xf numFmtId="0" fontId="14" fillId="0" borderId="34" xfId="0" applyFont="1" applyBorder="1" applyAlignment="1"/>
    <xf numFmtId="0" fontId="14" fillId="0" borderId="29" xfId="0" applyFont="1" applyBorder="1"/>
    <xf numFmtId="0" fontId="14" fillId="0" borderId="35" xfId="0" applyFont="1" applyBorder="1"/>
    <xf numFmtId="0" fontId="14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1" fillId="26" borderId="23" xfId="0" applyFont="1" applyFill="1" applyBorder="1"/>
    <xf numFmtId="0" fontId="7" fillId="25" borderId="37" xfId="0" applyFont="1" applyFill="1" applyBorder="1"/>
    <xf numFmtId="0" fontId="7" fillId="25" borderId="38" xfId="0" applyFont="1" applyFill="1" applyBorder="1"/>
    <xf numFmtId="0" fontId="11" fillId="26" borderId="26" xfId="0" applyFont="1" applyFill="1" applyBorder="1"/>
    <xf numFmtId="0" fontId="13" fillId="25" borderId="43" xfId="0" applyFont="1" applyFill="1" applyBorder="1" applyAlignment="1"/>
    <xf numFmtId="0" fontId="14" fillId="25" borderId="37" xfId="0" applyFont="1" applyFill="1" applyBorder="1"/>
    <xf numFmtId="0" fontId="13" fillId="25" borderId="44" xfId="0" applyFont="1" applyFill="1" applyBorder="1"/>
    <xf numFmtId="0" fontId="14" fillId="25" borderId="45" xfId="0" applyFont="1" applyFill="1" applyBorder="1"/>
    <xf numFmtId="0" fontId="14" fillId="25" borderId="39" xfId="0" applyFont="1" applyFill="1" applyBorder="1"/>
    <xf numFmtId="0" fontId="14" fillId="0" borderId="34" xfId="0" applyFont="1" applyBorder="1"/>
    <xf numFmtId="0" fontId="14" fillId="0" borderId="19" xfId="0" applyFont="1" applyBorder="1"/>
    <xf numFmtId="0" fontId="14" fillId="0" borderId="12" xfId="0" applyFont="1" applyFill="1" applyBorder="1"/>
    <xf numFmtId="0" fontId="14" fillId="0" borderId="12" xfId="0" applyFont="1" applyBorder="1"/>
    <xf numFmtId="0" fontId="14" fillId="0" borderId="21" xfId="0" applyFont="1" applyBorder="1"/>
    <xf numFmtId="0" fontId="13" fillId="25" borderId="43" xfId="0" applyFont="1" applyFill="1" applyBorder="1"/>
    <xf numFmtId="0" fontId="14" fillId="0" borderId="34" xfId="0" applyFont="1" applyFill="1" applyBorder="1"/>
    <xf numFmtId="3" fontId="14" fillId="26" borderId="10" xfId="0" applyNumberFormat="1" applyFont="1" applyFill="1" applyBorder="1"/>
    <xf numFmtId="3" fontId="14" fillId="26" borderId="29" xfId="0" applyNumberFormat="1" applyFont="1" applyFill="1" applyBorder="1"/>
    <xf numFmtId="3" fontId="14" fillId="0" borderId="29" xfId="0" applyNumberFormat="1" applyFont="1" applyFill="1" applyBorder="1"/>
    <xf numFmtId="0" fontId="14" fillId="0" borderId="24" xfId="0" applyFont="1" applyFill="1" applyBorder="1"/>
    <xf numFmtId="3" fontId="14" fillId="26" borderId="48" xfId="0" applyNumberFormat="1" applyFont="1" applyFill="1" applyBorder="1"/>
    <xf numFmtId="3" fontId="14" fillId="26" borderId="25" xfId="0" applyNumberFormat="1" applyFont="1" applyFill="1" applyBorder="1"/>
    <xf numFmtId="3" fontId="14" fillId="0" borderId="25" xfId="0" applyNumberFormat="1" applyFont="1" applyFill="1" applyBorder="1"/>
    <xf numFmtId="0" fontId="14" fillId="0" borderId="49" xfId="0" applyFont="1" applyFill="1" applyBorder="1"/>
    <xf numFmtId="0" fontId="14" fillId="0" borderId="50" xfId="0" applyFont="1" applyBorder="1"/>
    <xf numFmtId="0" fontId="14" fillId="0" borderId="42" xfId="0" applyFont="1" applyBorder="1"/>
    <xf numFmtId="4" fontId="11" fillId="0" borderId="0" xfId="0" applyNumberFormat="1" applyFont="1"/>
    <xf numFmtId="0" fontId="13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10" fillId="0" borderId="31" xfId="0" applyFont="1" applyBorder="1"/>
    <xf numFmtId="0" fontId="0" fillId="0" borderId="55" xfId="0" applyBorder="1"/>
    <xf numFmtId="0" fontId="0" fillId="0" borderId="31" xfId="0" applyBorder="1"/>
    <xf numFmtId="0" fontId="8" fillId="0" borderId="0" xfId="0" applyFont="1" applyBorder="1" applyAlignment="1"/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 wrapText="1"/>
    </xf>
    <xf numFmtId="1" fontId="13" fillId="24" borderId="56" xfId="32" applyNumberFormat="1" applyFont="1" applyFill="1" applyBorder="1" applyAlignment="1">
      <alignment horizontal="center" vertical="center"/>
    </xf>
    <xf numFmtId="0" fontId="13" fillId="24" borderId="60" xfId="0" applyFont="1" applyFill="1" applyBorder="1" applyAlignment="1">
      <alignment horizontal="center"/>
    </xf>
    <xf numFmtId="0" fontId="14" fillId="0" borderId="61" xfId="0" applyFont="1" applyFill="1" applyBorder="1"/>
    <xf numFmtId="1" fontId="14" fillId="0" borderId="56" xfId="0" applyNumberFormat="1" applyFont="1" applyFill="1" applyBorder="1"/>
    <xf numFmtId="0" fontId="14" fillId="0" borderId="56" xfId="0" applyFont="1" applyFill="1" applyBorder="1"/>
    <xf numFmtId="0" fontId="14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11" fillId="0" borderId="56" xfId="0" applyFont="1" applyFill="1" applyBorder="1"/>
    <xf numFmtId="3" fontId="11" fillId="0" borderId="56" xfId="0" applyNumberFormat="1" applyFont="1" applyFill="1" applyBorder="1"/>
    <xf numFmtId="0" fontId="11" fillId="0" borderId="67" xfId="0" applyFont="1" applyFill="1" applyBorder="1"/>
    <xf numFmtId="3" fontId="11" fillId="0" borderId="61" xfId="0" applyNumberFormat="1" applyFont="1" applyFill="1" applyBorder="1"/>
    <xf numFmtId="3" fontId="11" fillId="0" borderId="63" xfId="0" applyNumberFormat="1" applyFont="1" applyFill="1" applyBorder="1"/>
    <xf numFmtId="0" fontId="11" fillId="0" borderId="61" xfId="0" applyFont="1" applyFill="1" applyBorder="1"/>
    <xf numFmtId="0" fontId="11" fillId="0" borderId="54" xfId="0" applyFont="1" applyFill="1" applyBorder="1"/>
    <xf numFmtId="0" fontId="8" fillId="0" borderId="68" xfId="0" applyFont="1" applyBorder="1" applyAlignment="1"/>
    <xf numFmtId="0" fontId="8" fillId="0" borderId="13" xfId="0" applyFont="1" applyBorder="1" applyAlignment="1"/>
    <xf numFmtId="0" fontId="10" fillId="0" borderId="13" xfId="0" applyFont="1" applyBorder="1" applyAlignment="1"/>
    <xf numFmtId="0" fontId="10" fillId="0" borderId="13" xfId="0" applyFont="1" applyBorder="1"/>
    <xf numFmtId="0" fontId="10" fillId="0" borderId="59" xfId="0" applyFont="1" applyBorder="1"/>
    <xf numFmtId="0" fontId="14" fillId="25" borderId="38" xfId="0" applyFont="1" applyFill="1" applyBorder="1"/>
    <xf numFmtId="3" fontId="14" fillId="0" borderId="15" xfId="0" applyNumberFormat="1" applyFont="1" applyFill="1" applyBorder="1"/>
    <xf numFmtId="3" fontId="14" fillId="0" borderId="23" xfId="0" applyNumberFormat="1" applyFont="1" applyFill="1" applyBorder="1"/>
    <xf numFmtId="3" fontId="14" fillId="0" borderId="26" xfId="0" applyNumberFormat="1" applyFont="1" applyFill="1" applyBorder="1"/>
    <xf numFmtId="3" fontId="14" fillId="26" borderId="36" xfId="0" applyNumberFormat="1" applyFont="1" applyFill="1" applyBorder="1"/>
    <xf numFmtId="3" fontId="14" fillId="26" borderId="11" xfId="0" applyNumberFormat="1" applyFont="1" applyFill="1" applyBorder="1"/>
    <xf numFmtId="3" fontId="14" fillId="26" borderId="28" xfId="0" applyNumberFormat="1" applyFont="1" applyFill="1" applyBorder="1"/>
    <xf numFmtId="3" fontId="14" fillId="0" borderId="11" xfId="0" applyNumberFormat="1" applyFont="1" applyFill="1" applyBorder="1"/>
    <xf numFmtId="3" fontId="14" fillId="26" borderId="33" xfId="0" applyNumberFormat="1" applyFont="1" applyFill="1" applyBorder="1"/>
    <xf numFmtId="3" fontId="14" fillId="25" borderId="45" xfId="0" applyNumberFormat="1" applyFont="1" applyFill="1" applyBorder="1"/>
    <xf numFmtId="3" fontId="14" fillId="25" borderId="46" xfId="0" applyNumberFormat="1" applyFont="1" applyFill="1" applyBorder="1"/>
    <xf numFmtId="3" fontId="13" fillId="25" borderId="46" xfId="0" applyNumberFormat="1" applyFont="1" applyFill="1" applyBorder="1"/>
    <xf numFmtId="3" fontId="13" fillId="25" borderId="45" xfId="0" applyNumberFormat="1" applyFont="1" applyFill="1" applyBorder="1"/>
    <xf numFmtId="3" fontId="14" fillId="25" borderId="40" xfId="0" applyNumberFormat="1" applyFont="1" applyFill="1" applyBorder="1"/>
    <xf numFmtId="3" fontId="14" fillId="0" borderId="36" xfId="0" applyNumberFormat="1" applyFont="1" applyBorder="1"/>
    <xf numFmtId="3" fontId="13" fillId="25" borderId="36" xfId="0" applyNumberFormat="1" applyFont="1" applyFill="1" applyBorder="1"/>
    <xf numFmtId="3" fontId="13" fillId="25" borderId="29" xfId="0" applyNumberFormat="1" applyFont="1" applyFill="1" applyBorder="1"/>
    <xf numFmtId="3" fontId="14" fillId="25" borderId="23" xfId="0" applyNumberFormat="1" applyFont="1" applyFill="1" applyBorder="1"/>
    <xf numFmtId="3" fontId="14" fillId="0" borderId="28" xfId="0" applyNumberFormat="1" applyFont="1" applyBorder="1"/>
    <xf numFmtId="3" fontId="13" fillId="25" borderId="28" xfId="0" applyNumberFormat="1" applyFont="1" applyFill="1" applyBorder="1"/>
    <xf numFmtId="3" fontId="13" fillId="25" borderId="11" xfId="0" applyNumberFormat="1" applyFont="1" applyFill="1" applyBorder="1"/>
    <xf numFmtId="3" fontId="14" fillId="25" borderId="15" xfId="0" applyNumberFormat="1" applyFont="1" applyFill="1" applyBorder="1"/>
    <xf numFmtId="3" fontId="14" fillId="26" borderId="47" xfId="0" applyNumberFormat="1" applyFont="1" applyFill="1" applyBorder="1"/>
    <xf numFmtId="3" fontId="14" fillId="26" borderId="12" xfId="0" applyNumberFormat="1" applyFont="1" applyFill="1" applyBorder="1"/>
    <xf numFmtId="3" fontId="14" fillId="0" borderId="12" xfId="0" applyNumberFormat="1" applyFont="1" applyFill="1" applyBorder="1"/>
    <xf numFmtId="3" fontId="14" fillId="0" borderId="16" xfId="0" applyNumberFormat="1" applyFont="1" applyFill="1" applyBorder="1"/>
    <xf numFmtId="3" fontId="14" fillId="25" borderId="37" xfId="0" applyNumberFormat="1" applyFont="1" applyFill="1" applyBorder="1"/>
    <xf numFmtId="3" fontId="13" fillId="25" borderId="37" xfId="0" applyNumberFormat="1" applyFont="1" applyFill="1" applyBorder="1"/>
    <xf numFmtId="3" fontId="13" fillId="25" borderId="38" xfId="0" applyNumberFormat="1" applyFont="1" applyFill="1" applyBorder="1"/>
    <xf numFmtId="3" fontId="14" fillId="26" borderId="50" xfId="0" applyNumberFormat="1" applyFont="1" applyFill="1" applyBorder="1"/>
    <xf numFmtId="3" fontId="14" fillId="0" borderId="51" xfId="0" applyNumberFormat="1" applyFont="1" applyBorder="1"/>
    <xf numFmtId="3" fontId="14" fillId="26" borderId="51" xfId="0" applyNumberFormat="1" applyFont="1" applyFill="1" applyBorder="1"/>
    <xf numFmtId="3" fontId="14" fillId="0" borderId="50" xfId="0" applyNumberFormat="1" applyFont="1" applyFill="1" applyBorder="1"/>
    <xf numFmtId="3" fontId="14" fillId="0" borderId="30" xfId="0" applyNumberFormat="1" applyFont="1" applyFill="1" applyBorder="1"/>
    <xf numFmtId="2" fontId="33" fillId="24" borderId="39" xfId="32" quotePrefix="1" applyNumberFormat="1" applyFont="1" applyFill="1" applyBorder="1" applyAlignment="1">
      <alignment horizontal="center" vertical="center"/>
    </xf>
    <xf numFmtId="0" fontId="12" fillId="0" borderId="0" xfId="53" applyFont="1" applyAlignment="1">
      <alignment horizontal="left" vertical="center"/>
    </xf>
    <xf numFmtId="0" fontId="6" fillId="0" borderId="0" xfId="53" applyAlignment="1">
      <alignment horizontal="center" vertical="center"/>
    </xf>
    <xf numFmtId="0" fontId="7" fillId="0" borderId="0" xfId="53" applyFont="1" applyAlignment="1">
      <alignment horizontal="center" vertical="center"/>
    </xf>
    <xf numFmtId="0" fontId="8" fillId="0" borderId="0" xfId="53" applyFont="1" applyAlignment="1">
      <alignment horizontal="left" vertical="center"/>
    </xf>
    <xf numFmtId="0" fontId="10" fillId="0" borderId="0" xfId="53" applyFont="1" applyAlignment="1">
      <alignment horizontal="center" vertical="center"/>
    </xf>
    <xf numFmtId="0" fontId="8" fillId="0" borderId="0" xfId="53" applyFont="1" applyBorder="1" applyAlignment="1">
      <alignment horizontal="left" vertical="center"/>
    </xf>
    <xf numFmtId="0" fontId="6" fillId="0" borderId="13" xfId="53" applyBorder="1"/>
    <xf numFmtId="0" fontId="13" fillId="24" borderId="11" xfId="53" applyFont="1" applyFill="1" applyBorder="1" applyAlignment="1">
      <alignment horizontal="center" vertical="center"/>
    </xf>
    <xf numFmtId="0" fontId="13" fillId="24" borderId="20" xfId="53" applyFont="1" applyFill="1" applyBorder="1" applyAlignment="1">
      <alignment horizontal="center" vertical="center" wrapText="1"/>
    </xf>
    <xf numFmtId="0" fontId="13" fillId="24" borderId="21" xfId="53" applyFont="1" applyFill="1" applyBorder="1" applyAlignment="1">
      <alignment horizontal="center" vertical="center" wrapText="1"/>
    </xf>
    <xf numFmtId="0" fontId="13" fillId="24" borderId="16" xfId="53" applyFont="1" applyFill="1" applyBorder="1" applyAlignment="1">
      <alignment horizontal="center" vertical="center" wrapText="1"/>
    </xf>
    <xf numFmtId="0" fontId="13" fillId="24" borderId="52" xfId="53" applyFont="1" applyFill="1" applyBorder="1" applyAlignment="1">
      <alignment horizontal="center" vertical="center" wrapText="1"/>
    </xf>
    <xf numFmtId="0" fontId="14" fillId="0" borderId="17" xfId="53" applyFont="1" applyBorder="1" applyAlignment="1">
      <alignment horizontal="left" vertical="center"/>
    </xf>
    <xf numFmtId="0" fontId="14" fillId="0" borderId="11" xfId="53" applyFont="1" applyBorder="1" applyAlignment="1">
      <alignment horizontal="center" vertical="center"/>
    </xf>
    <xf numFmtId="0" fontId="14" fillId="0" borderId="11" xfId="53" quotePrefix="1" applyFont="1" applyBorder="1" applyAlignment="1">
      <alignment horizontal="center" vertical="center" wrapText="1"/>
    </xf>
    <xf numFmtId="0" fontId="14" fillId="0" borderId="11" xfId="53" applyFont="1" applyBorder="1" applyAlignment="1">
      <alignment horizontal="center" vertical="center" wrapText="1"/>
    </xf>
    <xf numFmtId="0" fontId="14" fillId="0" borderId="15" xfId="53" applyFont="1" applyBorder="1" applyAlignment="1">
      <alignment horizontal="center" vertical="center"/>
    </xf>
    <xf numFmtId="0" fontId="14" fillId="0" borderId="22" xfId="53" quotePrefix="1" applyFont="1" applyBorder="1" applyAlignment="1">
      <alignment horizontal="right" vertical="center" wrapText="1"/>
    </xf>
    <xf numFmtId="0" fontId="14" fillId="26" borderId="10" xfId="53" quotePrefix="1" applyFont="1" applyFill="1" applyBorder="1" applyAlignment="1">
      <alignment horizontal="right" vertical="center" wrapText="1"/>
    </xf>
    <xf numFmtId="0" fontId="14" fillId="28" borderId="14" xfId="53" quotePrefix="1" applyFont="1" applyFill="1" applyBorder="1" applyAlignment="1">
      <alignment horizontal="center" vertical="center" wrapText="1"/>
    </xf>
    <xf numFmtId="0" fontId="13" fillId="0" borderId="18" xfId="53" applyFont="1" applyBorder="1" applyAlignment="1">
      <alignment horizontal="center" vertical="center"/>
    </xf>
    <xf numFmtId="0" fontId="14" fillId="0" borderId="17" xfId="53" applyFont="1" applyBorder="1" applyAlignment="1">
      <alignment horizontal="right" vertical="center"/>
    </xf>
    <xf numFmtId="0" fontId="14" fillId="26" borderId="11" xfId="53" applyFont="1" applyFill="1" applyBorder="1" applyAlignment="1">
      <alignment horizontal="right" vertical="center"/>
    </xf>
    <xf numFmtId="0" fontId="14" fillId="28" borderId="15" xfId="53" applyFont="1" applyFill="1" applyBorder="1" applyAlignment="1">
      <alignment horizontal="center" vertical="center"/>
    </xf>
    <xf numFmtId="0" fontId="14" fillId="0" borderId="15" xfId="53" quotePrefix="1" applyFont="1" applyBorder="1" applyAlignment="1">
      <alignment horizontal="center" vertical="center" wrapText="1"/>
    </xf>
    <xf numFmtId="0" fontId="14" fillId="0" borderId="17" xfId="53" quotePrefix="1" applyFont="1" applyBorder="1" applyAlignment="1">
      <alignment horizontal="right" vertical="center" wrapText="1"/>
    </xf>
    <xf numFmtId="0" fontId="14" fillId="26" borderId="11" xfId="53" quotePrefix="1" applyFont="1" applyFill="1" applyBorder="1" applyAlignment="1">
      <alignment horizontal="right" vertical="center" wrapText="1"/>
    </xf>
    <xf numFmtId="0" fontId="14" fillId="28" borderId="15" xfId="53" quotePrefix="1" applyFont="1" applyFill="1" applyBorder="1" applyAlignment="1">
      <alignment horizontal="center" vertical="center" wrapText="1"/>
    </xf>
    <xf numFmtId="0" fontId="13" fillId="0" borderId="18" xfId="53" quotePrefix="1" applyFont="1" applyBorder="1" applyAlignment="1">
      <alignment horizontal="center" vertical="center" wrapText="1"/>
    </xf>
    <xf numFmtId="0" fontId="14" fillId="26" borderId="11" xfId="53" applyFont="1" applyFill="1" applyBorder="1" applyAlignment="1">
      <alignment horizontal="right" vertical="center" wrapText="1"/>
    </xf>
    <xf numFmtId="0" fontId="14" fillId="28" borderId="15" xfId="53" applyFont="1" applyFill="1" applyBorder="1" applyAlignment="1">
      <alignment horizontal="center" vertical="center" wrapText="1"/>
    </xf>
    <xf numFmtId="3" fontId="14" fillId="0" borderId="11" xfId="55" quotePrefix="1" applyNumberFormat="1" applyFont="1" applyBorder="1" applyAlignment="1">
      <alignment horizontal="right" vertical="center" wrapText="1"/>
    </xf>
    <xf numFmtId="3" fontId="14" fillId="0" borderId="11" xfId="55" applyNumberFormat="1" applyFont="1" applyBorder="1" applyAlignment="1">
      <alignment horizontal="right" vertical="center"/>
    </xf>
    <xf numFmtId="3" fontId="14" fillId="0" borderId="0" xfId="53" applyNumberFormat="1" applyFont="1" applyAlignment="1">
      <alignment horizontal="center" vertical="center"/>
    </xf>
    <xf numFmtId="3" fontId="14" fillId="0" borderId="17" xfId="55" applyNumberFormat="1" applyFont="1" applyBorder="1" applyAlignment="1">
      <alignment horizontal="right" vertical="center"/>
    </xf>
    <xf numFmtId="3" fontId="14" fillId="26" borderId="11" xfId="55" applyNumberFormat="1" applyFont="1" applyFill="1" applyBorder="1" applyAlignment="1">
      <alignment horizontal="right" vertical="center"/>
    </xf>
    <xf numFmtId="4" fontId="14" fillId="26" borderId="11" xfId="55" applyNumberFormat="1" applyFont="1" applyFill="1" applyBorder="1" applyAlignment="1">
      <alignment horizontal="right" vertical="center"/>
    </xf>
    <xf numFmtId="4" fontId="14" fillId="28" borderId="15" xfId="55" applyNumberFormat="1" applyFont="1" applyFill="1" applyBorder="1" applyAlignment="1">
      <alignment horizontal="right" vertical="center"/>
    </xf>
    <xf numFmtId="3" fontId="13" fillId="0" borderId="18" xfId="53" applyNumberFormat="1" applyFont="1" applyBorder="1" applyAlignment="1">
      <alignment horizontal="center" vertical="center"/>
    </xf>
    <xf numFmtId="3" fontId="14" fillId="0" borderId="11" xfId="53" quotePrefix="1" applyNumberFormat="1" applyFont="1" applyBorder="1" applyAlignment="1">
      <alignment horizontal="right" vertical="center" wrapText="1"/>
    </xf>
    <xf numFmtId="3" fontId="14" fillId="0" borderId="11" xfId="53" applyNumberFormat="1" applyFont="1" applyBorder="1" applyAlignment="1">
      <alignment horizontal="right" vertical="center"/>
    </xf>
    <xf numFmtId="3" fontId="14" fillId="0" borderId="15" xfId="53" applyNumberFormat="1" applyFont="1" applyBorder="1" applyAlignment="1">
      <alignment horizontal="center" vertical="center"/>
    </xf>
    <xf numFmtId="3" fontId="14" fillId="0" borderId="17" xfId="53" applyNumberFormat="1" applyFont="1" applyBorder="1" applyAlignment="1">
      <alignment horizontal="right" vertical="center"/>
    </xf>
    <xf numFmtId="3" fontId="14" fillId="26" borderId="11" xfId="53" applyNumberFormat="1" applyFont="1" applyFill="1" applyBorder="1" applyAlignment="1">
      <alignment horizontal="right" vertical="center"/>
    </xf>
    <xf numFmtId="3" fontId="14" fillId="28" borderId="15" xfId="53" applyNumberFormat="1" applyFont="1" applyFill="1" applyBorder="1" applyAlignment="1">
      <alignment horizontal="right" vertical="center"/>
    </xf>
    <xf numFmtId="164" fontId="14" fillId="0" borderId="11" xfId="53" quotePrefix="1" applyNumberFormat="1" applyFont="1" applyBorder="1" applyAlignment="1">
      <alignment horizontal="right" vertical="center" wrapText="1"/>
    </xf>
    <xf numFmtId="164" fontId="14" fillId="0" borderId="15" xfId="53" applyNumberFormat="1" applyFont="1" applyBorder="1" applyAlignment="1">
      <alignment horizontal="right" vertical="center"/>
    </xf>
    <xf numFmtId="164" fontId="14" fillId="0" borderId="17" xfId="53" applyNumberFormat="1" applyFont="1" applyBorder="1" applyAlignment="1">
      <alignment horizontal="right" vertical="center" wrapText="1"/>
    </xf>
    <xf numFmtId="165" fontId="14" fillId="26" borderId="11" xfId="53" applyNumberFormat="1" applyFont="1" applyFill="1" applyBorder="1" applyAlignment="1">
      <alignment horizontal="right" vertical="center" wrapText="1"/>
    </xf>
    <xf numFmtId="164" fontId="14" fillId="26" borderId="11" xfId="53" quotePrefix="1" applyNumberFormat="1" applyFont="1" applyFill="1" applyBorder="1" applyAlignment="1">
      <alignment horizontal="right" vertical="center" wrapText="1"/>
    </xf>
    <xf numFmtId="165" fontId="14" fillId="28" borderId="15" xfId="53" quotePrefix="1" applyNumberFormat="1" applyFont="1" applyFill="1" applyBorder="1" applyAlignment="1">
      <alignment horizontal="right" vertical="center" wrapText="1"/>
    </xf>
    <xf numFmtId="164" fontId="13" fillId="0" borderId="18" xfId="53" applyNumberFormat="1" applyFont="1" applyBorder="1" applyAlignment="1">
      <alignment horizontal="right" vertical="center"/>
    </xf>
    <xf numFmtId="0" fontId="14" fillId="0" borderId="19" xfId="53" applyFont="1" applyBorder="1" applyAlignment="1">
      <alignment horizontal="center" vertical="center"/>
    </xf>
    <xf numFmtId="0" fontId="14" fillId="26" borderId="12" xfId="53" applyFont="1" applyFill="1" applyBorder="1" applyAlignment="1">
      <alignment horizontal="right" vertical="center"/>
    </xf>
    <xf numFmtId="0" fontId="14" fillId="26" borderId="12" xfId="53" applyFont="1" applyFill="1" applyBorder="1" applyAlignment="1">
      <alignment horizontal="center" vertical="center"/>
    </xf>
    <xf numFmtId="0" fontId="14" fillId="28" borderId="16" xfId="53" applyFont="1" applyFill="1" applyBorder="1" applyAlignment="1">
      <alignment horizontal="center" vertical="center"/>
    </xf>
    <xf numFmtId="0" fontId="13" fillId="25" borderId="17" xfId="53" applyFont="1" applyFill="1" applyBorder="1" applyAlignment="1">
      <alignment horizontal="left" vertical="center"/>
    </xf>
    <xf numFmtId="0" fontId="14" fillId="25" borderId="11" xfId="53" applyFont="1" applyFill="1" applyBorder="1" applyAlignment="1">
      <alignment horizontal="center" vertical="center"/>
    </xf>
    <xf numFmtId="0" fontId="14" fillId="25" borderId="61" xfId="53" applyFont="1" applyFill="1" applyBorder="1" applyAlignment="1">
      <alignment horizontal="center" vertical="center"/>
    </xf>
    <xf numFmtId="0" fontId="14" fillId="25" borderId="22" xfId="53" applyFont="1" applyFill="1" applyBorder="1" applyAlignment="1">
      <alignment horizontal="center" vertical="center"/>
    </xf>
    <xf numFmtId="0" fontId="14" fillId="25" borderId="10" xfId="53" applyFont="1" applyFill="1" applyBorder="1" applyAlignment="1">
      <alignment horizontal="center" vertical="center"/>
    </xf>
    <xf numFmtId="0" fontId="14" fillId="25" borderId="14" xfId="53" applyFont="1" applyFill="1" applyBorder="1" applyAlignment="1">
      <alignment horizontal="center" vertical="center"/>
    </xf>
    <xf numFmtId="0" fontId="13" fillId="25" borderId="18" xfId="53" applyFont="1" applyFill="1" applyBorder="1" applyAlignment="1">
      <alignment horizontal="center" vertical="center"/>
    </xf>
    <xf numFmtId="0" fontId="13" fillId="0" borderId="17" xfId="53" applyFont="1" applyBorder="1" applyAlignment="1">
      <alignment horizontal="left" vertical="center"/>
    </xf>
    <xf numFmtId="0" fontId="14" fillId="26" borderId="20" xfId="53" applyFont="1" applyFill="1" applyBorder="1" applyAlignment="1">
      <alignment horizontal="center" vertical="center"/>
    </xf>
    <xf numFmtId="0" fontId="14" fillId="28" borderId="17" xfId="53" applyFont="1" applyFill="1" applyBorder="1" applyAlignment="1">
      <alignment horizontal="center" vertical="center"/>
    </xf>
    <xf numFmtId="0" fontId="14" fillId="26" borderId="28" xfId="53" applyFont="1" applyFill="1" applyBorder="1" applyAlignment="1">
      <alignment horizontal="center" vertical="center"/>
    </xf>
    <xf numFmtId="0" fontId="14" fillId="26" borderId="11" xfId="53" applyFont="1" applyFill="1" applyBorder="1" applyAlignment="1">
      <alignment horizontal="center" vertical="center"/>
    </xf>
    <xf numFmtId="0" fontId="14" fillId="25" borderId="56" xfId="53" applyFont="1" applyFill="1" applyBorder="1" applyAlignment="1">
      <alignment horizontal="center" vertical="center"/>
    </xf>
    <xf numFmtId="0" fontId="14" fillId="25" borderId="17" xfId="53" applyFont="1" applyFill="1" applyBorder="1" applyAlignment="1">
      <alignment horizontal="center" vertical="center"/>
    </xf>
    <xf numFmtId="0" fontId="14" fillId="25" borderId="28" xfId="53" applyFont="1" applyFill="1" applyBorder="1" applyAlignment="1">
      <alignment horizontal="center" vertical="center"/>
    </xf>
    <xf numFmtId="0" fontId="14" fillId="25" borderId="18" xfId="53" applyFont="1" applyFill="1" applyBorder="1" applyAlignment="1">
      <alignment horizontal="center" vertical="center"/>
    </xf>
    <xf numFmtId="0" fontId="14" fillId="0" borderId="20" xfId="53" applyFont="1" applyBorder="1" applyAlignment="1">
      <alignment horizontal="center" vertical="center"/>
    </xf>
    <xf numFmtId="0" fontId="14" fillId="26" borderId="0" xfId="53" applyFont="1" applyFill="1" applyBorder="1" applyAlignment="1">
      <alignment horizontal="center" vertical="center"/>
    </xf>
    <xf numFmtId="0" fontId="14" fillId="0" borderId="19" xfId="53" applyFont="1" applyBorder="1" applyAlignment="1">
      <alignment horizontal="left" vertical="center"/>
    </xf>
    <xf numFmtId="0" fontId="14" fillId="0" borderId="12" xfId="53" applyFont="1" applyBorder="1" applyAlignment="1">
      <alignment horizontal="center" vertical="center"/>
    </xf>
    <xf numFmtId="0" fontId="14" fillId="0" borderId="21" xfId="53" applyFont="1" applyBorder="1" applyAlignment="1">
      <alignment horizontal="center" vertical="center"/>
    </xf>
    <xf numFmtId="0" fontId="14" fillId="28" borderId="19" xfId="53" applyFont="1" applyFill="1" applyBorder="1" applyAlignment="1">
      <alignment horizontal="center" vertical="center"/>
    </xf>
    <xf numFmtId="0" fontId="14" fillId="26" borderId="47" xfId="53" applyFont="1" applyFill="1" applyBorder="1" applyAlignment="1">
      <alignment horizontal="center" vertical="center"/>
    </xf>
    <xf numFmtId="0" fontId="13" fillId="0" borderId="52" xfId="53" applyFont="1" applyBorder="1" applyAlignment="1">
      <alignment horizontal="center" vertical="center"/>
    </xf>
    <xf numFmtId="0" fontId="6" fillId="0" borderId="0" xfId="53"/>
    <xf numFmtId="0" fontId="44" fillId="0" borderId="0" xfId="53" applyFont="1"/>
    <xf numFmtId="0" fontId="44" fillId="0" borderId="0" xfId="53" applyFont="1" applyAlignment="1">
      <alignment horizontal="center" vertical="center"/>
    </xf>
    <xf numFmtId="0" fontId="45" fillId="0" borderId="0" xfId="53" applyFont="1" applyFill="1" applyAlignment="1">
      <alignment vertical="center"/>
    </xf>
    <xf numFmtId="0" fontId="45" fillId="0" borderId="0" xfId="53" applyFont="1" applyAlignment="1">
      <alignment horizontal="center" vertical="center"/>
    </xf>
    <xf numFmtId="10" fontId="45" fillId="0" borderId="0" xfId="53" applyNumberFormat="1" applyFont="1" applyAlignment="1">
      <alignment horizontal="center" vertical="center"/>
    </xf>
    <xf numFmtId="0" fontId="46" fillId="0" borderId="0" xfId="53" applyFont="1" applyAlignment="1">
      <alignment vertical="center" wrapText="1"/>
    </xf>
    <xf numFmtId="0" fontId="48" fillId="0" borderId="0" xfId="53" applyFont="1" applyAlignment="1">
      <alignment vertical="center"/>
    </xf>
    <xf numFmtId="0" fontId="45" fillId="0" borderId="0" xfId="53" applyFont="1" applyFill="1" applyAlignment="1">
      <alignment horizontal="center" vertical="center"/>
    </xf>
    <xf numFmtId="10" fontId="39" fillId="31" borderId="69" xfId="53" applyNumberFormat="1" applyFont="1" applyFill="1" applyBorder="1" applyAlignment="1">
      <alignment horizontal="center" vertical="center" wrapText="1"/>
    </xf>
    <xf numFmtId="0" fontId="44" fillId="0" borderId="0" xfId="53" applyFont="1" applyFill="1" applyBorder="1" applyAlignment="1">
      <alignment horizontal="center" vertical="center"/>
    </xf>
    <xf numFmtId="0" fontId="50" fillId="0" borderId="0" xfId="53" applyFont="1" applyFill="1" applyBorder="1" applyAlignment="1">
      <alignment horizontal="center" vertical="center"/>
    </xf>
    <xf numFmtId="10" fontId="50" fillId="0" borderId="0" xfId="53" applyNumberFormat="1" applyFont="1" applyFill="1" applyBorder="1" applyAlignment="1">
      <alignment horizontal="center" vertical="center" wrapText="1"/>
    </xf>
    <xf numFmtId="0" fontId="39" fillId="32" borderId="0" xfId="53" applyFont="1" applyFill="1" applyBorder="1" applyAlignment="1">
      <alignment horizontal="center" vertical="center"/>
    </xf>
    <xf numFmtId="0" fontId="49" fillId="32" borderId="0" xfId="53" applyFont="1" applyFill="1" applyBorder="1" applyAlignment="1">
      <alignment horizontal="center" vertical="center"/>
    </xf>
    <xf numFmtId="10" fontId="50" fillId="32" borderId="0" xfId="53" applyNumberFormat="1" applyFont="1" applyFill="1" applyBorder="1" applyAlignment="1">
      <alignment horizontal="center" vertical="center" wrapText="1"/>
    </xf>
    <xf numFmtId="0" fontId="44" fillId="32" borderId="0" xfId="53" applyFont="1" applyFill="1"/>
    <xf numFmtId="0" fontId="45" fillId="30" borderId="69" xfId="53" applyFont="1" applyFill="1" applyBorder="1" applyAlignment="1">
      <alignment horizontal="left" vertical="center" wrapText="1"/>
    </xf>
    <xf numFmtId="0" fontId="45" fillId="30" borderId="69" xfId="53" applyFont="1" applyFill="1" applyBorder="1" applyAlignment="1">
      <alignment horizontal="center" vertical="center"/>
    </xf>
    <xf numFmtId="0" fontId="44" fillId="30" borderId="69" xfId="53" applyNumberFormat="1" applyFont="1" applyFill="1" applyBorder="1" applyAlignment="1">
      <alignment horizontal="center" vertical="center"/>
    </xf>
    <xf numFmtId="167" fontId="44" fillId="33" borderId="69" xfId="53" applyNumberFormat="1" applyFont="1" applyFill="1" applyBorder="1" applyAlignment="1">
      <alignment horizontal="center" vertical="center"/>
    </xf>
    <xf numFmtId="1" fontId="50" fillId="0" borderId="69" xfId="53" applyNumberFormat="1" applyFont="1" applyFill="1" applyBorder="1"/>
    <xf numFmtId="0" fontId="45" fillId="0" borderId="69" xfId="53" applyFont="1" applyBorder="1" applyAlignment="1">
      <alignment horizontal="left" vertical="center" wrapText="1"/>
    </xf>
    <xf numFmtId="0" fontId="45" fillId="0" borderId="69" xfId="53" applyFont="1" applyBorder="1" applyAlignment="1">
      <alignment horizontal="center" vertical="center"/>
    </xf>
    <xf numFmtId="0" fontId="45" fillId="0" borderId="69" xfId="58" applyNumberFormat="1" applyFont="1" applyFill="1" applyBorder="1" applyAlignment="1">
      <alignment horizontal="center" vertical="center"/>
    </xf>
    <xf numFmtId="167" fontId="44" fillId="0" borderId="69" xfId="53" applyNumberFormat="1" applyFont="1" applyFill="1" applyBorder="1" applyAlignment="1">
      <alignment horizontal="center" vertical="center"/>
    </xf>
    <xf numFmtId="0" fontId="45" fillId="0" borderId="69" xfId="58" applyNumberFormat="1" applyFont="1" applyBorder="1" applyAlignment="1">
      <alignment horizontal="center" vertical="center"/>
    </xf>
    <xf numFmtId="0" fontId="45" fillId="30" borderId="69" xfId="59" applyNumberFormat="1" applyFont="1" applyFill="1" applyBorder="1" applyAlignment="1" applyProtection="1">
      <alignment horizontal="center" vertical="center"/>
    </xf>
    <xf numFmtId="0" fontId="45" fillId="0" borderId="69" xfId="59" applyNumberFormat="1" applyFont="1" applyFill="1" applyBorder="1" applyAlignment="1" applyProtection="1">
      <alignment horizontal="center" vertical="center"/>
    </xf>
    <xf numFmtId="0" fontId="44" fillId="0" borderId="69" xfId="59" applyNumberFormat="1" applyFont="1" applyFill="1" applyBorder="1" applyAlignment="1" applyProtection="1">
      <alignment horizontal="center" vertical="center"/>
    </xf>
    <xf numFmtId="0" fontId="44" fillId="30" borderId="69" xfId="59" applyNumberFormat="1" applyFont="1" applyFill="1" applyBorder="1" applyAlignment="1" applyProtection="1">
      <alignment horizontal="center" vertical="center"/>
    </xf>
    <xf numFmtId="0" fontId="45" fillId="0" borderId="69" xfId="53" applyFont="1" applyFill="1" applyBorder="1" applyAlignment="1">
      <alignment horizontal="center" vertical="center"/>
    </xf>
    <xf numFmtId="0" fontId="45" fillId="0" borderId="69" xfId="53" applyFont="1" applyFill="1" applyBorder="1" applyAlignment="1">
      <alignment horizontal="left" vertical="center" wrapText="1"/>
    </xf>
    <xf numFmtId="0" fontId="45" fillId="29" borderId="69" xfId="53" applyFont="1" applyFill="1" applyBorder="1" applyAlignment="1">
      <alignment horizontal="left" vertical="center" wrapText="1"/>
    </xf>
    <xf numFmtId="0" fontId="44" fillId="29" borderId="69" xfId="59" applyNumberFormat="1" applyFont="1" applyFill="1" applyBorder="1" applyAlignment="1" applyProtection="1">
      <alignment horizontal="center" vertical="center"/>
    </xf>
    <xf numFmtId="0" fontId="45" fillId="29" borderId="69" xfId="59" applyNumberFormat="1" applyFont="1" applyFill="1" applyBorder="1" applyAlignment="1" applyProtection="1">
      <alignment horizontal="center" vertical="center"/>
    </xf>
    <xf numFmtId="0" fontId="45" fillId="0" borderId="0" xfId="53" applyFont="1" applyBorder="1" applyAlignment="1">
      <alignment horizontal="center" vertical="center" wrapText="1"/>
    </xf>
    <xf numFmtId="0" fontId="45" fillId="0" borderId="0" xfId="53" applyFont="1" applyBorder="1" applyAlignment="1">
      <alignment horizontal="center" vertical="center"/>
    </xf>
    <xf numFmtId="0" fontId="45" fillId="0" borderId="0" xfId="53" applyNumberFormat="1" applyFont="1" applyBorder="1" applyAlignment="1">
      <alignment horizontal="center" vertical="center"/>
    </xf>
    <xf numFmtId="0" fontId="39" fillId="32" borderId="0" xfId="53" applyFont="1" applyFill="1" applyBorder="1" applyAlignment="1">
      <alignment horizontal="center" vertical="center" wrapText="1"/>
    </xf>
    <xf numFmtId="0" fontId="50" fillId="32" borderId="0" xfId="53" applyFont="1" applyFill="1" applyBorder="1" applyAlignment="1">
      <alignment horizontal="center" vertical="center"/>
    </xf>
    <xf numFmtId="0" fontId="50" fillId="32" borderId="0" xfId="53" applyNumberFormat="1" applyFont="1" applyFill="1" applyBorder="1" applyAlignment="1">
      <alignment horizontal="center" vertical="center" wrapText="1"/>
    </xf>
    <xf numFmtId="0" fontId="45" fillId="0" borderId="0" xfId="53" applyFont="1" applyFill="1" applyBorder="1" applyAlignment="1">
      <alignment horizontal="center" vertical="center" wrapText="1"/>
    </xf>
    <xf numFmtId="0" fontId="45" fillId="0" borderId="0" xfId="53" applyFont="1" applyFill="1" applyBorder="1" applyAlignment="1">
      <alignment horizontal="center" vertical="center"/>
    </xf>
    <xf numFmtId="0" fontId="45" fillId="0" borderId="0" xfId="59" applyNumberFormat="1" applyFont="1" applyFill="1" applyBorder="1" applyAlignment="1" applyProtection="1">
      <alignment horizontal="center" vertical="center"/>
    </xf>
    <xf numFmtId="0" fontId="44" fillId="0" borderId="0" xfId="59" applyNumberFormat="1" applyFont="1" applyFill="1" applyBorder="1" applyAlignment="1" applyProtection="1">
      <alignment horizontal="center" vertical="center"/>
    </xf>
    <xf numFmtId="0" fontId="31" fillId="32" borderId="0" xfId="53" applyFont="1" applyFill="1" applyBorder="1" applyAlignment="1">
      <alignment horizontal="center" vertical="center" wrapText="1"/>
    </xf>
    <xf numFmtId="0" fontId="52" fillId="32" borderId="0" xfId="53" applyFont="1" applyFill="1" applyBorder="1" applyAlignment="1">
      <alignment horizontal="center" vertical="center"/>
    </xf>
    <xf numFmtId="0" fontId="53" fillId="32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Alignment="1">
      <alignment horizontal="center" vertical="center" wrapText="1"/>
    </xf>
    <xf numFmtId="0" fontId="44" fillId="0" borderId="69" xfId="53" applyFont="1" applyFill="1" applyBorder="1" applyAlignment="1">
      <alignment horizontal="left" vertical="center" wrapText="1"/>
    </xf>
    <xf numFmtId="0" fontId="44" fillId="0" borderId="69" xfId="53" applyFont="1" applyFill="1" applyBorder="1" applyAlignment="1">
      <alignment horizontal="center" vertical="center"/>
    </xf>
    <xf numFmtId="0" fontId="45" fillId="32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Fill="1" applyBorder="1" applyAlignment="1">
      <alignment vertical="center"/>
    </xf>
    <xf numFmtId="0" fontId="45" fillId="29" borderId="0" xfId="53" applyFont="1" applyFill="1" applyBorder="1" applyAlignment="1">
      <alignment horizontal="center" vertical="center" wrapText="1"/>
    </xf>
    <xf numFmtId="0" fontId="45" fillId="29" borderId="0" xfId="53" applyFont="1" applyFill="1" applyBorder="1" applyAlignment="1">
      <alignment horizontal="center" vertical="center"/>
    </xf>
    <xf numFmtId="0" fontId="45" fillId="29" borderId="0" xfId="59" applyNumberFormat="1" applyFont="1" applyFill="1" applyBorder="1" applyAlignment="1" applyProtection="1">
      <alignment horizontal="center" vertical="center"/>
    </xf>
    <xf numFmtId="0" fontId="45" fillId="0" borderId="0" xfId="53" applyFont="1" applyFill="1" applyAlignment="1">
      <alignment horizontal="center" vertical="center" wrapText="1"/>
    </xf>
    <xf numFmtId="0" fontId="45" fillId="29" borderId="0" xfId="53" applyFont="1" applyFill="1" applyAlignment="1">
      <alignment vertical="center"/>
    </xf>
    <xf numFmtId="0" fontId="45" fillId="29" borderId="0" xfId="53" applyFont="1" applyFill="1" applyBorder="1" applyAlignment="1">
      <alignment vertical="center"/>
    </xf>
    <xf numFmtId="0" fontId="44" fillId="0" borderId="0" xfId="53" applyFont="1" applyAlignment="1">
      <alignment wrapText="1"/>
    </xf>
    <xf numFmtId="0" fontId="6" fillId="0" borderId="0" xfId="53" applyFill="1"/>
    <xf numFmtId="0" fontId="8" fillId="0" borderId="0" xfId="53" applyFont="1" applyAlignment="1">
      <alignment horizontal="center" vertical="center"/>
    </xf>
    <xf numFmtId="0" fontId="13" fillId="24" borderId="19" xfId="53" applyFont="1" applyFill="1" applyBorder="1" applyAlignment="1">
      <alignment horizontal="center" vertical="center" wrapText="1"/>
    </xf>
    <xf numFmtId="0" fontId="13" fillId="24" borderId="12" xfId="53" applyFont="1" applyFill="1" applyBorder="1" applyAlignment="1">
      <alignment horizontal="center" vertical="center" wrapText="1"/>
    </xf>
    <xf numFmtId="1" fontId="13" fillId="24" borderId="60" xfId="54" applyNumberFormat="1" applyFont="1" applyFill="1" applyBorder="1" applyAlignment="1">
      <alignment horizontal="center" vertical="center"/>
    </xf>
    <xf numFmtId="1" fontId="13" fillId="24" borderId="66" xfId="54" applyNumberFormat="1" applyFont="1" applyFill="1" applyBorder="1" applyAlignment="1">
      <alignment horizontal="center" vertical="center"/>
    </xf>
    <xf numFmtId="0" fontId="34" fillId="0" borderId="0" xfId="0" applyFont="1"/>
    <xf numFmtId="0" fontId="33" fillId="0" borderId="0" xfId="0" applyFont="1" applyAlignment="1"/>
    <xf numFmtId="0" fontId="34" fillId="0" borderId="0" xfId="0" applyFont="1" applyAlignment="1"/>
    <xf numFmtId="0" fontId="33" fillId="0" borderId="0" xfId="0" applyFont="1" applyAlignment="1">
      <alignment vertical="center"/>
    </xf>
    <xf numFmtId="0" fontId="35" fillId="0" borderId="0" xfId="0" applyFont="1" applyAlignment="1"/>
    <xf numFmtId="0" fontId="36" fillId="0" borderId="0" xfId="0" applyFont="1" applyAlignment="1"/>
    <xf numFmtId="0" fontId="36" fillId="0" borderId="0" xfId="0" applyFont="1"/>
    <xf numFmtId="0" fontId="35" fillId="24" borderId="50" xfId="0" applyFont="1" applyFill="1" applyBorder="1" applyAlignment="1">
      <alignment horizontal="center" vertical="center" wrapText="1"/>
    </xf>
    <xf numFmtId="0" fontId="35" fillId="24" borderId="40" xfId="0" applyFont="1" applyFill="1" applyBorder="1" applyAlignment="1">
      <alignment horizontal="center" vertical="center" wrapText="1"/>
    </xf>
    <xf numFmtId="0" fontId="32" fillId="0" borderId="34" xfId="0" applyFont="1" applyBorder="1" applyAlignment="1"/>
    <xf numFmtId="0" fontId="32" fillId="0" borderId="29" xfId="0" applyFont="1" applyBorder="1" applyAlignment="1">
      <alignment horizontal="center"/>
    </xf>
    <xf numFmtId="1" fontId="32" fillId="0" borderId="29" xfId="0" applyNumberFormat="1" applyFont="1" applyBorder="1"/>
    <xf numFmtId="1" fontId="32" fillId="26" borderId="29" xfId="0" applyNumberFormat="1" applyFont="1" applyFill="1" applyBorder="1"/>
    <xf numFmtId="1" fontId="32" fillId="0" borderId="29" xfId="0" applyNumberFormat="1" applyFont="1" applyFill="1" applyBorder="1"/>
    <xf numFmtId="0" fontId="38" fillId="0" borderId="0" xfId="0" applyFont="1"/>
    <xf numFmtId="0" fontId="32" fillId="0" borderId="17" xfId="0" applyFont="1" applyBorder="1" applyAlignment="1"/>
    <xf numFmtId="0" fontId="32" fillId="0" borderId="11" xfId="0" applyFont="1" applyBorder="1" applyAlignment="1">
      <alignment horizontal="center"/>
    </xf>
    <xf numFmtId="1" fontId="32" fillId="0" borderId="11" xfId="0" applyNumberFormat="1" applyFont="1" applyBorder="1"/>
    <xf numFmtId="1" fontId="32" fillId="26" borderId="11" xfId="0" applyNumberFormat="1" applyFont="1" applyFill="1" applyBorder="1"/>
    <xf numFmtId="1" fontId="32" fillId="0" borderId="11" xfId="0" applyNumberFormat="1" applyFont="1" applyFill="1" applyBorder="1"/>
    <xf numFmtId="0" fontId="32" fillId="0" borderId="17" xfId="0" applyFont="1" applyFill="1" applyBorder="1" applyAlignment="1"/>
    <xf numFmtId="0" fontId="40" fillId="0" borderId="11" xfId="0" applyFont="1" applyBorder="1" applyAlignment="1">
      <alignment horizontal="center"/>
    </xf>
    <xf numFmtId="1" fontId="40" fillId="0" borderId="29" xfId="0" applyNumberFormat="1" applyFont="1" applyBorder="1"/>
    <xf numFmtId="1" fontId="40" fillId="0" borderId="11" xfId="0" applyNumberFormat="1" applyFont="1" applyBorder="1"/>
    <xf numFmtId="0" fontId="36" fillId="0" borderId="0" xfId="0" applyFont="1" applyFill="1"/>
    <xf numFmtId="0" fontId="32" fillId="0" borderId="19" xfId="0" applyFont="1" applyFill="1" applyBorder="1"/>
    <xf numFmtId="0" fontId="32" fillId="0" borderId="12" xfId="0" applyFont="1" applyBorder="1"/>
    <xf numFmtId="0" fontId="32" fillId="26" borderId="12" xfId="0" applyFont="1" applyFill="1" applyBorder="1"/>
    <xf numFmtId="0" fontId="32" fillId="0" borderId="12" xfId="0" applyFont="1" applyFill="1" applyBorder="1"/>
    <xf numFmtId="0" fontId="45" fillId="30" borderId="69" xfId="53" applyNumberFormat="1" applyFont="1" applyFill="1" applyBorder="1" applyAlignment="1">
      <alignment horizontal="center" vertical="center"/>
    </xf>
    <xf numFmtId="0" fontId="45" fillId="0" borderId="69" xfId="53" applyNumberFormat="1" applyFont="1" applyBorder="1" applyAlignment="1">
      <alignment horizontal="center" vertical="center"/>
    </xf>
    <xf numFmtId="0" fontId="45" fillId="0" borderId="69" xfId="53" applyNumberFormat="1" applyFont="1" applyFill="1" applyBorder="1" applyAlignment="1">
      <alignment horizontal="center" vertical="center"/>
    </xf>
    <xf numFmtId="0" fontId="45" fillId="29" borderId="69" xfId="53" applyNumberFormat="1" applyFont="1" applyFill="1" applyBorder="1" applyAlignment="1">
      <alignment horizontal="center" vertical="center"/>
    </xf>
    <xf numFmtId="0" fontId="2" fillId="0" borderId="0" xfId="60"/>
    <xf numFmtId="0" fontId="41" fillId="25" borderId="11" xfId="60" applyFont="1" applyFill="1" applyBorder="1" applyAlignment="1">
      <alignment horizontal="center"/>
    </xf>
    <xf numFmtId="0" fontId="41" fillId="25" borderId="11" xfId="60" applyFont="1" applyFill="1" applyBorder="1" applyAlignment="1">
      <alignment horizontal="center" vertical="center"/>
    </xf>
    <xf numFmtId="0" fontId="41" fillId="25" borderId="15" xfId="60" applyFont="1" applyFill="1" applyBorder="1" applyAlignment="1">
      <alignment horizontal="center"/>
    </xf>
    <xf numFmtId="0" fontId="42" fillId="25" borderId="11" xfId="60" applyFont="1" applyFill="1" applyBorder="1" applyAlignment="1">
      <alignment horizontal="center" vertical="center" wrapText="1"/>
    </xf>
    <xf numFmtId="0" fontId="42" fillId="25" borderId="15" xfId="60" applyFont="1" applyFill="1" applyBorder="1" applyAlignment="1">
      <alignment horizontal="center" vertical="center" wrapText="1"/>
    </xf>
    <xf numFmtId="0" fontId="41" fillId="0" borderId="11" xfId="60" applyFont="1" applyFill="1" applyBorder="1"/>
    <xf numFmtId="0" fontId="42" fillId="0" borderId="11" xfId="60" applyFont="1" applyFill="1" applyBorder="1" applyAlignment="1">
      <alignment horizontal="center"/>
    </xf>
    <xf numFmtId="0" fontId="2" fillId="0" borderId="11" xfId="60" applyBorder="1"/>
    <xf numFmtId="166" fontId="2" fillId="0" borderId="11" xfId="60" applyNumberFormat="1" applyBorder="1"/>
    <xf numFmtId="0" fontId="43" fillId="27" borderId="11" xfId="60" applyFont="1" applyFill="1" applyBorder="1"/>
    <xf numFmtId="0" fontId="42" fillId="27" borderId="11" xfId="60" applyFont="1" applyFill="1" applyBorder="1" applyAlignment="1">
      <alignment horizontal="center"/>
    </xf>
    <xf numFmtId="0" fontId="2" fillId="27" borderId="11" xfId="60" applyFill="1" applyBorder="1"/>
    <xf numFmtId="168" fontId="2" fillId="27" borderId="11" xfId="60" applyNumberFormat="1" applyFill="1" applyBorder="1" applyAlignment="1">
      <alignment horizontal="center"/>
    </xf>
    <xf numFmtId="166" fontId="2" fillId="0" borderId="0" xfId="60" applyNumberFormat="1"/>
    <xf numFmtId="168" fontId="2" fillId="0" borderId="11" xfId="60" applyNumberFormat="1" applyBorder="1" applyAlignment="1">
      <alignment horizontal="center"/>
    </xf>
    <xf numFmtId="0" fontId="41" fillId="0" borderId="11" xfId="60" applyFont="1" applyFill="1" applyBorder="1" applyAlignment="1">
      <alignment horizontal="center"/>
    </xf>
    <xf numFmtId="166" fontId="2" fillId="27" borderId="11" xfId="60" applyNumberFormat="1" applyFill="1" applyBorder="1"/>
    <xf numFmtId="1" fontId="2" fillId="0" borderId="11" xfId="60" applyNumberFormat="1" applyBorder="1" applyAlignment="1">
      <alignment horizontal="center"/>
    </xf>
    <xf numFmtId="9" fontId="0" fillId="0" borderId="11" xfId="61" applyFont="1" applyBorder="1" applyAlignment="1">
      <alignment horizontal="center"/>
    </xf>
    <xf numFmtId="0" fontId="1" fillId="0" borderId="0" xfId="62"/>
    <xf numFmtId="0" fontId="14" fillId="28" borderId="26" xfId="53" applyFont="1" applyFill="1" applyBorder="1" applyAlignment="1">
      <alignment horizontal="center" vertical="center"/>
    </xf>
    <xf numFmtId="0" fontId="14" fillId="28" borderId="70" xfId="53" applyFont="1" applyFill="1" applyBorder="1" applyAlignment="1">
      <alignment horizontal="center" vertical="center"/>
    </xf>
    <xf numFmtId="0" fontId="14" fillId="28" borderId="23" xfId="53" applyFont="1" applyFill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13" fillId="24" borderId="10" xfId="0" applyFont="1" applyFill="1" applyBorder="1" applyAlignment="1">
      <alignment horizontal="center"/>
    </xf>
    <xf numFmtId="0" fontId="13" fillId="24" borderId="14" xfId="0" applyFont="1" applyFill="1" applyBorder="1" applyAlignment="1">
      <alignment horizontal="center"/>
    </xf>
    <xf numFmtId="0" fontId="8" fillId="0" borderId="31" xfId="0" applyFont="1" applyBorder="1" applyAlignment="1"/>
    <xf numFmtId="0" fontId="8" fillId="0" borderId="0" xfId="0" applyFont="1" applyBorder="1" applyAlignment="1"/>
    <xf numFmtId="0" fontId="13" fillId="24" borderId="22" xfId="0" applyFont="1" applyFill="1" applyBorder="1" applyAlignment="1">
      <alignment horizontal="center" vertical="center"/>
    </xf>
    <xf numFmtId="0" fontId="13" fillId="24" borderId="17" xfId="0" applyFont="1" applyFill="1" applyBorder="1" applyAlignment="1">
      <alignment horizontal="center" vertical="center"/>
    </xf>
    <xf numFmtId="0" fontId="13" fillId="24" borderId="19" xfId="0" applyFont="1" applyFill="1" applyBorder="1" applyAlignment="1">
      <alignment horizontal="center" vertical="center"/>
    </xf>
    <xf numFmtId="0" fontId="13" fillId="24" borderId="10" xfId="0" applyFont="1" applyFill="1" applyBorder="1" applyAlignment="1">
      <alignment horizontal="center" vertical="center" wrapText="1"/>
    </xf>
    <xf numFmtId="0" fontId="13" fillId="24" borderId="11" xfId="0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 wrapText="1"/>
    </xf>
    <xf numFmtId="1" fontId="13" fillId="24" borderId="20" xfId="32" applyNumberFormat="1" applyFont="1" applyFill="1" applyBorder="1" applyAlignment="1">
      <alignment horizontal="center" vertical="center"/>
    </xf>
    <xf numFmtId="1" fontId="13" fillId="24" borderId="56" xfId="32" applyNumberFormat="1" applyFont="1" applyFill="1" applyBorder="1" applyAlignment="1">
      <alignment horizontal="center" vertical="center"/>
    </xf>
    <xf numFmtId="1" fontId="13" fillId="24" borderId="18" xfId="32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/>
    <xf numFmtId="0" fontId="33" fillId="24" borderId="22" xfId="0" applyFont="1" applyFill="1" applyBorder="1" applyAlignment="1">
      <alignment horizontal="center" vertical="center"/>
    </xf>
    <xf numFmtId="0" fontId="33" fillId="24" borderId="17" xfId="0" applyFont="1" applyFill="1" applyBorder="1" applyAlignment="1">
      <alignment horizontal="center" vertical="center"/>
    </xf>
    <xf numFmtId="0" fontId="33" fillId="24" borderId="19" xfId="0" applyFont="1" applyFill="1" applyBorder="1" applyAlignment="1">
      <alignment horizontal="center" vertical="center"/>
    </xf>
    <xf numFmtId="0" fontId="33" fillId="24" borderId="65" xfId="0" applyFont="1" applyFill="1" applyBorder="1" applyAlignment="1">
      <alignment horizontal="center" vertical="center" wrapText="1"/>
    </xf>
    <xf numFmtId="0" fontId="33" fillId="24" borderId="28" xfId="0" applyFont="1" applyFill="1" applyBorder="1" applyAlignment="1">
      <alignment horizontal="center" vertical="center" wrapText="1"/>
    </xf>
    <xf numFmtId="0" fontId="33" fillId="24" borderId="47" xfId="0" applyFont="1" applyFill="1" applyBorder="1" applyAlignment="1">
      <alignment horizontal="center" vertical="center" wrapText="1"/>
    </xf>
    <xf numFmtId="0" fontId="35" fillId="24" borderId="41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5" fillId="24" borderId="12" xfId="0" applyFont="1" applyFill="1" applyBorder="1" applyAlignment="1">
      <alignment horizontal="center" vertical="center" wrapText="1"/>
    </xf>
    <xf numFmtId="2" fontId="37" fillId="24" borderId="43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33" fillId="24" borderId="43" xfId="32" quotePrefix="1" applyNumberFormat="1" applyFont="1" applyFill="1" applyBorder="1" applyAlignment="1">
      <alignment horizontal="center" vertical="center"/>
    </xf>
    <xf numFmtId="0" fontId="13" fillId="0" borderId="57" xfId="53" applyFont="1" applyBorder="1" applyAlignment="1">
      <alignment horizontal="center" vertical="center" wrapText="1"/>
    </xf>
    <xf numFmtId="0" fontId="13" fillId="0" borderId="60" xfId="53" applyFont="1" applyBorder="1" applyAlignment="1">
      <alignment horizontal="center" vertical="center" wrapText="1"/>
    </xf>
    <xf numFmtId="0" fontId="13" fillId="0" borderId="0" xfId="53" applyFont="1" applyBorder="1" applyAlignment="1">
      <alignment horizontal="center" vertical="center" wrapText="1"/>
    </xf>
    <xf numFmtId="0" fontId="13" fillId="0" borderId="62" xfId="53" applyFont="1" applyBorder="1" applyAlignment="1">
      <alignment horizontal="center" vertical="center" wrapText="1"/>
    </xf>
    <xf numFmtId="0" fontId="13" fillId="0" borderId="58" xfId="53" applyFont="1" applyBorder="1" applyAlignment="1">
      <alignment horizontal="center" vertical="center" wrapText="1"/>
    </xf>
    <xf numFmtId="0" fontId="13" fillId="0" borderId="56" xfId="53" applyFont="1" applyBorder="1" applyAlignment="1">
      <alignment horizontal="center" vertical="center" wrapText="1"/>
    </xf>
    <xf numFmtId="0" fontId="13" fillId="0" borderId="18" xfId="53" applyFont="1" applyBorder="1" applyAlignment="1">
      <alignment horizontal="center" vertical="center" wrapText="1"/>
    </xf>
    <xf numFmtId="0" fontId="8" fillId="0" borderId="0" xfId="53" applyFont="1" applyAlignment="1">
      <alignment horizontal="center" vertical="center"/>
    </xf>
    <xf numFmtId="0" fontId="13" fillId="24" borderId="22" xfId="53" applyFont="1" applyFill="1" applyBorder="1" applyAlignment="1">
      <alignment horizontal="center" vertical="center" wrapText="1"/>
    </xf>
    <xf numFmtId="0" fontId="13" fillId="24" borderId="17" xfId="53" applyFont="1" applyFill="1" applyBorder="1" applyAlignment="1">
      <alignment horizontal="center" vertical="center" wrapText="1"/>
    </xf>
    <xf numFmtId="0" fontId="13" fillId="24" borderId="19" xfId="53" applyFont="1" applyFill="1" applyBorder="1" applyAlignment="1">
      <alignment horizontal="center" vertical="center" wrapText="1"/>
    </xf>
    <xf numFmtId="0" fontId="13" fillId="24" borderId="10" xfId="53" applyFont="1" applyFill="1" applyBorder="1" applyAlignment="1">
      <alignment horizontal="center" vertical="center" wrapText="1"/>
    </xf>
    <xf numFmtId="0" fontId="13" fillId="24" borderId="11" xfId="53" applyFont="1" applyFill="1" applyBorder="1" applyAlignment="1">
      <alignment horizontal="center" vertical="center" wrapText="1"/>
    </xf>
    <xf numFmtId="0" fontId="13" fillId="24" borderId="12" xfId="53" applyFont="1" applyFill="1" applyBorder="1" applyAlignment="1">
      <alignment horizontal="center" vertical="center" wrapText="1"/>
    </xf>
    <xf numFmtId="0" fontId="7" fillId="24" borderId="13" xfId="53" applyFont="1" applyFill="1" applyBorder="1" applyAlignment="1">
      <alignment horizontal="center" vertical="center"/>
    </xf>
    <xf numFmtId="0" fontId="7" fillId="24" borderId="59" xfId="53" applyFont="1" applyFill="1" applyBorder="1" applyAlignment="1">
      <alignment horizontal="center" vertical="center"/>
    </xf>
    <xf numFmtId="1" fontId="13" fillId="24" borderId="57" xfId="54" applyNumberFormat="1" applyFont="1" applyFill="1" applyBorder="1" applyAlignment="1">
      <alignment horizontal="center" vertical="center"/>
    </xf>
    <xf numFmtId="1" fontId="13" fillId="24" borderId="60" xfId="54" applyNumberFormat="1" applyFont="1" applyFill="1" applyBorder="1" applyAlignment="1">
      <alignment horizontal="center" vertical="center"/>
    </xf>
    <xf numFmtId="1" fontId="13" fillId="24" borderId="66" xfId="54" applyNumberFormat="1" applyFont="1" applyFill="1" applyBorder="1" applyAlignment="1">
      <alignment horizontal="center" vertical="center"/>
    </xf>
    <xf numFmtId="0" fontId="41" fillId="25" borderId="17" xfId="60" applyFont="1" applyFill="1" applyBorder="1" applyAlignment="1">
      <alignment horizontal="center" vertical="center" wrapText="1"/>
    </xf>
    <xf numFmtId="0" fontId="42" fillId="25" borderId="17" xfId="60" applyFont="1" applyFill="1" applyBorder="1" applyAlignment="1">
      <alignment horizontal="center" vertical="center" wrapText="1"/>
    </xf>
    <xf numFmtId="0" fontId="42" fillId="25" borderId="17" xfId="60" applyFont="1" applyFill="1" applyBorder="1" applyAlignment="1">
      <alignment wrapText="1"/>
    </xf>
    <xf numFmtId="0" fontId="42" fillId="25" borderId="19" xfId="60" applyFont="1" applyFill="1" applyBorder="1" applyAlignment="1">
      <alignment wrapText="1"/>
    </xf>
    <xf numFmtId="0" fontId="41" fillId="25" borderId="17" xfId="60" applyFont="1" applyFill="1" applyBorder="1" applyAlignment="1"/>
    <xf numFmtId="0" fontId="41" fillId="25" borderId="11" xfId="60" applyFont="1" applyFill="1" applyBorder="1" applyAlignment="1"/>
    <xf numFmtId="0" fontId="41" fillId="25" borderId="27" xfId="60" applyFont="1" applyFill="1" applyBorder="1" applyAlignment="1">
      <alignment horizontal="center" vertical="center"/>
    </xf>
    <xf numFmtId="0" fontId="42" fillId="25" borderId="63" xfId="60" applyFont="1" applyFill="1" applyBorder="1" applyAlignment="1"/>
    <xf numFmtId="0" fontId="42" fillId="25" borderId="64" xfId="60" applyFont="1" applyFill="1" applyBorder="1" applyAlignment="1"/>
    <xf numFmtId="0" fontId="42" fillId="25" borderId="35" xfId="60" applyFont="1" applyFill="1" applyBorder="1" applyAlignment="1"/>
    <xf numFmtId="0" fontId="42" fillId="25" borderId="61" xfId="60" applyFont="1" applyFill="1" applyBorder="1" applyAlignment="1"/>
    <xf numFmtId="0" fontId="42" fillId="25" borderId="62" xfId="60" applyFont="1" applyFill="1" applyBorder="1" applyAlignment="1"/>
    <xf numFmtId="0" fontId="41" fillId="25" borderId="20" xfId="60" applyFont="1" applyFill="1" applyBorder="1" applyAlignment="1">
      <alignment horizontal="center" vertical="center"/>
    </xf>
    <xf numFmtId="0" fontId="42" fillId="25" borderId="56" xfId="60" applyFont="1" applyFill="1" applyBorder="1" applyAlignment="1"/>
    <xf numFmtId="0" fontId="42" fillId="25" borderId="18" xfId="60" applyFont="1" applyFill="1" applyBorder="1" applyAlignment="1"/>
    <xf numFmtId="0" fontId="41" fillId="25" borderId="11" xfId="60" applyFont="1" applyFill="1" applyBorder="1" applyAlignment="1">
      <alignment wrapText="1"/>
    </xf>
    <xf numFmtId="0" fontId="41" fillId="25" borderId="17" xfId="60" applyFont="1" applyFill="1" applyBorder="1" applyAlignment="1">
      <alignment wrapText="1"/>
    </xf>
    <xf numFmtId="0" fontId="42" fillId="25" borderId="11" xfId="60" applyFont="1" applyFill="1" applyBorder="1" applyAlignment="1">
      <alignment horizontal="center" vertical="center" wrapText="1"/>
    </xf>
    <xf numFmtId="0" fontId="42" fillId="25" borderId="11" xfId="60" applyFont="1" applyFill="1" applyBorder="1" applyAlignment="1"/>
    <xf numFmtId="0" fontId="42" fillId="25" borderId="11" xfId="60" applyFont="1" applyFill="1" applyBorder="1" applyAlignment="1">
      <alignment wrapText="1"/>
    </xf>
    <xf numFmtId="0" fontId="41" fillId="25" borderId="11" xfId="60" applyFont="1" applyFill="1" applyBorder="1" applyAlignment="1">
      <alignment horizontal="center" vertical="center"/>
    </xf>
    <xf numFmtId="0" fontId="41" fillId="25" borderId="15" xfId="60" applyFont="1" applyFill="1" applyBorder="1" applyAlignment="1">
      <alignment horizontal="center" vertical="center"/>
    </xf>
    <xf numFmtId="0" fontId="47" fillId="0" borderId="0" xfId="53" applyFont="1" applyBorder="1" applyAlignment="1">
      <alignment horizontal="center" vertical="center" wrapText="1"/>
    </xf>
    <xf numFmtId="0" fontId="48" fillId="0" borderId="0" xfId="53" applyFont="1" applyBorder="1" applyAlignment="1">
      <alignment horizontal="center" vertical="center" wrapText="1"/>
    </xf>
    <xf numFmtId="0" fontId="48" fillId="31" borderId="69" xfId="53" applyFont="1" applyFill="1" applyBorder="1" applyAlignment="1">
      <alignment horizontal="center" vertical="center" wrapText="1"/>
    </xf>
    <xf numFmtId="10" fontId="49" fillId="31" borderId="69" xfId="53" applyNumberFormat="1" applyFont="1" applyFill="1" applyBorder="1" applyAlignment="1">
      <alignment horizontal="center" vertical="center" wrapText="1"/>
    </xf>
    <xf numFmtId="10" fontId="50" fillId="31" borderId="69" xfId="53" applyNumberFormat="1" applyFont="1" applyFill="1" applyBorder="1" applyAlignment="1">
      <alignment horizontal="center" vertical="center" wrapText="1"/>
    </xf>
  </cellXfs>
  <cellStyles count="6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Neutral" xfId="33" builtinId="28" customBuiltin="1"/>
    <cellStyle name="Normal" xfId="0" builtinId="0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104775</xdr:rowOff>
    </xdr:from>
    <xdr:to>
      <xdr:col>1</xdr:col>
      <xdr:colOff>2657475</xdr:colOff>
      <xdr:row>5</xdr:row>
      <xdr:rowOff>95250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04775"/>
          <a:ext cx="2638425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opLeftCell="A13" zoomScaleNormal="75" zoomScaleSheetLayoutView="100" workbookViewId="0">
      <selection activeCell="K24" sqref="K24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337" t="s">
        <v>89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9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342" t="s">
        <v>156</v>
      </c>
      <c r="B3" s="343"/>
      <c r="C3" s="343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54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251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344" t="s">
        <v>3</v>
      </c>
      <c r="B9" s="347" t="s">
        <v>0</v>
      </c>
      <c r="C9" s="347" t="s">
        <v>1</v>
      </c>
      <c r="D9" s="75"/>
      <c r="E9" s="75"/>
      <c r="F9" s="340"/>
      <c r="G9" s="340"/>
      <c r="H9" s="340"/>
      <c r="I9" s="340"/>
      <c r="J9" s="340"/>
      <c r="K9" s="341"/>
      <c r="L9" s="79"/>
      <c r="M9" s="4"/>
      <c r="N9" s="4"/>
      <c r="O9" s="73"/>
    </row>
    <row r="10" spans="1:15" x14ac:dyDescent="0.2">
      <c r="A10" s="345"/>
      <c r="B10" s="348"/>
      <c r="C10" s="348"/>
      <c r="D10" s="76"/>
      <c r="E10" s="76">
        <v>2006</v>
      </c>
      <c r="F10" s="3">
        <v>2015</v>
      </c>
      <c r="G10" s="3">
        <v>2016</v>
      </c>
      <c r="H10" s="350">
        <v>2016</v>
      </c>
      <c r="I10" s="351"/>
      <c r="J10" s="351"/>
      <c r="K10" s="352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346"/>
      <c r="B11" s="349"/>
      <c r="C11" s="349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2</v>
      </c>
      <c r="G13" s="102">
        <v>0</v>
      </c>
      <c r="H13" s="102">
        <v>0</v>
      </c>
      <c r="I13" s="56">
        <v>0</v>
      </c>
      <c r="J13" s="57">
        <v>0</v>
      </c>
      <c r="K13" s="100">
        <v>0</v>
      </c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261</v>
      </c>
      <c r="G14" s="104">
        <v>300</v>
      </c>
      <c r="H14" s="104">
        <v>49</v>
      </c>
      <c r="I14" s="103">
        <v>100</v>
      </c>
      <c r="J14" s="105">
        <v>27</v>
      </c>
      <c r="K14" s="99">
        <v>93</v>
      </c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565</v>
      </c>
      <c r="G15" s="104">
        <v>800</v>
      </c>
      <c r="H15" s="104">
        <v>374</v>
      </c>
      <c r="I15" s="103">
        <v>139</v>
      </c>
      <c r="J15" s="105">
        <v>156</v>
      </c>
      <c r="K15" s="99">
        <v>164</v>
      </c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74</v>
      </c>
      <c r="G16" s="104">
        <v>80</v>
      </c>
      <c r="H16" s="104">
        <v>16</v>
      </c>
      <c r="I16" s="103">
        <v>28</v>
      </c>
      <c r="J16" s="105">
        <v>44</v>
      </c>
      <c r="K16" s="99">
        <v>17</v>
      </c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109</v>
      </c>
      <c r="G17" s="104">
        <v>150</v>
      </c>
      <c r="H17" s="104">
        <v>27</v>
      </c>
      <c r="I17" s="103">
        <v>40</v>
      </c>
      <c r="J17" s="105">
        <v>55</v>
      </c>
      <c r="K17" s="99">
        <v>33</v>
      </c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1091</v>
      </c>
      <c r="G18" s="104">
        <v>1300</v>
      </c>
      <c r="H18" s="104">
        <v>176</v>
      </c>
      <c r="I18" s="103">
        <v>234</v>
      </c>
      <c r="J18" s="105">
        <v>238</v>
      </c>
      <c r="K18" s="99">
        <v>265</v>
      </c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57</v>
      </c>
      <c r="G19" s="104">
        <v>80</v>
      </c>
      <c r="H19" s="104">
        <v>17</v>
      </c>
      <c r="I19" s="103">
        <v>18</v>
      </c>
      <c r="J19" s="105">
        <v>25</v>
      </c>
      <c r="K19" s="99">
        <v>12</v>
      </c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39</v>
      </c>
      <c r="G20" s="106">
        <v>30</v>
      </c>
      <c r="H20" s="106">
        <v>6</v>
      </c>
      <c r="I20" s="60">
        <v>8</v>
      </c>
      <c r="J20" s="61">
        <v>7</v>
      </c>
      <c r="K20" s="101">
        <v>10</v>
      </c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18</v>
      </c>
      <c r="G21" s="104">
        <v>20</v>
      </c>
      <c r="H21" s="104">
        <v>11</v>
      </c>
      <c r="I21" s="103">
        <v>13</v>
      </c>
      <c r="J21" s="105">
        <v>1</v>
      </c>
      <c r="K21" s="99">
        <v>0</v>
      </c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526</v>
      </c>
      <c r="G22" s="104">
        <v>700</v>
      </c>
      <c r="H22" s="104">
        <v>136</v>
      </c>
      <c r="I22" s="103">
        <v>110</v>
      </c>
      <c r="J22" s="105">
        <v>99</v>
      </c>
      <c r="K22" s="99">
        <v>90</v>
      </c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192</v>
      </c>
      <c r="G23" s="106">
        <v>250</v>
      </c>
      <c r="H23" s="106">
        <v>28</v>
      </c>
      <c r="I23" s="60">
        <v>20</v>
      </c>
      <c r="J23" s="61">
        <v>90</v>
      </c>
      <c r="K23" s="101">
        <v>79</v>
      </c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10000</v>
      </c>
      <c r="G36" s="104">
        <v>7500</v>
      </c>
      <c r="H36" s="103">
        <v>2000</v>
      </c>
      <c r="I36" s="103">
        <v>3400</v>
      </c>
      <c r="J36" s="105">
        <v>2150</v>
      </c>
      <c r="K36" s="99">
        <v>2190</v>
      </c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3408</v>
      </c>
      <c r="G37" s="104">
        <v>2060</v>
      </c>
      <c r="H37" s="103">
        <v>400</v>
      </c>
      <c r="I37" s="103">
        <v>85</v>
      </c>
      <c r="J37" s="105">
        <v>270</v>
      </c>
      <c r="K37" s="99">
        <v>320</v>
      </c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1202</v>
      </c>
      <c r="G38" s="104">
        <v>850</v>
      </c>
      <c r="H38" s="103">
        <v>200</v>
      </c>
      <c r="I38" s="103">
        <v>220</v>
      </c>
      <c r="J38" s="105">
        <v>310</v>
      </c>
      <c r="K38" s="99">
        <v>350</v>
      </c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4420</v>
      </c>
      <c r="G39" s="104">
        <v>3030</v>
      </c>
      <c r="H39" s="103">
        <v>900</v>
      </c>
      <c r="I39" s="103">
        <v>400</v>
      </c>
      <c r="J39" s="105">
        <v>400</v>
      </c>
      <c r="K39" s="99">
        <v>400</v>
      </c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291</v>
      </c>
      <c r="G40" s="120">
        <v>214</v>
      </c>
      <c r="H40" s="103">
        <v>51</v>
      </c>
      <c r="I40" s="121">
        <v>76</v>
      </c>
      <c r="J40" s="122">
        <v>86</v>
      </c>
      <c r="K40" s="123">
        <v>92</v>
      </c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4"/>
      <c r="G41" s="109"/>
      <c r="H41" s="125"/>
      <c r="I41" s="125"/>
      <c r="J41" s="125"/>
      <c r="K41" s="126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17669</v>
      </c>
      <c r="G42" s="102">
        <v>18552</v>
      </c>
      <c r="H42" s="55">
        <v>4756</v>
      </c>
      <c r="I42" s="56">
        <v>4710</v>
      </c>
      <c r="J42" s="57">
        <v>5806</v>
      </c>
      <c r="K42" s="100">
        <v>7513</v>
      </c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18405</v>
      </c>
      <c r="G43" s="106">
        <v>19325</v>
      </c>
      <c r="H43" s="59">
        <v>5202</v>
      </c>
      <c r="I43" s="60">
        <v>5391</v>
      </c>
      <c r="J43" s="61">
        <v>6584</v>
      </c>
      <c r="K43" s="101">
        <v>8084</v>
      </c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4"/>
      <c r="G44" s="109"/>
      <c r="H44" s="125"/>
      <c r="I44" s="125"/>
      <c r="J44" s="125"/>
      <c r="K44" s="126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500</v>
      </c>
      <c r="G45" s="112">
        <v>1200</v>
      </c>
      <c r="H45" s="102">
        <v>310</v>
      </c>
      <c r="I45" s="56">
        <v>100</v>
      </c>
      <c r="J45" s="57">
        <v>226</v>
      </c>
      <c r="K45" s="100">
        <v>137</v>
      </c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7">
        <v>900</v>
      </c>
      <c r="G46" s="128">
        <f>350*4</f>
        <v>1400</v>
      </c>
      <c r="H46" s="129">
        <v>350</v>
      </c>
      <c r="I46" s="127">
        <v>700</v>
      </c>
      <c r="J46" s="130">
        <v>70</v>
      </c>
      <c r="K46" s="131">
        <v>400</v>
      </c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9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="75" zoomScaleNormal="75" zoomScaleSheetLayoutView="85" workbookViewId="0">
      <selection sqref="A1:H1"/>
    </sheetView>
  </sheetViews>
  <sheetFormatPr baseColWidth="10" defaultRowHeight="12.75" x14ac:dyDescent="0.2"/>
  <cols>
    <col min="1" max="1" width="76.7109375" style="286" bestFit="1" customWidth="1"/>
    <col min="2" max="2" width="17" style="286" customWidth="1"/>
    <col min="3" max="3" width="13.5703125" style="286" customWidth="1"/>
    <col min="4" max="5" width="14.7109375" style="286" customWidth="1"/>
    <col min="6" max="6" width="13.5703125" style="286" customWidth="1"/>
    <col min="7" max="7" width="13.140625" style="286" customWidth="1"/>
    <col min="8" max="8" width="14" style="286" customWidth="1"/>
    <col min="9" max="9" width="14.28515625" style="286" customWidth="1"/>
    <col min="10" max="16384" width="11.42578125" style="286"/>
  </cols>
  <sheetData>
    <row r="1" spans="1:11" s="280" customFormat="1" ht="15.75" x14ac:dyDescent="0.25">
      <c r="A1" s="353" t="s">
        <v>89</v>
      </c>
      <c r="B1" s="353"/>
      <c r="C1" s="353"/>
      <c r="D1" s="353"/>
      <c r="E1" s="353"/>
      <c r="F1" s="353"/>
      <c r="G1" s="353"/>
      <c r="H1" s="353"/>
    </row>
    <row r="2" spans="1:11" s="280" customFormat="1" ht="15" customHeight="1" x14ac:dyDescent="0.25">
      <c r="A2" s="281"/>
      <c r="B2" s="281"/>
      <c r="C2" s="282"/>
    </row>
    <row r="3" spans="1:11" s="280" customFormat="1" ht="15" customHeight="1" x14ac:dyDescent="0.25">
      <c r="A3" s="354" t="s">
        <v>77</v>
      </c>
      <c r="B3" s="354"/>
      <c r="C3" s="354"/>
    </row>
    <row r="4" spans="1:11" s="280" customFormat="1" ht="15" customHeight="1" x14ac:dyDescent="0.25">
      <c r="A4" s="283" t="s">
        <v>54</v>
      </c>
      <c r="B4" s="281"/>
      <c r="C4" s="282"/>
    </row>
    <row r="5" spans="1:11" s="280" customFormat="1" ht="15" customHeight="1" x14ac:dyDescent="0.25">
      <c r="A5" s="283" t="s">
        <v>148</v>
      </c>
      <c r="B5" s="281"/>
      <c r="C5" s="282"/>
    </row>
    <row r="6" spans="1:11" s="280" customFormat="1" ht="15" customHeight="1" x14ac:dyDescent="0.25">
      <c r="A6" s="283"/>
      <c r="B6" s="281"/>
      <c r="C6" s="282"/>
    </row>
    <row r="7" spans="1:11" s="280" customFormat="1" ht="15" customHeight="1" x14ac:dyDescent="0.25">
      <c r="A7" s="283" t="s">
        <v>4</v>
      </c>
      <c r="B7" s="281"/>
      <c r="C7" s="282"/>
    </row>
    <row r="8" spans="1:11" ht="15" customHeight="1" thickBot="1" x14ac:dyDescent="0.25">
      <c r="A8" s="283"/>
      <c r="B8" s="284"/>
      <c r="C8" s="285"/>
    </row>
    <row r="9" spans="1:11" ht="13.5" thickBot="1" x14ac:dyDescent="0.25">
      <c r="A9" s="355" t="s">
        <v>3</v>
      </c>
      <c r="B9" s="358" t="s">
        <v>0</v>
      </c>
      <c r="C9" s="361" t="s">
        <v>1</v>
      </c>
      <c r="D9" s="364"/>
      <c r="E9" s="365"/>
      <c r="F9" s="365"/>
      <c r="G9" s="365"/>
      <c r="H9" s="365"/>
      <c r="I9" s="366"/>
    </row>
    <row r="10" spans="1:11" ht="16.5" thickBot="1" x14ac:dyDescent="0.25">
      <c r="A10" s="356"/>
      <c r="B10" s="359"/>
      <c r="C10" s="362"/>
      <c r="D10" s="132" t="s">
        <v>149</v>
      </c>
      <c r="E10" s="367" t="s">
        <v>150</v>
      </c>
      <c r="F10" s="365"/>
      <c r="G10" s="365"/>
      <c r="H10" s="365"/>
      <c r="I10" s="366"/>
    </row>
    <row r="11" spans="1:11" ht="26.25" thickBot="1" x14ac:dyDescent="0.25">
      <c r="A11" s="357"/>
      <c r="B11" s="360"/>
      <c r="C11" s="363"/>
      <c r="D11" s="287" t="s">
        <v>82</v>
      </c>
      <c r="E11" s="287" t="s">
        <v>2</v>
      </c>
      <c r="F11" s="287" t="s">
        <v>83</v>
      </c>
      <c r="G11" s="287" t="s">
        <v>86</v>
      </c>
      <c r="H11" s="287" t="s">
        <v>88</v>
      </c>
      <c r="I11" s="288" t="s">
        <v>90</v>
      </c>
    </row>
    <row r="12" spans="1:11" s="294" customFormat="1" ht="24.95" customHeight="1" x14ac:dyDescent="0.2">
      <c r="A12" s="289" t="s">
        <v>80</v>
      </c>
      <c r="B12" s="290" t="s">
        <v>5</v>
      </c>
      <c r="C12" s="290" t="s">
        <v>78</v>
      </c>
      <c r="D12" s="290">
        <v>1029</v>
      </c>
      <c r="E12" s="291">
        <f>D12*1.1</f>
        <v>1131.9000000000001</v>
      </c>
      <c r="F12" s="291">
        <v>256</v>
      </c>
      <c r="G12" s="291">
        <v>264</v>
      </c>
      <c r="H12" s="292">
        <v>255</v>
      </c>
      <c r="I12" s="293">
        <v>251</v>
      </c>
    </row>
    <row r="13" spans="1:11" s="294" customFormat="1" ht="24.95" customHeight="1" x14ac:dyDescent="0.2">
      <c r="A13" s="295" t="s">
        <v>79</v>
      </c>
      <c r="B13" s="296" t="s">
        <v>5</v>
      </c>
      <c r="C13" s="296" t="s">
        <v>78</v>
      </c>
      <c r="D13" s="290">
        <v>347</v>
      </c>
      <c r="E13" s="291">
        <f t="shared" ref="E13:E15" si="0">D13*1.1</f>
        <v>381.70000000000005</v>
      </c>
      <c r="F13" s="297">
        <v>102</v>
      </c>
      <c r="G13" s="297">
        <v>92</v>
      </c>
      <c r="H13" s="298">
        <v>186</v>
      </c>
      <c r="I13" s="299">
        <v>300</v>
      </c>
    </row>
    <row r="14" spans="1:11" s="294" customFormat="1" ht="24.95" customHeight="1" x14ac:dyDescent="0.2">
      <c r="A14" s="295" t="s">
        <v>81</v>
      </c>
      <c r="B14" s="296" t="s">
        <v>5</v>
      </c>
      <c r="C14" s="296" t="s">
        <v>78</v>
      </c>
      <c r="D14" s="296">
        <v>152</v>
      </c>
      <c r="E14" s="291">
        <f t="shared" si="0"/>
        <v>167.20000000000002</v>
      </c>
      <c r="F14" s="297">
        <v>31</v>
      </c>
      <c r="G14" s="297">
        <v>33</v>
      </c>
      <c r="H14" s="298">
        <v>39</v>
      </c>
      <c r="I14" s="299">
        <v>43</v>
      </c>
    </row>
    <row r="15" spans="1:11" ht="24.95" customHeight="1" x14ac:dyDescent="0.2">
      <c r="A15" s="300" t="s">
        <v>87</v>
      </c>
      <c r="B15" s="296" t="s">
        <v>5</v>
      </c>
      <c r="C15" s="296" t="s">
        <v>78</v>
      </c>
      <c r="D15" s="301">
        <v>1528</v>
      </c>
      <c r="E15" s="302">
        <f t="shared" si="0"/>
        <v>1680.8000000000002</v>
      </c>
      <c r="F15" s="303">
        <f>SUM(F12:F14)</f>
        <v>389</v>
      </c>
      <c r="G15" s="303">
        <f>SUM(G12:G14)</f>
        <v>389</v>
      </c>
      <c r="H15" s="303">
        <f>SUM(H12:H14)</f>
        <v>480</v>
      </c>
      <c r="I15" s="303">
        <f>SUM(I12:I14)</f>
        <v>594</v>
      </c>
      <c r="K15" s="304"/>
    </row>
    <row r="16" spans="1:11" ht="24.95" customHeight="1" thickBot="1" x14ac:dyDescent="0.25">
      <c r="A16" s="305"/>
      <c r="B16" s="306"/>
      <c r="C16" s="306"/>
      <c r="D16" s="306"/>
      <c r="E16" s="306"/>
      <c r="F16" s="306"/>
      <c r="G16" s="306"/>
      <c r="H16" s="307"/>
      <c r="I16" s="308"/>
    </row>
  </sheetData>
  <mergeCells count="7">
    <mergeCell ref="A1:H1"/>
    <mergeCell ref="A3:C3"/>
    <mergeCell ref="A9:A11"/>
    <mergeCell ref="B9:B11"/>
    <mergeCell ref="C9:C11"/>
    <mergeCell ref="D9:I9"/>
    <mergeCell ref="E10:I10"/>
  </mergeCells>
  <printOptions horizontalCentered="1"/>
  <pageMargins left="0.7" right="0.7" top="0.75" bottom="0.75" header="0.3" footer="0.3"/>
  <pageSetup paperSize="9" scale="7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selection activeCell="D15" sqref="D15"/>
    </sheetView>
  </sheetViews>
  <sheetFormatPr baseColWidth="10" defaultRowHeight="15" x14ac:dyDescent="0.25"/>
  <cols>
    <col min="1" max="16384" width="11.42578125" style="333"/>
  </cols>
  <sheetData>
    <row r="1" spans="1:15" ht="15.75" x14ac:dyDescent="0.25">
      <c r="A1" s="375" t="s">
        <v>89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</row>
    <row r="2" spans="1:15" ht="23.25" x14ac:dyDescent="0.25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5"/>
    </row>
    <row r="3" spans="1:15" ht="15.75" x14ac:dyDescent="0.25">
      <c r="A3" s="136" t="s">
        <v>257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275"/>
    </row>
    <row r="4" spans="1:15" ht="15.75" x14ac:dyDescent="0.25">
      <c r="A4" s="136" t="s">
        <v>152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275"/>
    </row>
    <row r="5" spans="1:15" ht="15.75" x14ac:dyDescent="0.25">
      <c r="A5" s="136" t="s">
        <v>147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275"/>
    </row>
    <row r="6" spans="1:15" x14ac:dyDescent="0.2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5"/>
    </row>
    <row r="7" spans="1:15" ht="16.5" thickBot="1" x14ac:dyDescent="0.3">
      <c r="A7" s="138" t="s">
        <v>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</row>
    <row r="8" spans="1:15" ht="15.75" thickBot="1" x14ac:dyDescent="0.3">
      <c r="A8" s="376" t="s">
        <v>8</v>
      </c>
      <c r="B8" s="379" t="s">
        <v>9</v>
      </c>
      <c r="C8" s="379" t="s">
        <v>10</v>
      </c>
      <c r="D8" s="379" t="s">
        <v>11</v>
      </c>
      <c r="E8" s="139" t="s">
        <v>12</v>
      </c>
      <c r="F8" s="139"/>
      <c r="G8" s="139"/>
      <c r="H8" s="139"/>
      <c r="I8" s="139"/>
      <c r="J8" s="382"/>
      <c r="K8" s="382"/>
      <c r="L8" s="382"/>
      <c r="M8" s="382"/>
      <c r="N8" s="382"/>
      <c r="O8" s="383"/>
    </row>
    <row r="9" spans="1:15" x14ac:dyDescent="0.25">
      <c r="A9" s="377"/>
      <c r="B9" s="380"/>
      <c r="C9" s="380"/>
      <c r="D9" s="380"/>
      <c r="E9" s="140">
        <v>2002</v>
      </c>
      <c r="F9" s="140">
        <v>2003</v>
      </c>
      <c r="G9" s="140">
        <v>2004</v>
      </c>
      <c r="H9" s="140">
        <v>2005</v>
      </c>
      <c r="I9" s="141">
        <v>2006</v>
      </c>
      <c r="J9" s="278">
        <v>2015</v>
      </c>
      <c r="K9" s="384">
        <v>2016</v>
      </c>
      <c r="L9" s="385"/>
      <c r="M9" s="385"/>
      <c r="N9" s="386"/>
      <c r="O9" s="279"/>
    </row>
    <row r="10" spans="1:15" ht="36.75" thickBot="1" x14ac:dyDescent="0.3">
      <c r="A10" s="378"/>
      <c r="B10" s="381"/>
      <c r="C10" s="381"/>
      <c r="D10" s="381"/>
      <c r="E10" s="277" t="s">
        <v>13</v>
      </c>
      <c r="F10" s="277" t="s">
        <v>13</v>
      </c>
      <c r="G10" s="277" t="s">
        <v>13</v>
      </c>
      <c r="H10" s="277" t="s">
        <v>14</v>
      </c>
      <c r="I10" s="142" t="s">
        <v>82</v>
      </c>
      <c r="J10" s="276" t="s">
        <v>82</v>
      </c>
      <c r="K10" s="276" t="s">
        <v>83</v>
      </c>
      <c r="L10" s="277" t="s">
        <v>86</v>
      </c>
      <c r="M10" s="277" t="s">
        <v>88</v>
      </c>
      <c r="N10" s="143" t="s">
        <v>91</v>
      </c>
      <c r="O10" s="144"/>
    </row>
    <row r="11" spans="1:15" ht="15.75" thickBot="1" x14ac:dyDescent="0.3">
      <c r="A11" s="368" t="s">
        <v>15</v>
      </c>
      <c r="B11" s="369"/>
      <c r="C11" s="369"/>
      <c r="D11" s="369"/>
      <c r="E11" s="369"/>
      <c r="F11" s="369"/>
      <c r="G11" s="369"/>
      <c r="H11" s="369"/>
      <c r="I11" s="369"/>
      <c r="J11" s="370"/>
      <c r="K11" s="370"/>
      <c r="L11" s="370"/>
      <c r="M11" s="370"/>
      <c r="N11" s="370"/>
      <c r="O11" s="371"/>
    </row>
    <row r="12" spans="1:15" x14ac:dyDescent="0.25">
      <c r="A12" s="145" t="s">
        <v>16</v>
      </c>
      <c r="B12" s="146" t="s">
        <v>5</v>
      </c>
      <c r="C12" s="146" t="s">
        <v>17</v>
      </c>
      <c r="D12" s="146" t="s">
        <v>18</v>
      </c>
      <c r="E12" s="147" t="s">
        <v>19</v>
      </c>
      <c r="F12" s="147" t="s">
        <v>19</v>
      </c>
      <c r="G12" s="147" t="s">
        <v>19</v>
      </c>
      <c r="H12" s="148">
        <v>150</v>
      </c>
      <c r="I12" s="148">
        <v>100</v>
      </c>
      <c r="J12" s="149">
        <v>75</v>
      </c>
      <c r="K12" s="150">
        <v>75</v>
      </c>
      <c r="L12" s="151">
        <v>75</v>
      </c>
      <c r="M12" s="151">
        <v>75</v>
      </c>
      <c r="N12" s="152">
        <v>75</v>
      </c>
      <c r="O12" s="153"/>
    </row>
    <row r="13" spans="1:15" x14ac:dyDescent="0.25">
      <c r="A13" s="145" t="s">
        <v>20</v>
      </c>
      <c r="B13" s="146" t="s">
        <v>5</v>
      </c>
      <c r="C13" s="146" t="s">
        <v>17</v>
      </c>
      <c r="D13" s="146" t="s">
        <v>18</v>
      </c>
      <c r="E13" s="147" t="s">
        <v>19</v>
      </c>
      <c r="F13" s="147" t="s">
        <v>19</v>
      </c>
      <c r="G13" s="147" t="s">
        <v>19</v>
      </c>
      <c r="H13" s="146">
        <v>130</v>
      </c>
      <c r="I13" s="146">
        <v>122</v>
      </c>
      <c r="J13" s="149">
        <v>405</v>
      </c>
      <c r="K13" s="154">
        <v>405</v>
      </c>
      <c r="L13" s="155">
        <v>405</v>
      </c>
      <c r="M13" s="155">
        <v>405</v>
      </c>
      <c r="N13" s="156">
        <v>405</v>
      </c>
      <c r="O13" s="153"/>
    </row>
    <row r="14" spans="1:15" x14ac:dyDescent="0.25">
      <c r="A14" s="145" t="s">
        <v>21</v>
      </c>
      <c r="B14" s="146" t="s">
        <v>5</v>
      </c>
      <c r="C14" s="146" t="s">
        <v>22</v>
      </c>
      <c r="D14" s="146" t="s">
        <v>18</v>
      </c>
      <c r="E14" s="147" t="s">
        <v>19</v>
      </c>
      <c r="F14" s="147" t="s">
        <v>19</v>
      </c>
      <c r="G14" s="147" t="s">
        <v>19</v>
      </c>
      <c r="H14" s="147" t="s">
        <v>19</v>
      </c>
      <c r="I14" s="147" t="s">
        <v>84</v>
      </c>
      <c r="J14" s="157">
        <v>1</v>
      </c>
      <c r="K14" s="158">
        <v>0</v>
      </c>
      <c r="L14" s="159">
        <v>0</v>
      </c>
      <c r="M14" s="159">
        <v>0</v>
      </c>
      <c r="N14" s="160">
        <v>0</v>
      </c>
      <c r="O14" s="161"/>
    </row>
    <row r="15" spans="1:15" x14ac:dyDescent="0.25">
      <c r="A15" s="145" t="s">
        <v>23</v>
      </c>
      <c r="B15" s="146" t="s">
        <v>5</v>
      </c>
      <c r="C15" s="146" t="s">
        <v>22</v>
      </c>
      <c r="D15" s="146" t="s">
        <v>18</v>
      </c>
      <c r="E15" s="147" t="s">
        <v>19</v>
      </c>
      <c r="F15" s="147" t="s">
        <v>19</v>
      </c>
      <c r="G15" s="147" t="s">
        <v>19</v>
      </c>
      <c r="H15" s="147" t="s">
        <v>19</v>
      </c>
      <c r="I15" s="147" t="s">
        <v>84</v>
      </c>
      <c r="J15" s="157">
        <v>0</v>
      </c>
      <c r="K15" s="158">
        <v>0</v>
      </c>
      <c r="L15" s="159">
        <v>0</v>
      </c>
      <c r="M15" s="162">
        <v>0</v>
      </c>
      <c r="N15" s="163">
        <v>0</v>
      </c>
      <c r="O15" s="161"/>
    </row>
    <row r="16" spans="1:15" x14ac:dyDescent="0.25">
      <c r="A16" s="145" t="s">
        <v>23</v>
      </c>
      <c r="B16" s="146" t="s">
        <v>24</v>
      </c>
      <c r="C16" s="146" t="s">
        <v>22</v>
      </c>
      <c r="D16" s="146" t="s">
        <v>18</v>
      </c>
      <c r="E16" s="147" t="s">
        <v>19</v>
      </c>
      <c r="F16" s="147" t="s">
        <v>19</v>
      </c>
      <c r="G16" s="147" t="s">
        <v>19</v>
      </c>
      <c r="H16" s="147" t="s">
        <v>19</v>
      </c>
      <c r="I16" s="147" t="s">
        <v>84</v>
      </c>
      <c r="J16" s="157">
        <v>0</v>
      </c>
      <c r="K16" s="158">
        <v>0</v>
      </c>
      <c r="L16" s="159">
        <v>0</v>
      </c>
      <c r="M16" s="159">
        <v>0</v>
      </c>
      <c r="N16" s="160">
        <v>0</v>
      </c>
      <c r="O16" s="161"/>
    </row>
    <row r="17" spans="1:15" x14ac:dyDescent="0.25">
      <c r="A17" s="145" t="s">
        <v>25</v>
      </c>
      <c r="B17" s="146" t="s">
        <v>24</v>
      </c>
      <c r="C17" s="146" t="s">
        <v>26</v>
      </c>
      <c r="D17" s="146" t="s">
        <v>18</v>
      </c>
      <c r="E17" s="164">
        <v>6026929</v>
      </c>
      <c r="F17" s="164">
        <v>4858726</v>
      </c>
      <c r="G17" s="164">
        <v>4801465</v>
      </c>
      <c r="H17" s="165">
        <v>5760000</v>
      </c>
      <c r="I17" s="165">
        <v>9200000</v>
      </c>
      <c r="J17" s="166">
        <v>5126009.0100000007</v>
      </c>
      <c r="K17" s="167">
        <v>476264.49</v>
      </c>
      <c r="L17" s="168">
        <v>403403.21</v>
      </c>
      <c r="M17" s="169">
        <v>1371255.81</v>
      </c>
      <c r="N17" s="170">
        <v>1118231.19</v>
      </c>
      <c r="O17" s="171"/>
    </row>
    <row r="18" spans="1:15" x14ac:dyDescent="0.25">
      <c r="A18" s="145" t="s">
        <v>27</v>
      </c>
      <c r="B18" s="146" t="s">
        <v>24</v>
      </c>
      <c r="C18" s="146" t="s">
        <v>17</v>
      </c>
      <c r="D18" s="146" t="s">
        <v>18</v>
      </c>
      <c r="E18" s="172">
        <v>14280</v>
      </c>
      <c r="F18" s="172">
        <v>14280</v>
      </c>
      <c r="G18" s="172">
        <v>14280</v>
      </c>
      <c r="H18" s="173">
        <v>14280</v>
      </c>
      <c r="I18" s="173">
        <v>14280</v>
      </c>
      <c r="J18" s="174">
        <v>0</v>
      </c>
      <c r="K18" s="175">
        <v>0</v>
      </c>
      <c r="L18" s="176">
        <v>0</v>
      </c>
      <c r="M18" s="176">
        <v>0</v>
      </c>
      <c r="N18" s="177">
        <v>0</v>
      </c>
      <c r="O18" s="171"/>
    </row>
    <row r="19" spans="1:15" x14ac:dyDescent="0.25">
      <c r="A19" s="145" t="s">
        <v>28</v>
      </c>
      <c r="B19" s="146" t="s">
        <v>24</v>
      </c>
      <c r="C19" s="146" t="s">
        <v>22</v>
      </c>
      <c r="D19" s="146" t="s">
        <v>18</v>
      </c>
      <c r="E19" s="172">
        <v>20492</v>
      </c>
      <c r="F19" s="172">
        <v>971505</v>
      </c>
      <c r="G19" s="172">
        <v>3837</v>
      </c>
      <c r="H19" s="147" t="s">
        <v>19</v>
      </c>
      <c r="I19" s="178"/>
      <c r="J19" s="179">
        <v>255981</v>
      </c>
      <c r="K19" s="180">
        <v>0</v>
      </c>
      <c r="L19" s="181">
        <v>0</v>
      </c>
      <c r="M19" s="182">
        <v>98360</v>
      </c>
      <c r="N19" s="183">
        <v>39344</v>
      </c>
      <c r="O19" s="184"/>
    </row>
    <row r="20" spans="1:15" ht="15.75" thickBot="1" x14ac:dyDescent="0.3">
      <c r="A20" s="145"/>
      <c r="B20" s="146"/>
      <c r="C20" s="146"/>
      <c r="D20" s="146"/>
      <c r="E20" s="146"/>
      <c r="F20" s="146"/>
      <c r="G20" s="146"/>
      <c r="H20" s="146"/>
      <c r="I20" s="146"/>
      <c r="J20" s="149"/>
      <c r="K20" s="185"/>
      <c r="L20" s="186"/>
      <c r="M20" s="187"/>
      <c r="N20" s="188" t="s">
        <v>153</v>
      </c>
      <c r="O20" s="153"/>
    </row>
    <row r="21" spans="1:15" ht="15.75" thickBot="1" x14ac:dyDescent="0.3">
      <c r="A21" s="372"/>
      <c r="B21" s="373"/>
      <c r="C21" s="373"/>
      <c r="D21" s="373"/>
      <c r="E21" s="373"/>
      <c r="F21" s="373"/>
      <c r="G21" s="373"/>
      <c r="H21" s="373"/>
      <c r="I21" s="373"/>
      <c r="J21" s="370"/>
      <c r="K21" s="370"/>
      <c r="L21" s="370"/>
      <c r="M21" s="370"/>
      <c r="N21" s="370"/>
      <c r="O21" s="374"/>
    </row>
    <row r="22" spans="1:15" x14ac:dyDescent="0.25">
      <c r="A22" s="189" t="s">
        <v>30</v>
      </c>
      <c r="B22" s="190"/>
      <c r="C22" s="190"/>
      <c r="D22" s="190"/>
      <c r="E22" s="190"/>
      <c r="F22" s="190"/>
      <c r="G22" s="190"/>
      <c r="H22" s="190"/>
      <c r="I22" s="190"/>
      <c r="J22" s="191"/>
      <c r="K22" s="192"/>
      <c r="L22" s="193"/>
      <c r="M22" s="193"/>
      <c r="N22" s="194"/>
      <c r="O22" s="195"/>
    </row>
    <row r="23" spans="1:15" ht="15.75" thickBot="1" x14ac:dyDescent="0.3">
      <c r="A23" s="196" t="s">
        <v>31</v>
      </c>
      <c r="B23" s="146" t="s">
        <v>5</v>
      </c>
      <c r="C23" s="146" t="s">
        <v>32</v>
      </c>
      <c r="D23" s="146" t="s">
        <v>33</v>
      </c>
      <c r="E23" s="146">
        <v>33</v>
      </c>
      <c r="F23" s="146">
        <v>33</v>
      </c>
      <c r="G23" s="146">
        <v>48</v>
      </c>
      <c r="H23" s="146">
        <v>48</v>
      </c>
      <c r="I23" s="146">
        <v>47</v>
      </c>
      <c r="J23" s="197">
        <v>34</v>
      </c>
      <c r="K23" s="198">
        <f>+K24+K28+K29+K31</f>
        <v>34</v>
      </c>
      <c r="L23" s="199">
        <v>34</v>
      </c>
      <c r="M23" s="200">
        <v>33</v>
      </c>
      <c r="N23" s="334">
        <f>+N24+N28+N29+N31+N35</f>
        <v>33</v>
      </c>
      <c r="O23" s="153"/>
    </row>
    <row r="24" spans="1:15" ht="15.75" thickBot="1" x14ac:dyDescent="0.3">
      <c r="A24" s="196" t="s">
        <v>34</v>
      </c>
      <c r="B24" s="146" t="s">
        <v>5</v>
      </c>
      <c r="C24" s="146" t="s">
        <v>32</v>
      </c>
      <c r="D24" s="146" t="s">
        <v>33</v>
      </c>
      <c r="E24" s="146">
        <v>16</v>
      </c>
      <c r="F24" s="146">
        <v>16</v>
      </c>
      <c r="G24" s="146">
        <v>22</v>
      </c>
      <c r="H24" s="146">
        <v>22</v>
      </c>
      <c r="I24" s="146">
        <v>19</v>
      </c>
      <c r="J24" s="197">
        <v>17</v>
      </c>
      <c r="K24" s="198">
        <v>17</v>
      </c>
      <c r="L24" s="199">
        <v>17</v>
      </c>
      <c r="M24" s="197">
        <v>17</v>
      </c>
      <c r="N24" s="335">
        <f>SUM(N25:N27)</f>
        <v>16</v>
      </c>
      <c r="O24" s="153"/>
    </row>
    <row r="25" spans="1:15" x14ac:dyDescent="0.25">
      <c r="A25" s="145" t="s">
        <v>35</v>
      </c>
      <c r="B25" s="146" t="s">
        <v>5</v>
      </c>
      <c r="C25" s="146" t="s">
        <v>32</v>
      </c>
      <c r="D25" s="146" t="s">
        <v>33</v>
      </c>
      <c r="E25" s="146">
        <v>1</v>
      </c>
      <c r="F25" s="146">
        <v>1</v>
      </c>
      <c r="G25" s="146">
        <v>1</v>
      </c>
      <c r="H25" s="146">
        <v>1</v>
      </c>
      <c r="I25" s="146">
        <v>1</v>
      </c>
      <c r="J25" s="197">
        <v>2</v>
      </c>
      <c r="K25" s="198">
        <v>2</v>
      </c>
      <c r="L25" s="199">
        <v>2</v>
      </c>
      <c r="M25" s="200">
        <v>2</v>
      </c>
      <c r="N25" s="336">
        <v>2</v>
      </c>
      <c r="O25" s="153"/>
    </row>
    <row r="26" spans="1:15" x14ac:dyDescent="0.25">
      <c r="A26" s="145" t="s">
        <v>36</v>
      </c>
      <c r="B26" s="146" t="s">
        <v>5</v>
      </c>
      <c r="C26" s="146" t="s">
        <v>32</v>
      </c>
      <c r="D26" s="146" t="s">
        <v>33</v>
      </c>
      <c r="E26" s="146">
        <v>5</v>
      </c>
      <c r="F26" s="146">
        <v>5</v>
      </c>
      <c r="G26" s="146">
        <v>6</v>
      </c>
      <c r="H26" s="146">
        <v>6</v>
      </c>
      <c r="I26" s="146">
        <v>5</v>
      </c>
      <c r="J26" s="197">
        <v>2</v>
      </c>
      <c r="K26" s="198">
        <v>2</v>
      </c>
      <c r="L26" s="199">
        <v>2</v>
      </c>
      <c r="M26" s="200">
        <v>2</v>
      </c>
      <c r="N26" s="156">
        <v>2</v>
      </c>
      <c r="O26" s="153"/>
    </row>
    <row r="27" spans="1:15" ht="15.75" thickBot="1" x14ac:dyDescent="0.3">
      <c r="A27" s="145" t="s">
        <v>37</v>
      </c>
      <c r="B27" s="146" t="s">
        <v>5</v>
      </c>
      <c r="C27" s="146" t="s">
        <v>32</v>
      </c>
      <c r="D27" s="146" t="s">
        <v>33</v>
      </c>
      <c r="E27" s="146">
        <v>10</v>
      </c>
      <c r="F27" s="146">
        <v>10</v>
      </c>
      <c r="G27" s="146">
        <v>15</v>
      </c>
      <c r="H27" s="146">
        <v>15</v>
      </c>
      <c r="I27" s="146">
        <v>13</v>
      </c>
      <c r="J27" s="197">
        <v>13</v>
      </c>
      <c r="K27" s="198">
        <v>13</v>
      </c>
      <c r="L27" s="199">
        <v>13</v>
      </c>
      <c r="M27" s="200">
        <v>13</v>
      </c>
      <c r="N27" s="334">
        <v>12</v>
      </c>
      <c r="O27" s="153"/>
    </row>
    <row r="28" spans="1:15" ht="15.75" thickBot="1" x14ac:dyDescent="0.3">
      <c r="A28" s="196" t="s">
        <v>38</v>
      </c>
      <c r="B28" s="146" t="s">
        <v>5</v>
      </c>
      <c r="C28" s="146" t="s">
        <v>32</v>
      </c>
      <c r="D28" s="146" t="s">
        <v>33</v>
      </c>
      <c r="E28" s="146">
        <v>15</v>
      </c>
      <c r="F28" s="146">
        <v>15</v>
      </c>
      <c r="G28" s="146">
        <v>24</v>
      </c>
      <c r="H28" s="146">
        <v>24</v>
      </c>
      <c r="I28" s="146">
        <v>26</v>
      </c>
      <c r="J28" s="197">
        <v>15</v>
      </c>
      <c r="K28" s="198">
        <v>15</v>
      </c>
      <c r="L28" s="199">
        <v>15</v>
      </c>
      <c r="M28" s="197">
        <v>14</v>
      </c>
      <c r="N28" s="335">
        <v>14</v>
      </c>
      <c r="O28" s="153"/>
    </row>
    <row r="29" spans="1:15" x14ac:dyDescent="0.25">
      <c r="A29" s="145" t="s">
        <v>39</v>
      </c>
      <c r="B29" s="146" t="s">
        <v>5</v>
      </c>
      <c r="C29" s="146" t="s">
        <v>32</v>
      </c>
      <c r="D29" s="146" t="s">
        <v>33</v>
      </c>
      <c r="E29" s="146">
        <v>2</v>
      </c>
      <c r="F29" s="146">
        <v>2</v>
      </c>
      <c r="G29" s="146">
        <v>2</v>
      </c>
      <c r="H29" s="146">
        <v>2</v>
      </c>
      <c r="I29" s="146">
        <v>2</v>
      </c>
      <c r="J29" s="197">
        <v>1</v>
      </c>
      <c r="K29" s="198">
        <v>1</v>
      </c>
      <c r="L29" s="199">
        <v>1</v>
      </c>
      <c r="M29" s="200">
        <v>1</v>
      </c>
      <c r="N29" s="336">
        <v>1</v>
      </c>
      <c r="O29" s="153"/>
    </row>
    <row r="30" spans="1:15" ht="15.75" thickBot="1" x14ac:dyDescent="0.3">
      <c r="A30" s="145" t="s">
        <v>40</v>
      </c>
      <c r="B30" s="146" t="s">
        <v>5</v>
      </c>
      <c r="C30" s="146" t="s">
        <v>32</v>
      </c>
      <c r="D30" s="146" t="s">
        <v>33</v>
      </c>
      <c r="E30" s="146">
        <v>35</v>
      </c>
      <c r="F30" s="146">
        <v>33</v>
      </c>
      <c r="G30" s="146">
        <v>48</v>
      </c>
      <c r="H30" s="146">
        <v>48</v>
      </c>
      <c r="I30" s="146">
        <v>47</v>
      </c>
      <c r="J30" s="197">
        <v>34</v>
      </c>
      <c r="K30" s="198">
        <v>34</v>
      </c>
      <c r="L30" s="199">
        <v>34</v>
      </c>
      <c r="M30" s="200">
        <v>33</v>
      </c>
      <c r="N30" s="334">
        <f>SUM(N25:N29)</f>
        <v>31</v>
      </c>
      <c r="O30" s="153"/>
    </row>
    <row r="31" spans="1:15" ht="15.75" thickBot="1" x14ac:dyDescent="0.3">
      <c r="A31" s="145" t="s">
        <v>41</v>
      </c>
      <c r="B31" s="146" t="s">
        <v>5</v>
      </c>
      <c r="C31" s="146" t="s">
        <v>32</v>
      </c>
      <c r="D31" s="146" t="s">
        <v>33</v>
      </c>
      <c r="E31" s="146">
        <v>1</v>
      </c>
      <c r="F31" s="146">
        <v>1</v>
      </c>
      <c r="G31" s="146">
        <v>1</v>
      </c>
      <c r="H31" s="146">
        <v>1</v>
      </c>
      <c r="I31" s="146">
        <v>1</v>
      </c>
      <c r="J31" s="197">
        <v>1</v>
      </c>
      <c r="K31" s="198">
        <v>1</v>
      </c>
      <c r="L31" s="199">
        <v>1</v>
      </c>
      <c r="M31" s="197">
        <v>1</v>
      </c>
      <c r="N31" s="335">
        <v>1</v>
      </c>
      <c r="O31" s="153"/>
    </row>
    <row r="32" spans="1:15" x14ac:dyDescent="0.25">
      <c r="A32" s="145" t="s">
        <v>42</v>
      </c>
      <c r="B32" s="146" t="s">
        <v>5</v>
      </c>
      <c r="C32" s="146" t="s">
        <v>32</v>
      </c>
      <c r="D32" s="146" t="s">
        <v>33</v>
      </c>
      <c r="E32" s="146">
        <v>6</v>
      </c>
      <c r="F32" s="146">
        <v>6</v>
      </c>
      <c r="G32" s="146">
        <v>28</v>
      </c>
      <c r="H32" s="146">
        <v>30</v>
      </c>
      <c r="I32" s="146">
        <v>30</v>
      </c>
      <c r="J32" s="197">
        <v>24</v>
      </c>
      <c r="K32" s="198">
        <v>24</v>
      </c>
      <c r="L32" s="199">
        <v>24</v>
      </c>
      <c r="M32" s="200">
        <v>23</v>
      </c>
      <c r="N32" s="336">
        <v>23</v>
      </c>
      <c r="O32" s="153"/>
    </row>
    <row r="33" spans="1:15" x14ac:dyDescent="0.25">
      <c r="A33" s="145" t="s">
        <v>43</v>
      </c>
      <c r="B33" s="146" t="s">
        <v>5</v>
      </c>
      <c r="C33" s="146" t="s">
        <v>32</v>
      </c>
      <c r="D33" s="146" t="s">
        <v>33</v>
      </c>
      <c r="E33" s="146">
        <v>22</v>
      </c>
      <c r="F33" s="146">
        <v>22</v>
      </c>
      <c r="G33" s="146">
        <v>2</v>
      </c>
      <c r="H33" s="146">
        <v>2</v>
      </c>
      <c r="I33" s="146">
        <v>3</v>
      </c>
      <c r="J33" s="197">
        <v>2</v>
      </c>
      <c r="K33" s="198">
        <v>2</v>
      </c>
      <c r="L33" s="199">
        <v>2</v>
      </c>
      <c r="M33" s="200">
        <v>2</v>
      </c>
      <c r="N33" s="156">
        <v>2</v>
      </c>
      <c r="O33" s="153"/>
    </row>
    <row r="34" spans="1:15" x14ac:dyDescent="0.25">
      <c r="A34" s="145" t="s">
        <v>44</v>
      </c>
      <c r="B34" s="146" t="s">
        <v>5</v>
      </c>
      <c r="C34" s="146" t="s">
        <v>32</v>
      </c>
      <c r="D34" s="146" t="s">
        <v>33</v>
      </c>
      <c r="E34" s="146">
        <v>2</v>
      </c>
      <c r="F34" s="146">
        <v>2</v>
      </c>
      <c r="G34" s="146">
        <v>4</v>
      </c>
      <c r="H34" s="146">
        <v>2</v>
      </c>
      <c r="I34" s="146">
        <v>3</v>
      </c>
      <c r="J34" s="197">
        <v>2</v>
      </c>
      <c r="K34" s="198">
        <v>1</v>
      </c>
      <c r="L34" s="199">
        <v>1</v>
      </c>
      <c r="M34" s="200">
        <v>1</v>
      </c>
      <c r="N34" s="156">
        <v>3</v>
      </c>
      <c r="O34" s="153"/>
    </row>
    <row r="35" spans="1:15" x14ac:dyDescent="0.25">
      <c r="A35" s="145" t="s">
        <v>45</v>
      </c>
      <c r="B35" s="146" t="s">
        <v>5</v>
      </c>
      <c r="C35" s="146" t="s">
        <v>32</v>
      </c>
      <c r="D35" s="146" t="s">
        <v>33</v>
      </c>
      <c r="E35" s="146">
        <v>2</v>
      </c>
      <c r="F35" s="146">
        <v>2</v>
      </c>
      <c r="G35" s="146">
        <v>13</v>
      </c>
      <c r="H35" s="146">
        <v>13</v>
      </c>
      <c r="I35" s="146">
        <v>13</v>
      </c>
      <c r="J35" s="197">
        <v>1</v>
      </c>
      <c r="K35" s="198">
        <v>1</v>
      </c>
      <c r="L35" s="199">
        <v>1</v>
      </c>
      <c r="M35" s="200">
        <v>1</v>
      </c>
      <c r="N35" s="156">
        <v>1</v>
      </c>
      <c r="O35" s="153"/>
    </row>
    <row r="36" spans="1:15" x14ac:dyDescent="0.25">
      <c r="A36" s="145" t="s">
        <v>46</v>
      </c>
      <c r="B36" s="146" t="s">
        <v>5</v>
      </c>
      <c r="C36" s="146" t="s">
        <v>32</v>
      </c>
      <c r="D36" s="146" t="s">
        <v>33</v>
      </c>
      <c r="E36" s="146">
        <v>0</v>
      </c>
      <c r="F36" s="146">
        <v>0</v>
      </c>
      <c r="G36" s="146">
        <v>0</v>
      </c>
      <c r="H36" s="146">
        <v>0</v>
      </c>
      <c r="I36" s="146">
        <v>0</v>
      </c>
      <c r="J36" s="197">
        <v>0</v>
      </c>
      <c r="K36" s="198">
        <v>0</v>
      </c>
      <c r="L36" s="199">
        <v>0</v>
      </c>
      <c r="M36" s="200">
        <v>0</v>
      </c>
      <c r="N36" s="156">
        <v>0</v>
      </c>
      <c r="O36" s="153"/>
    </row>
    <row r="37" spans="1:15" x14ac:dyDescent="0.25">
      <c r="A37" s="145" t="s">
        <v>47</v>
      </c>
      <c r="B37" s="146" t="s">
        <v>5</v>
      </c>
      <c r="C37" s="146"/>
      <c r="D37" s="146" t="s">
        <v>33</v>
      </c>
      <c r="E37" s="146">
        <v>2</v>
      </c>
      <c r="F37" s="146">
        <v>2</v>
      </c>
      <c r="G37" s="146">
        <v>2</v>
      </c>
      <c r="H37" s="146">
        <v>2</v>
      </c>
      <c r="I37" s="146">
        <v>0</v>
      </c>
      <c r="J37" s="197">
        <v>0</v>
      </c>
      <c r="K37" s="198">
        <v>0</v>
      </c>
      <c r="L37" s="199">
        <v>0</v>
      </c>
      <c r="M37" s="200">
        <v>0</v>
      </c>
      <c r="N37" s="156">
        <v>0</v>
      </c>
      <c r="O37" s="153"/>
    </row>
    <row r="38" spans="1:15" x14ac:dyDescent="0.25">
      <c r="A38" s="189" t="s">
        <v>48</v>
      </c>
      <c r="B38" s="190"/>
      <c r="C38" s="190"/>
      <c r="D38" s="190"/>
      <c r="E38" s="190"/>
      <c r="F38" s="190"/>
      <c r="G38" s="190"/>
      <c r="H38" s="190"/>
      <c r="I38" s="190"/>
      <c r="J38" s="201"/>
      <c r="K38" s="202"/>
      <c r="L38" s="203"/>
      <c r="M38" s="190"/>
      <c r="N38" s="204"/>
      <c r="O38" s="195"/>
    </row>
    <row r="39" spans="1:15" x14ac:dyDescent="0.25">
      <c r="A39" s="196" t="s">
        <v>49</v>
      </c>
      <c r="B39" s="146" t="s">
        <v>5</v>
      </c>
      <c r="C39" s="146" t="s">
        <v>32</v>
      </c>
      <c r="D39" s="146" t="s">
        <v>18</v>
      </c>
      <c r="E39" s="146">
        <v>0</v>
      </c>
      <c r="F39" s="146">
        <v>0</v>
      </c>
      <c r="G39" s="146">
        <v>0</v>
      </c>
      <c r="H39" s="146">
        <v>0</v>
      </c>
      <c r="I39" s="146">
        <v>0</v>
      </c>
      <c r="J39" s="205">
        <v>0</v>
      </c>
      <c r="K39" s="198">
        <v>0</v>
      </c>
      <c r="L39" s="206">
        <v>0</v>
      </c>
      <c r="M39" s="200">
        <v>0</v>
      </c>
      <c r="N39" s="156">
        <v>0</v>
      </c>
      <c r="O39" s="153"/>
    </row>
    <row r="40" spans="1:15" x14ac:dyDescent="0.25">
      <c r="A40" s="196" t="s">
        <v>50</v>
      </c>
      <c r="B40" s="146" t="s">
        <v>5</v>
      </c>
      <c r="C40" s="146" t="s">
        <v>32</v>
      </c>
      <c r="D40" s="146" t="s">
        <v>33</v>
      </c>
      <c r="E40" s="146">
        <v>77</v>
      </c>
      <c r="F40" s="146">
        <v>77</v>
      </c>
      <c r="G40" s="146">
        <v>83</v>
      </c>
      <c r="H40" s="146">
        <v>111</v>
      </c>
      <c r="I40" s="146">
        <v>99</v>
      </c>
      <c r="J40" s="205">
        <v>109</v>
      </c>
      <c r="K40" s="198">
        <v>109</v>
      </c>
      <c r="L40" s="199">
        <v>109</v>
      </c>
      <c r="M40" s="200">
        <v>109</v>
      </c>
      <c r="N40" s="156">
        <v>109</v>
      </c>
      <c r="O40" s="153"/>
    </row>
    <row r="41" spans="1:15" x14ac:dyDescent="0.25">
      <c r="A41" s="145" t="s">
        <v>51</v>
      </c>
      <c r="B41" s="146" t="s">
        <v>5</v>
      </c>
      <c r="C41" s="146" t="s">
        <v>32</v>
      </c>
      <c r="D41" s="146" t="s">
        <v>33</v>
      </c>
      <c r="E41" s="146">
        <v>58</v>
      </c>
      <c r="F41" s="146">
        <v>58</v>
      </c>
      <c r="G41" s="146">
        <v>64</v>
      </c>
      <c r="H41" s="146">
        <v>87</v>
      </c>
      <c r="I41" s="146">
        <v>80</v>
      </c>
      <c r="J41" s="205">
        <v>78</v>
      </c>
      <c r="K41" s="198">
        <v>78</v>
      </c>
      <c r="L41" s="199">
        <v>78</v>
      </c>
      <c r="M41" s="200">
        <v>78</v>
      </c>
      <c r="N41" s="156">
        <v>78</v>
      </c>
      <c r="O41" s="153"/>
    </row>
    <row r="42" spans="1:15" ht="15.75" thickBot="1" x14ac:dyDescent="0.3">
      <c r="A42" s="207" t="s">
        <v>52</v>
      </c>
      <c r="B42" s="208" t="s">
        <v>5</v>
      </c>
      <c r="C42" s="208" t="s">
        <v>32</v>
      </c>
      <c r="D42" s="208" t="s">
        <v>33</v>
      </c>
      <c r="E42" s="208">
        <v>19</v>
      </c>
      <c r="F42" s="208">
        <v>19</v>
      </c>
      <c r="G42" s="208">
        <v>19</v>
      </c>
      <c r="H42" s="208">
        <v>24</v>
      </c>
      <c r="I42" s="208">
        <v>19</v>
      </c>
      <c r="J42" s="209">
        <v>31</v>
      </c>
      <c r="K42" s="210">
        <v>31</v>
      </c>
      <c r="L42" s="211">
        <v>31</v>
      </c>
      <c r="M42" s="187">
        <v>31</v>
      </c>
      <c r="N42" s="188">
        <v>31</v>
      </c>
      <c r="O42" s="212"/>
    </row>
  </sheetData>
  <mergeCells count="9">
    <mergeCell ref="A11:O11"/>
    <mergeCell ref="A21:O21"/>
    <mergeCell ref="A1:O1"/>
    <mergeCell ref="A8:A10"/>
    <mergeCell ref="B8:B10"/>
    <mergeCell ref="C8:C10"/>
    <mergeCell ref="D8:D10"/>
    <mergeCell ref="J8:O8"/>
    <mergeCell ref="K9:N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opLeftCell="A7" workbookViewId="0">
      <selection activeCell="G9" sqref="G9"/>
    </sheetView>
  </sheetViews>
  <sheetFormatPr baseColWidth="10" defaultRowHeight="15" x14ac:dyDescent="0.25"/>
  <cols>
    <col min="1" max="1" width="30.85546875" style="313" customWidth="1"/>
    <col min="2" max="2" width="52.140625" style="313" bestFit="1" customWidth="1"/>
    <col min="3" max="4" width="11.42578125" style="313"/>
    <col min="5" max="15" width="18.28515625" style="313" bestFit="1" customWidth="1"/>
    <col min="16" max="16384" width="11.42578125" style="313"/>
  </cols>
  <sheetData>
    <row r="1" spans="1:15" x14ac:dyDescent="0.25">
      <c r="A1" s="391" t="s">
        <v>157</v>
      </c>
      <c r="B1" s="392"/>
      <c r="C1" s="393" t="s">
        <v>4</v>
      </c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5"/>
    </row>
    <row r="2" spans="1:15" x14ac:dyDescent="0.25">
      <c r="A2" s="391" t="s">
        <v>98</v>
      </c>
      <c r="B2" s="392"/>
      <c r="C2" s="396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8"/>
    </row>
    <row r="3" spans="1:15" x14ac:dyDescent="0.25">
      <c r="A3" s="391" t="s">
        <v>158</v>
      </c>
      <c r="B3" s="392"/>
      <c r="C3" s="399" t="s">
        <v>99</v>
      </c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1"/>
    </row>
    <row r="4" spans="1:15" x14ac:dyDescent="0.25">
      <c r="A4" s="387" t="s">
        <v>100</v>
      </c>
      <c r="B4" s="402"/>
      <c r="C4" s="404" t="s">
        <v>101</v>
      </c>
      <c r="D4" s="404" t="s">
        <v>102</v>
      </c>
      <c r="E4" s="407"/>
      <c r="F4" s="407"/>
      <c r="G4" s="407"/>
      <c r="H4" s="407"/>
      <c r="I4" s="407"/>
      <c r="J4" s="407"/>
      <c r="K4" s="407"/>
      <c r="L4" s="407"/>
      <c r="M4" s="407"/>
      <c r="N4" s="408"/>
    </row>
    <row r="5" spans="1:15" x14ac:dyDescent="0.25">
      <c r="A5" s="403"/>
      <c r="B5" s="402"/>
      <c r="C5" s="405"/>
      <c r="D5" s="406"/>
      <c r="E5" s="314">
        <v>2014</v>
      </c>
      <c r="F5" s="314">
        <v>2015</v>
      </c>
      <c r="G5" s="314">
        <v>2016</v>
      </c>
      <c r="H5" s="407">
        <v>2016</v>
      </c>
      <c r="I5" s="407"/>
      <c r="J5" s="407"/>
      <c r="K5" s="407"/>
      <c r="L5" s="315">
        <v>2016</v>
      </c>
      <c r="M5" s="314">
        <v>2017</v>
      </c>
      <c r="N5" s="316">
        <v>2018</v>
      </c>
    </row>
    <row r="6" spans="1:15" ht="25.5" x14ac:dyDescent="0.25">
      <c r="A6" s="403"/>
      <c r="B6" s="402"/>
      <c r="C6" s="405"/>
      <c r="D6" s="406"/>
      <c r="E6" s="317" t="s">
        <v>103</v>
      </c>
      <c r="F6" s="317" t="s">
        <v>103</v>
      </c>
      <c r="G6" s="317" t="s">
        <v>104</v>
      </c>
      <c r="H6" s="317" t="s">
        <v>105</v>
      </c>
      <c r="I6" s="317" t="s">
        <v>106</v>
      </c>
      <c r="J6" s="317" t="s">
        <v>107</v>
      </c>
      <c r="K6" s="317" t="s">
        <v>108</v>
      </c>
      <c r="L6" s="317" t="s">
        <v>103</v>
      </c>
      <c r="M6" s="317" t="s">
        <v>104</v>
      </c>
      <c r="N6" s="318" t="s">
        <v>104</v>
      </c>
    </row>
    <row r="7" spans="1:15" x14ac:dyDescent="0.25">
      <c r="A7" s="387" t="s">
        <v>109</v>
      </c>
      <c r="B7" s="319" t="s">
        <v>110</v>
      </c>
      <c r="C7" s="320" t="s">
        <v>5</v>
      </c>
      <c r="D7" s="321" t="s">
        <v>53</v>
      </c>
      <c r="E7" s="322">
        <v>34422738</v>
      </c>
      <c r="F7" s="322">
        <v>28537924</v>
      </c>
      <c r="G7" s="322">
        <v>34245508.799999997</v>
      </c>
      <c r="H7" s="322">
        <v>6087840</v>
      </c>
      <c r="I7" s="322">
        <v>6317692</v>
      </c>
      <c r="J7" s="322">
        <v>7170079</v>
      </c>
      <c r="K7" s="322">
        <v>6319444</v>
      </c>
      <c r="L7" s="322">
        <v>25895055</v>
      </c>
      <c r="M7" s="322">
        <v>41094610.559999995</v>
      </c>
      <c r="N7" s="322">
        <v>49313532.671999991</v>
      </c>
    </row>
    <row r="8" spans="1:15" x14ac:dyDescent="0.25">
      <c r="A8" s="387"/>
      <c r="B8" s="319" t="s">
        <v>111</v>
      </c>
      <c r="C8" s="320" t="s">
        <v>24</v>
      </c>
      <c r="D8" s="321" t="s">
        <v>53</v>
      </c>
      <c r="E8" s="322">
        <v>809077509.5</v>
      </c>
      <c r="F8" s="322">
        <v>1171827973.158</v>
      </c>
      <c r="G8" s="322">
        <v>1406193567.7895999</v>
      </c>
      <c r="H8" s="322">
        <v>316920163.30000001</v>
      </c>
      <c r="I8" s="322">
        <v>339170661.62</v>
      </c>
      <c r="J8" s="322">
        <v>382635898.16000003</v>
      </c>
      <c r="K8" s="322">
        <v>372982185.31999999</v>
      </c>
      <c r="L8" s="322">
        <v>1411708908.4000001</v>
      </c>
      <c r="M8" s="322">
        <v>1687432281.3475199</v>
      </c>
      <c r="N8" s="322">
        <v>2024918737.6170237</v>
      </c>
    </row>
    <row r="9" spans="1:15" x14ac:dyDescent="0.25">
      <c r="A9" s="387"/>
      <c r="B9" s="319" t="s">
        <v>112</v>
      </c>
      <c r="C9" s="320" t="s">
        <v>24</v>
      </c>
      <c r="D9" s="321" t="s">
        <v>53</v>
      </c>
      <c r="E9" s="322">
        <v>75541889.799999997</v>
      </c>
      <c r="F9" s="322">
        <v>73637576</v>
      </c>
      <c r="G9" s="322">
        <v>88365091.200000003</v>
      </c>
      <c r="H9" s="322">
        <v>15235931</v>
      </c>
      <c r="I9" s="322">
        <v>18992377</v>
      </c>
      <c r="J9" s="322">
        <v>26618657</v>
      </c>
      <c r="K9" s="322">
        <v>23945328</v>
      </c>
      <c r="L9" s="322">
        <v>84792293</v>
      </c>
      <c r="M9" s="322">
        <v>106038109.44</v>
      </c>
      <c r="N9" s="322">
        <v>127245731.32799999</v>
      </c>
    </row>
    <row r="10" spans="1:15" x14ac:dyDescent="0.25">
      <c r="A10" s="387"/>
      <c r="B10" s="323" t="s">
        <v>113</v>
      </c>
      <c r="C10" s="324" t="s">
        <v>5</v>
      </c>
      <c r="D10" s="325" t="s">
        <v>53</v>
      </c>
      <c r="E10" s="326">
        <v>630</v>
      </c>
      <c r="F10" s="326">
        <v>593</v>
      </c>
      <c r="G10" s="326">
        <v>711.6</v>
      </c>
      <c r="H10" s="326">
        <v>593</v>
      </c>
      <c r="I10" s="326">
        <v>593</v>
      </c>
      <c r="J10" s="326">
        <v>593</v>
      </c>
      <c r="K10" s="326">
        <v>593</v>
      </c>
      <c r="L10" s="326">
        <v>593</v>
      </c>
      <c r="M10" s="326">
        <v>853.92</v>
      </c>
      <c r="N10" s="326">
        <v>1024.704</v>
      </c>
    </row>
    <row r="11" spans="1:15" x14ac:dyDescent="0.25">
      <c r="A11" s="387"/>
      <c r="B11" s="319" t="s">
        <v>114</v>
      </c>
      <c r="C11" s="320" t="s">
        <v>24</v>
      </c>
      <c r="D11" s="321" t="s">
        <v>53</v>
      </c>
      <c r="E11" s="322">
        <v>649435464.61000001</v>
      </c>
      <c r="F11" s="322">
        <v>849681774</v>
      </c>
      <c r="G11" s="322">
        <v>1019618128.8</v>
      </c>
      <c r="H11" s="322">
        <v>173818664</v>
      </c>
      <c r="I11" s="322">
        <v>207232286</v>
      </c>
      <c r="J11" s="322">
        <v>231155134</v>
      </c>
      <c r="K11" s="322">
        <v>225323418</v>
      </c>
      <c r="L11" s="322">
        <v>837529502</v>
      </c>
      <c r="M11" s="322">
        <v>1223541754.5599999</v>
      </c>
      <c r="N11" s="322">
        <v>1468250105.4719999</v>
      </c>
    </row>
    <row r="12" spans="1:15" x14ac:dyDescent="0.25">
      <c r="A12" s="387"/>
      <c r="B12" s="319" t="s">
        <v>115</v>
      </c>
      <c r="C12" s="320" t="s">
        <v>116</v>
      </c>
      <c r="D12" s="321" t="s">
        <v>53</v>
      </c>
      <c r="E12" s="322">
        <v>1109733.95</v>
      </c>
      <c r="F12" s="322">
        <v>1405822.3675203959</v>
      </c>
      <c r="G12" s="322">
        <v>1686986.8410244749</v>
      </c>
      <c r="H12" s="322">
        <v>293117.47723440133</v>
      </c>
      <c r="I12" s="322">
        <v>349464.22596964589</v>
      </c>
      <c r="J12" s="322">
        <v>389806.29679595277</v>
      </c>
      <c r="K12" s="322">
        <v>379972.03709949407</v>
      </c>
      <c r="L12" s="322">
        <v>1412360.0370994941</v>
      </c>
      <c r="M12" s="322">
        <v>2024384.2092293699</v>
      </c>
      <c r="N12" s="322">
        <v>2429261.0510752439</v>
      </c>
    </row>
    <row r="13" spans="1:15" x14ac:dyDescent="0.25">
      <c r="A13" s="387"/>
      <c r="B13" s="323" t="s">
        <v>117</v>
      </c>
      <c r="C13" s="324" t="s">
        <v>5</v>
      </c>
      <c r="D13" s="325" t="s">
        <v>53</v>
      </c>
      <c r="E13" s="326">
        <v>1720</v>
      </c>
      <c r="F13" s="326">
        <v>1722</v>
      </c>
      <c r="G13" s="326">
        <v>2066.4</v>
      </c>
      <c r="H13" s="326">
        <v>1722</v>
      </c>
      <c r="I13" s="326">
        <v>1722</v>
      </c>
      <c r="J13" s="326">
        <v>1722</v>
      </c>
      <c r="K13" s="326">
        <v>1566</v>
      </c>
      <c r="L13" s="326">
        <v>1566</v>
      </c>
      <c r="M13" s="326">
        <v>2479.6799999999998</v>
      </c>
      <c r="N13" s="326">
        <v>2975.6159999999995</v>
      </c>
      <c r="O13" s="327"/>
    </row>
    <row r="14" spans="1:15" x14ac:dyDescent="0.25">
      <c r="A14" s="387"/>
      <c r="B14" s="319" t="s">
        <v>118</v>
      </c>
      <c r="C14" s="320" t="s">
        <v>24</v>
      </c>
      <c r="D14" s="321" t="s">
        <v>53</v>
      </c>
      <c r="E14" s="322">
        <v>1551547389.6000001</v>
      </c>
      <c r="F14" s="322">
        <v>1847201081</v>
      </c>
      <c r="G14" s="322">
        <v>2216641297.1999998</v>
      </c>
      <c r="H14" s="322">
        <v>479106759</v>
      </c>
      <c r="I14" s="322">
        <v>546325175</v>
      </c>
      <c r="J14" s="322">
        <v>562067181</v>
      </c>
      <c r="K14" s="322">
        <v>538425711</v>
      </c>
      <c r="L14" s="322">
        <v>2125924826</v>
      </c>
      <c r="M14" s="322">
        <v>2659969556.6399999</v>
      </c>
      <c r="N14" s="322">
        <v>3191963467.9679999</v>
      </c>
      <c r="O14" s="327"/>
    </row>
    <row r="15" spans="1:15" x14ac:dyDescent="0.25">
      <c r="A15" s="387"/>
      <c r="B15" s="319" t="s">
        <v>119</v>
      </c>
      <c r="C15" s="320" t="s">
        <v>116</v>
      </c>
      <c r="D15" s="321" t="s">
        <v>7</v>
      </c>
      <c r="E15" s="322">
        <v>929627</v>
      </c>
      <c r="F15" s="322">
        <v>484017545.65635598</v>
      </c>
      <c r="G15" s="322">
        <v>580821054.78762698</v>
      </c>
      <c r="H15" s="322">
        <v>278226.92160278745</v>
      </c>
      <c r="I15" s="322">
        <v>317262.00638792105</v>
      </c>
      <c r="J15" s="322">
        <v>326403.70557491289</v>
      </c>
      <c r="K15" s="322">
        <v>343822.293103448</v>
      </c>
      <c r="L15" s="322">
        <v>1265714.92666907</v>
      </c>
      <c r="M15" s="322">
        <v>696985265.745152</v>
      </c>
      <c r="N15" s="322">
        <v>836382318.89418232</v>
      </c>
      <c r="O15" s="327"/>
    </row>
    <row r="16" spans="1:15" x14ac:dyDescent="0.25">
      <c r="A16" s="387"/>
      <c r="B16" s="319" t="s">
        <v>120</v>
      </c>
      <c r="C16" s="320" t="s">
        <v>5</v>
      </c>
      <c r="D16" s="321" t="s">
        <v>53</v>
      </c>
      <c r="E16" s="328">
        <v>0</v>
      </c>
      <c r="F16" s="328">
        <v>0</v>
      </c>
      <c r="G16" s="328">
        <v>0</v>
      </c>
      <c r="H16" s="328">
        <v>0</v>
      </c>
      <c r="I16" s="328">
        <v>0</v>
      </c>
      <c r="J16" s="328">
        <v>0</v>
      </c>
      <c r="K16" s="328">
        <v>0</v>
      </c>
      <c r="L16" s="328">
        <v>0</v>
      </c>
      <c r="M16" s="328">
        <v>0</v>
      </c>
      <c r="N16" s="328">
        <v>0</v>
      </c>
    </row>
    <row r="17" spans="1:14" x14ac:dyDescent="0.25">
      <c r="A17" s="387"/>
      <c r="B17" s="319" t="s">
        <v>121</v>
      </c>
      <c r="C17" s="320" t="s">
        <v>5</v>
      </c>
      <c r="D17" s="321" t="s">
        <v>53</v>
      </c>
      <c r="E17" s="328">
        <v>22</v>
      </c>
      <c r="F17" s="328">
        <v>21</v>
      </c>
      <c r="G17" s="328">
        <v>22</v>
      </c>
      <c r="H17" s="328">
        <v>4</v>
      </c>
      <c r="I17" s="328">
        <v>6</v>
      </c>
      <c r="J17" s="328">
        <v>5</v>
      </c>
      <c r="K17" s="328">
        <v>5</v>
      </c>
      <c r="L17" s="328">
        <v>20</v>
      </c>
      <c r="M17" s="328">
        <v>22</v>
      </c>
      <c r="N17" s="328">
        <v>22</v>
      </c>
    </row>
    <row r="18" spans="1:14" x14ac:dyDescent="0.25">
      <c r="A18" s="387"/>
      <c r="B18" s="319" t="s">
        <v>122</v>
      </c>
      <c r="C18" s="329" t="s">
        <v>24</v>
      </c>
      <c r="D18" s="321" t="s">
        <v>53</v>
      </c>
      <c r="E18" s="322">
        <v>2092586.4675000003</v>
      </c>
      <c r="F18" s="322">
        <v>2408759.5300000003</v>
      </c>
      <c r="G18" s="322">
        <v>2890511.4360000002</v>
      </c>
      <c r="H18" s="322">
        <v>521378.39</v>
      </c>
      <c r="I18" s="322">
        <v>521378.39</v>
      </c>
      <c r="J18" s="322">
        <v>114087.47</v>
      </c>
      <c r="K18" s="322">
        <v>595446.49</v>
      </c>
      <c r="L18" s="322">
        <v>1752290.7400000002</v>
      </c>
      <c r="M18" s="322">
        <v>3468613.7232000004</v>
      </c>
      <c r="N18" s="322">
        <v>4162336.4678400001</v>
      </c>
    </row>
    <row r="19" spans="1:14" x14ac:dyDescent="0.25">
      <c r="A19" s="387"/>
      <c r="B19" s="319" t="s">
        <v>123</v>
      </c>
      <c r="C19" s="320" t="s">
        <v>5</v>
      </c>
      <c r="D19" s="321" t="s">
        <v>53</v>
      </c>
      <c r="E19" s="328">
        <v>284</v>
      </c>
      <c r="F19" s="328">
        <v>309</v>
      </c>
      <c r="G19" s="328">
        <v>339.90000000000003</v>
      </c>
      <c r="H19" s="328">
        <v>90</v>
      </c>
      <c r="I19" s="328">
        <v>83</v>
      </c>
      <c r="J19" s="328">
        <v>87</v>
      </c>
      <c r="K19" s="328">
        <v>85</v>
      </c>
      <c r="L19" s="328">
        <v>345</v>
      </c>
      <c r="M19" s="328">
        <v>373.89000000000004</v>
      </c>
      <c r="N19" s="328">
        <v>411.27900000000005</v>
      </c>
    </row>
    <row r="20" spans="1:14" x14ac:dyDescent="0.25">
      <c r="A20" s="387"/>
      <c r="B20" s="319" t="s">
        <v>124</v>
      </c>
      <c r="C20" s="320" t="s">
        <v>5</v>
      </c>
      <c r="D20" s="321" t="s">
        <v>53</v>
      </c>
      <c r="E20" s="328">
        <v>304</v>
      </c>
      <c r="F20" s="328">
        <v>328</v>
      </c>
      <c r="G20" s="328">
        <v>360.8</v>
      </c>
      <c r="H20" s="328">
        <v>81</v>
      </c>
      <c r="I20" s="328">
        <v>93</v>
      </c>
      <c r="J20" s="328">
        <v>80</v>
      </c>
      <c r="K20" s="328">
        <v>83</v>
      </c>
      <c r="L20" s="328">
        <v>337</v>
      </c>
      <c r="M20" s="328">
        <v>396.88000000000005</v>
      </c>
      <c r="N20" s="328">
        <v>436.5680000000001</v>
      </c>
    </row>
    <row r="21" spans="1:14" x14ac:dyDescent="0.25">
      <c r="A21" s="388" t="s">
        <v>29</v>
      </c>
      <c r="B21" s="323" t="s">
        <v>125</v>
      </c>
      <c r="C21" s="324"/>
      <c r="D21" s="325"/>
      <c r="E21" s="330">
        <v>0</v>
      </c>
      <c r="F21" s="330"/>
      <c r="G21" s="330"/>
      <c r="H21" s="330"/>
      <c r="I21" s="330"/>
      <c r="J21" s="330"/>
      <c r="K21" s="330"/>
      <c r="L21" s="330"/>
      <c r="M21" s="330"/>
      <c r="N21" s="330"/>
    </row>
    <row r="22" spans="1:14" x14ac:dyDescent="0.25">
      <c r="A22" s="388"/>
      <c r="B22" s="319" t="s">
        <v>126</v>
      </c>
      <c r="C22" s="329" t="s">
        <v>5</v>
      </c>
      <c r="D22" s="321" t="s">
        <v>53</v>
      </c>
      <c r="E22" s="331">
        <v>708</v>
      </c>
      <c r="F22" s="331">
        <v>738</v>
      </c>
      <c r="G22" s="331">
        <v>811.80000000000007</v>
      </c>
      <c r="H22" s="331">
        <v>673</v>
      </c>
      <c r="I22" s="331">
        <v>663</v>
      </c>
      <c r="J22" s="331">
        <v>650</v>
      </c>
      <c r="K22" s="331">
        <v>645</v>
      </c>
      <c r="L22" s="331">
        <v>645</v>
      </c>
      <c r="M22" s="331">
        <v>892.98000000000013</v>
      </c>
      <c r="N22" s="331">
        <v>982.27800000000025</v>
      </c>
    </row>
    <row r="23" spans="1:14" x14ac:dyDescent="0.25">
      <c r="A23" s="388"/>
      <c r="B23" s="319" t="s">
        <v>127</v>
      </c>
      <c r="C23" s="329" t="s">
        <v>5</v>
      </c>
      <c r="D23" s="321" t="s">
        <v>53</v>
      </c>
      <c r="E23" s="331">
        <v>69</v>
      </c>
      <c r="F23" s="331">
        <v>65</v>
      </c>
      <c r="G23" s="331">
        <v>74</v>
      </c>
      <c r="H23" s="331">
        <v>74</v>
      </c>
      <c r="I23" s="331">
        <v>73</v>
      </c>
      <c r="J23" s="331">
        <v>72</v>
      </c>
      <c r="K23" s="331">
        <v>71</v>
      </c>
      <c r="L23" s="331">
        <v>71</v>
      </c>
      <c r="M23" s="331">
        <v>79</v>
      </c>
      <c r="N23" s="331">
        <v>79</v>
      </c>
    </row>
    <row r="24" spans="1:14" x14ac:dyDescent="0.25">
      <c r="A24" s="388"/>
      <c r="B24" s="319" t="s">
        <v>128</v>
      </c>
      <c r="C24" s="329" t="s">
        <v>5</v>
      </c>
      <c r="D24" s="321" t="s">
        <v>53</v>
      </c>
      <c r="E24" s="331">
        <v>130</v>
      </c>
      <c r="F24" s="331">
        <v>119</v>
      </c>
      <c r="G24" s="331">
        <v>138</v>
      </c>
      <c r="H24" s="331">
        <v>118</v>
      </c>
      <c r="I24" s="331">
        <v>115</v>
      </c>
      <c r="J24" s="331">
        <v>115</v>
      </c>
      <c r="K24" s="331">
        <v>114</v>
      </c>
      <c r="L24" s="331">
        <v>114</v>
      </c>
      <c r="M24" s="331">
        <v>146</v>
      </c>
      <c r="N24" s="331">
        <v>146</v>
      </c>
    </row>
    <row r="25" spans="1:14" x14ac:dyDescent="0.25">
      <c r="A25" s="388"/>
      <c r="B25" s="319" t="s">
        <v>129</v>
      </c>
      <c r="C25" s="329" t="s">
        <v>5</v>
      </c>
      <c r="D25" s="321" t="s">
        <v>53</v>
      </c>
      <c r="E25" s="331">
        <v>509</v>
      </c>
      <c r="F25" s="331">
        <v>633</v>
      </c>
      <c r="G25" s="331">
        <v>518</v>
      </c>
      <c r="H25" s="331">
        <v>544</v>
      </c>
      <c r="I25" s="331">
        <v>538</v>
      </c>
      <c r="J25" s="331">
        <v>535</v>
      </c>
      <c r="K25" s="331">
        <v>531</v>
      </c>
      <c r="L25" s="331">
        <v>531</v>
      </c>
      <c r="M25" s="331">
        <v>525</v>
      </c>
      <c r="N25" s="331">
        <v>525</v>
      </c>
    </row>
    <row r="26" spans="1:14" x14ac:dyDescent="0.25">
      <c r="A26" s="388"/>
      <c r="B26" s="319" t="s">
        <v>130</v>
      </c>
      <c r="C26" s="329" t="s">
        <v>5</v>
      </c>
      <c r="D26" s="321" t="s">
        <v>53</v>
      </c>
      <c r="E26" s="331">
        <v>736</v>
      </c>
      <c r="F26" s="331">
        <v>733</v>
      </c>
      <c r="G26" s="331">
        <v>806.30000000000007</v>
      </c>
      <c r="H26" s="331">
        <v>678</v>
      </c>
      <c r="I26" s="331">
        <v>671</v>
      </c>
      <c r="J26" s="331">
        <v>668</v>
      </c>
      <c r="K26" s="331">
        <v>663</v>
      </c>
      <c r="L26" s="331">
        <v>663</v>
      </c>
      <c r="M26" s="331">
        <v>886.93000000000018</v>
      </c>
      <c r="N26" s="331">
        <v>975.62300000000027</v>
      </c>
    </row>
    <row r="27" spans="1:14" x14ac:dyDescent="0.25">
      <c r="A27" s="388"/>
      <c r="B27" s="319" t="s">
        <v>131</v>
      </c>
      <c r="C27" s="329" t="s">
        <v>5</v>
      </c>
      <c r="D27" s="321" t="s">
        <v>53</v>
      </c>
      <c r="E27" s="331">
        <v>5</v>
      </c>
      <c r="F27" s="331">
        <v>5</v>
      </c>
      <c r="G27" s="331">
        <v>5</v>
      </c>
      <c r="H27" s="331">
        <v>4</v>
      </c>
      <c r="I27" s="331">
        <v>4</v>
      </c>
      <c r="J27" s="331">
        <v>4</v>
      </c>
      <c r="K27" s="331">
        <v>4</v>
      </c>
      <c r="L27" s="331">
        <v>4</v>
      </c>
      <c r="M27" s="331">
        <v>5</v>
      </c>
      <c r="N27" s="331">
        <v>5</v>
      </c>
    </row>
    <row r="28" spans="1:14" x14ac:dyDescent="0.25">
      <c r="A28" s="388"/>
      <c r="B28" s="319" t="s">
        <v>132</v>
      </c>
      <c r="C28" s="329" t="s">
        <v>5</v>
      </c>
      <c r="D28" s="321" t="s">
        <v>53</v>
      </c>
      <c r="E28" s="331">
        <v>541</v>
      </c>
      <c r="F28" s="331">
        <v>633</v>
      </c>
      <c r="G28" s="331">
        <v>696.30000000000007</v>
      </c>
      <c r="H28" s="331">
        <v>646</v>
      </c>
      <c r="I28" s="331">
        <v>639</v>
      </c>
      <c r="J28" s="331">
        <v>635</v>
      </c>
      <c r="K28" s="331">
        <v>630</v>
      </c>
      <c r="L28" s="331">
        <v>630</v>
      </c>
      <c r="M28" s="331">
        <v>765.93000000000018</v>
      </c>
      <c r="N28" s="331">
        <v>842.52300000000025</v>
      </c>
    </row>
    <row r="29" spans="1:14" x14ac:dyDescent="0.25">
      <c r="A29" s="388"/>
      <c r="B29" s="319" t="s">
        <v>133</v>
      </c>
      <c r="C29" s="329" t="s">
        <v>5</v>
      </c>
      <c r="D29" s="321" t="s">
        <v>53</v>
      </c>
      <c r="E29" s="331">
        <v>98</v>
      </c>
      <c r="F29" s="331">
        <v>84</v>
      </c>
      <c r="G29" s="331">
        <v>92.4</v>
      </c>
      <c r="H29" s="331">
        <v>14</v>
      </c>
      <c r="I29" s="331">
        <v>14</v>
      </c>
      <c r="J29" s="331">
        <v>15</v>
      </c>
      <c r="K29" s="331">
        <v>15</v>
      </c>
      <c r="L29" s="331">
        <v>15</v>
      </c>
      <c r="M29" s="331">
        <v>101.64000000000001</v>
      </c>
      <c r="N29" s="331">
        <v>111.80400000000003</v>
      </c>
    </row>
    <row r="30" spans="1:14" x14ac:dyDescent="0.25">
      <c r="A30" s="388"/>
      <c r="B30" s="319" t="s">
        <v>134</v>
      </c>
      <c r="C30" s="329" t="s">
        <v>5</v>
      </c>
      <c r="D30" s="321" t="s">
        <v>53</v>
      </c>
      <c r="E30" s="331">
        <v>6</v>
      </c>
      <c r="F30" s="331">
        <v>2</v>
      </c>
      <c r="G30" s="331">
        <v>2.2000000000000002</v>
      </c>
      <c r="H30" s="331">
        <v>2</v>
      </c>
      <c r="I30" s="331">
        <v>2</v>
      </c>
      <c r="J30" s="331">
        <v>2</v>
      </c>
      <c r="K30" s="331">
        <v>2</v>
      </c>
      <c r="L30" s="331">
        <v>2</v>
      </c>
      <c r="M30" s="331">
        <v>2.4200000000000004</v>
      </c>
      <c r="N30" s="331">
        <v>2.6620000000000008</v>
      </c>
    </row>
    <row r="31" spans="1:14" x14ac:dyDescent="0.25">
      <c r="A31" s="388"/>
      <c r="B31" s="319" t="s">
        <v>135</v>
      </c>
      <c r="C31" s="329" t="s">
        <v>5</v>
      </c>
      <c r="D31" s="321" t="s">
        <v>53</v>
      </c>
      <c r="E31" s="331">
        <v>88</v>
      </c>
      <c r="F31" s="331">
        <v>18</v>
      </c>
      <c r="G31" s="331">
        <v>19.8</v>
      </c>
      <c r="H31" s="331">
        <v>11</v>
      </c>
      <c r="I31" s="331">
        <v>10</v>
      </c>
      <c r="J31" s="331">
        <v>10</v>
      </c>
      <c r="K31" s="331">
        <v>10</v>
      </c>
      <c r="L31" s="331">
        <v>10</v>
      </c>
      <c r="M31" s="331">
        <v>21.78</v>
      </c>
      <c r="N31" s="331">
        <v>23.958000000000002</v>
      </c>
    </row>
    <row r="32" spans="1:14" x14ac:dyDescent="0.25">
      <c r="A32" s="388"/>
      <c r="B32" s="319" t="s">
        <v>136</v>
      </c>
      <c r="C32" s="329" t="s">
        <v>5</v>
      </c>
      <c r="D32" s="321" t="s">
        <v>53</v>
      </c>
      <c r="E32" s="331">
        <v>3</v>
      </c>
      <c r="F32" s="331">
        <v>4</v>
      </c>
      <c r="G32" s="331">
        <v>4.4000000000000004</v>
      </c>
      <c r="H32" s="331">
        <v>1</v>
      </c>
      <c r="I32" s="331">
        <v>2</v>
      </c>
      <c r="J32" s="331">
        <v>2</v>
      </c>
      <c r="K32" s="331">
        <v>2</v>
      </c>
      <c r="L32" s="331">
        <v>2</v>
      </c>
      <c r="M32" s="331">
        <v>4.8400000000000007</v>
      </c>
      <c r="N32" s="331">
        <v>5.3240000000000016</v>
      </c>
    </row>
    <row r="33" spans="1:14" x14ac:dyDescent="0.25">
      <c r="A33" s="388"/>
      <c r="B33" s="323" t="s">
        <v>137</v>
      </c>
      <c r="C33" s="324"/>
      <c r="D33" s="325"/>
      <c r="E33" s="330">
        <v>0</v>
      </c>
      <c r="F33" s="330"/>
      <c r="G33" s="330"/>
      <c r="H33" s="330"/>
      <c r="I33" s="330"/>
      <c r="J33" s="330"/>
      <c r="K33" s="330"/>
      <c r="L33" s="330"/>
      <c r="M33" s="330"/>
      <c r="N33" s="330"/>
    </row>
    <row r="34" spans="1:14" x14ac:dyDescent="0.25">
      <c r="A34" s="388"/>
      <c r="B34" s="319" t="s">
        <v>138</v>
      </c>
      <c r="C34" s="320" t="s">
        <v>5</v>
      </c>
      <c r="D34" s="321" t="s">
        <v>53</v>
      </c>
      <c r="E34" s="328">
        <v>11</v>
      </c>
      <c r="F34" s="328">
        <v>11</v>
      </c>
      <c r="G34" s="328">
        <v>14</v>
      </c>
      <c r="H34" s="328">
        <v>11</v>
      </c>
      <c r="I34" s="328">
        <v>11</v>
      </c>
      <c r="J34" s="328">
        <v>11</v>
      </c>
      <c r="K34" s="328">
        <v>12</v>
      </c>
      <c r="L34" s="328">
        <v>13</v>
      </c>
      <c r="M34" s="328">
        <v>14</v>
      </c>
      <c r="N34" s="328">
        <v>14</v>
      </c>
    </row>
    <row r="35" spans="1:14" x14ac:dyDescent="0.25">
      <c r="A35" s="389"/>
      <c r="B35" s="319" t="s">
        <v>139</v>
      </c>
      <c r="C35" s="320" t="s">
        <v>5</v>
      </c>
      <c r="D35" s="321" t="s">
        <v>53</v>
      </c>
      <c r="E35" s="328">
        <v>611</v>
      </c>
      <c r="F35" s="328">
        <v>669</v>
      </c>
      <c r="G35" s="328">
        <v>699.10500000000002</v>
      </c>
      <c r="H35" s="328">
        <v>669</v>
      </c>
      <c r="I35" s="328">
        <v>671</v>
      </c>
      <c r="J35" s="328">
        <v>671</v>
      </c>
      <c r="K35" s="328">
        <v>710</v>
      </c>
      <c r="L35" s="328">
        <v>749</v>
      </c>
      <c r="M35" s="328">
        <v>730.56472500000007</v>
      </c>
      <c r="N35" s="328">
        <v>763.44013762500003</v>
      </c>
    </row>
    <row r="36" spans="1:14" x14ac:dyDescent="0.25">
      <c r="A36" s="389"/>
      <c r="B36" s="319" t="s">
        <v>140</v>
      </c>
      <c r="C36" s="320" t="s">
        <v>5</v>
      </c>
      <c r="D36" s="321" t="s">
        <v>53</v>
      </c>
      <c r="E36" s="328">
        <v>447</v>
      </c>
      <c r="F36" s="328">
        <v>492</v>
      </c>
      <c r="G36" s="328">
        <v>514.14</v>
      </c>
      <c r="H36" s="328">
        <v>492</v>
      </c>
      <c r="I36" s="328">
        <v>492</v>
      </c>
      <c r="J36" s="328">
        <v>492</v>
      </c>
      <c r="K36" s="328">
        <v>531</v>
      </c>
      <c r="L36" s="328">
        <v>570</v>
      </c>
      <c r="M36" s="328">
        <v>537.27629999999999</v>
      </c>
      <c r="N36" s="328">
        <v>561.4537335</v>
      </c>
    </row>
    <row r="37" spans="1:14" x14ac:dyDescent="0.25">
      <c r="A37" s="389"/>
      <c r="B37" s="319" t="s">
        <v>141</v>
      </c>
      <c r="C37" s="320" t="s">
        <v>5</v>
      </c>
      <c r="D37" s="321" t="s">
        <v>53</v>
      </c>
      <c r="E37" s="328">
        <v>164</v>
      </c>
      <c r="F37" s="328">
        <v>177</v>
      </c>
      <c r="G37" s="328">
        <v>184.965</v>
      </c>
      <c r="H37" s="328">
        <v>177</v>
      </c>
      <c r="I37" s="328">
        <v>179</v>
      </c>
      <c r="J37" s="328">
        <v>179</v>
      </c>
      <c r="K37" s="328">
        <v>179</v>
      </c>
      <c r="L37" s="328">
        <v>179</v>
      </c>
      <c r="M37" s="328">
        <v>193.28842500000002</v>
      </c>
      <c r="N37" s="328">
        <v>201.98640412500001</v>
      </c>
    </row>
    <row r="38" spans="1:14" x14ac:dyDescent="0.25">
      <c r="A38" s="389"/>
      <c r="B38" s="323" t="s">
        <v>142</v>
      </c>
      <c r="C38" s="324"/>
      <c r="D38" s="325"/>
      <c r="E38" s="330"/>
      <c r="F38" s="330"/>
      <c r="G38" s="330"/>
      <c r="H38" s="330"/>
      <c r="I38" s="330"/>
      <c r="J38" s="330"/>
      <c r="K38" s="330"/>
      <c r="L38" s="330"/>
      <c r="M38" s="330"/>
      <c r="N38" s="330"/>
    </row>
    <row r="39" spans="1:14" x14ac:dyDescent="0.25">
      <c r="A39" s="389"/>
      <c r="B39" s="319" t="s">
        <v>143</v>
      </c>
      <c r="C39" s="320" t="s">
        <v>24</v>
      </c>
      <c r="D39" s="321" t="s">
        <v>53</v>
      </c>
      <c r="E39" s="322">
        <v>3032866400</v>
      </c>
      <c r="F39" s="322">
        <v>3091560044.54</v>
      </c>
      <c r="G39" s="322">
        <v>4640806137.2879992</v>
      </c>
      <c r="H39" s="322">
        <v>4670804061</v>
      </c>
      <c r="I39" s="322">
        <v>4670804061</v>
      </c>
      <c r="J39" s="322">
        <v>4670804061</v>
      </c>
      <c r="K39" s="322">
        <v>4670804061</v>
      </c>
      <c r="L39" s="322">
        <v>4670804061</v>
      </c>
      <c r="M39" s="322">
        <v>5568967364.7455988</v>
      </c>
      <c r="N39" s="322">
        <v>6682760837.6947184</v>
      </c>
    </row>
    <row r="40" spans="1:14" x14ac:dyDescent="0.25">
      <c r="A40" s="389"/>
      <c r="B40" s="319" t="s">
        <v>144</v>
      </c>
      <c r="C40" s="320" t="s">
        <v>24</v>
      </c>
      <c r="D40" s="321" t="s">
        <v>53</v>
      </c>
      <c r="E40" s="322">
        <v>3032866400</v>
      </c>
      <c r="F40" s="322">
        <v>4249930774.8400002</v>
      </c>
      <c r="G40" s="322">
        <v>4640806137.2879992</v>
      </c>
      <c r="H40" s="322">
        <v>4670804061</v>
      </c>
      <c r="I40" s="322">
        <v>4670804061</v>
      </c>
      <c r="J40" s="322">
        <v>4670804061</v>
      </c>
      <c r="K40" s="322">
        <v>4670804061</v>
      </c>
      <c r="L40" s="322">
        <v>4670804061</v>
      </c>
      <c r="M40" s="322">
        <v>5568967364.7455988</v>
      </c>
      <c r="N40" s="322">
        <v>6682760837.6947184</v>
      </c>
    </row>
    <row r="41" spans="1:14" x14ac:dyDescent="0.25">
      <c r="A41" s="389"/>
      <c r="B41" s="319" t="s">
        <v>145</v>
      </c>
      <c r="C41" s="320" t="s">
        <v>24</v>
      </c>
      <c r="D41" s="321" t="s">
        <v>53</v>
      </c>
      <c r="E41" s="322">
        <v>2937489267.6700001</v>
      </c>
      <c r="F41" s="322">
        <v>3872155095.4899998</v>
      </c>
      <c r="G41" s="322">
        <v>4640806137.2879992</v>
      </c>
      <c r="H41" s="322">
        <v>874173923.24000001</v>
      </c>
      <c r="I41" s="322">
        <v>1153216291.3099999</v>
      </c>
      <c r="J41" s="322">
        <v>1159971063.3799999</v>
      </c>
      <c r="K41" s="322">
        <v>1320812584.9800003</v>
      </c>
      <c r="L41" s="322">
        <v>4508173862.9099998</v>
      </c>
      <c r="M41" s="322">
        <v>5568967364.7455988</v>
      </c>
      <c r="N41" s="322">
        <v>6682760837.6947184</v>
      </c>
    </row>
    <row r="42" spans="1:14" ht="15.75" thickBot="1" x14ac:dyDescent="0.3">
      <c r="A42" s="390"/>
      <c r="B42" s="319" t="s">
        <v>146</v>
      </c>
      <c r="C42" s="320" t="s">
        <v>6</v>
      </c>
      <c r="D42" s="321" t="s">
        <v>53</v>
      </c>
      <c r="E42" s="332">
        <v>0.96855214844610371</v>
      </c>
      <c r="F42" s="332">
        <v>0.91111015699679887</v>
      </c>
      <c r="G42" s="332" t="s">
        <v>151</v>
      </c>
      <c r="H42" s="332">
        <v>0.18715705300916496</v>
      </c>
      <c r="I42" s="332">
        <v>0.24689887998921989</v>
      </c>
      <c r="J42" s="332">
        <v>0.2483450489960512</v>
      </c>
      <c r="K42" s="332">
        <v>0.28278055934917973</v>
      </c>
      <c r="L42" s="332">
        <v>0.96518154134361578</v>
      </c>
      <c r="M42" s="332" t="s">
        <v>151</v>
      </c>
      <c r="N42" s="332" t="s">
        <v>151</v>
      </c>
    </row>
  </sheetData>
  <mergeCells count="12">
    <mergeCell ref="A7:A20"/>
    <mergeCell ref="A21:A42"/>
    <mergeCell ref="A1:B1"/>
    <mergeCell ref="C1:N2"/>
    <mergeCell ref="A2:B2"/>
    <mergeCell ref="A3:B3"/>
    <mergeCell ref="C3:N3"/>
    <mergeCell ref="A4:B6"/>
    <mergeCell ref="C4:C6"/>
    <mergeCell ref="D4:D6"/>
    <mergeCell ref="E4:N4"/>
    <mergeCell ref="H5:K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opLeftCell="A103" zoomScale="110" zoomScaleNormal="110" workbookViewId="0">
      <selection activeCell="D17" sqref="D17"/>
    </sheetView>
  </sheetViews>
  <sheetFormatPr baseColWidth="10" defaultRowHeight="12.75" x14ac:dyDescent="0.2"/>
  <cols>
    <col min="1" max="1" width="5.85546875" style="213" customWidth="1"/>
    <col min="2" max="2" width="45.28515625" style="213" customWidth="1"/>
    <col min="3" max="3" width="10.7109375" style="213" customWidth="1"/>
    <col min="4" max="4" width="10.7109375" style="134" customWidth="1"/>
    <col min="5" max="6" width="8.7109375" style="134" customWidth="1"/>
    <col min="7" max="8" width="8.5703125" style="134" customWidth="1"/>
    <col min="9" max="10" width="8.7109375" style="134" customWidth="1"/>
    <col min="11" max="11" width="8.5703125" style="134" customWidth="1"/>
    <col min="12" max="256" width="11.42578125" style="213"/>
    <col min="257" max="257" width="5.85546875" style="213" customWidth="1"/>
    <col min="258" max="258" width="45.28515625" style="213" customWidth="1"/>
    <col min="259" max="260" width="10.7109375" style="213" customWidth="1"/>
    <col min="261" max="262" width="8.7109375" style="213" customWidth="1"/>
    <col min="263" max="264" width="8.5703125" style="213" customWidth="1"/>
    <col min="265" max="266" width="8.7109375" style="213" customWidth="1"/>
    <col min="267" max="267" width="8.5703125" style="213" customWidth="1"/>
    <col min="268" max="512" width="11.42578125" style="213"/>
    <col min="513" max="513" width="5.85546875" style="213" customWidth="1"/>
    <col min="514" max="514" width="45.28515625" style="213" customWidth="1"/>
    <col min="515" max="516" width="10.7109375" style="213" customWidth="1"/>
    <col min="517" max="518" width="8.7109375" style="213" customWidth="1"/>
    <col min="519" max="520" width="8.5703125" style="213" customWidth="1"/>
    <col min="521" max="522" width="8.7109375" style="213" customWidth="1"/>
    <col min="523" max="523" width="8.5703125" style="213" customWidth="1"/>
    <col min="524" max="768" width="11.42578125" style="213"/>
    <col min="769" max="769" width="5.85546875" style="213" customWidth="1"/>
    <col min="770" max="770" width="45.28515625" style="213" customWidth="1"/>
    <col min="771" max="772" width="10.7109375" style="213" customWidth="1"/>
    <col min="773" max="774" width="8.7109375" style="213" customWidth="1"/>
    <col min="775" max="776" width="8.5703125" style="213" customWidth="1"/>
    <col min="777" max="778" width="8.7109375" style="213" customWidth="1"/>
    <col min="779" max="779" width="8.5703125" style="213" customWidth="1"/>
    <col min="780" max="1024" width="11.42578125" style="213"/>
    <col min="1025" max="1025" width="5.85546875" style="213" customWidth="1"/>
    <col min="1026" max="1026" width="45.28515625" style="213" customWidth="1"/>
    <col min="1027" max="1028" width="10.7109375" style="213" customWidth="1"/>
    <col min="1029" max="1030" width="8.7109375" style="213" customWidth="1"/>
    <col min="1031" max="1032" width="8.5703125" style="213" customWidth="1"/>
    <col min="1033" max="1034" width="8.7109375" style="213" customWidth="1"/>
    <col min="1035" max="1035" width="8.5703125" style="213" customWidth="1"/>
    <col min="1036" max="1280" width="11.42578125" style="213"/>
    <col min="1281" max="1281" width="5.85546875" style="213" customWidth="1"/>
    <col min="1282" max="1282" width="45.28515625" style="213" customWidth="1"/>
    <col min="1283" max="1284" width="10.7109375" style="213" customWidth="1"/>
    <col min="1285" max="1286" width="8.7109375" style="213" customWidth="1"/>
    <col min="1287" max="1288" width="8.5703125" style="213" customWidth="1"/>
    <col min="1289" max="1290" width="8.7109375" style="213" customWidth="1"/>
    <col min="1291" max="1291" width="8.5703125" style="213" customWidth="1"/>
    <col min="1292" max="1536" width="11.42578125" style="213"/>
    <col min="1537" max="1537" width="5.85546875" style="213" customWidth="1"/>
    <col min="1538" max="1538" width="45.28515625" style="213" customWidth="1"/>
    <col min="1539" max="1540" width="10.7109375" style="213" customWidth="1"/>
    <col min="1541" max="1542" width="8.7109375" style="213" customWidth="1"/>
    <col min="1543" max="1544" width="8.5703125" style="213" customWidth="1"/>
    <col min="1545" max="1546" width="8.7109375" style="213" customWidth="1"/>
    <col min="1547" max="1547" width="8.5703125" style="213" customWidth="1"/>
    <col min="1548" max="1792" width="11.42578125" style="213"/>
    <col min="1793" max="1793" width="5.85546875" style="213" customWidth="1"/>
    <col min="1794" max="1794" width="45.28515625" style="213" customWidth="1"/>
    <col min="1795" max="1796" width="10.7109375" style="213" customWidth="1"/>
    <col min="1797" max="1798" width="8.7109375" style="213" customWidth="1"/>
    <col min="1799" max="1800" width="8.5703125" style="213" customWidth="1"/>
    <col min="1801" max="1802" width="8.7109375" style="213" customWidth="1"/>
    <col min="1803" max="1803" width="8.5703125" style="213" customWidth="1"/>
    <col min="1804" max="2048" width="11.42578125" style="213"/>
    <col min="2049" max="2049" width="5.85546875" style="213" customWidth="1"/>
    <col min="2050" max="2050" width="45.28515625" style="213" customWidth="1"/>
    <col min="2051" max="2052" width="10.7109375" style="213" customWidth="1"/>
    <col min="2053" max="2054" width="8.7109375" style="213" customWidth="1"/>
    <col min="2055" max="2056" width="8.5703125" style="213" customWidth="1"/>
    <col min="2057" max="2058" width="8.7109375" style="213" customWidth="1"/>
    <col min="2059" max="2059" width="8.5703125" style="213" customWidth="1"/>
    <col min="2060" max="2304" width="11.42578125" style="213"/>
    <col min="2305" max="2305" width="5.85546875" style="213" customWidth="1"/>
    <col min="2306" max="2306" width="45.28515625" style="213" customWidth="1"/>
    <col min="2307" max="2308" width="10.7109375" style="213" customWidth="1"/>
    <col min="2309" max="2310" width="8.7109375" style="213" customWidth="1"/>
    <col min="2311" max="2312" width="8.5703125" style="213" customWidth="1"/>
    <col min="2313" max="2314" width="8.7109375" style="213" customWidth="1"/>
    <col min="2315" max="2315" width="8.5703125" style="213" customWidth="1"/>
    <col min="2316" max="2560" width="11.42578125" style="213"/>
    <col min="2561" max="2561" width="5.85546875" style="213" customWidth="1"/>
    <col min="2562" max="2562" width="45.28515625" style="213" customWidth="1"/>
    <col min="2563" max="2564" width="10.7109375" style="213" customWidth="1"/>
    <col min="2565" max="2566" width="8.7109375" style="213" customWidth="1"/>
    <col min="2567" max="2568" width="8.5703125" style="213" customWidth="1"/>
    <col min="2569" max="2570" width="8.7109375" style="213" customWidth="1"/>
    <col min="2571" max="2571" width="8.5703125" style="213" customWidth="1"/>
    <col min="2572" max="2816" width="11.42578125" style="213"/>
    <col min="2817" max="2817" width="5.85546875" style="213" customWidth="1"/>
    <col min="2818" max="2818" width="45.28515625" style="213" customWidth="1"/>
    <col min="2819" max="2820" width="10.7109375" style="213" customWidth="1"/>
    <col min="2821" max="2822" width="8.7109375" style="213" customWidth="1"/>
    <col min="2823" max="2824" width="8.5703125" style="213" customWidth="1"/>
    <col min="2825" max="2826" width="8.7109375" style="213" customWidth="1"/>
    <col min="2827" max="2827" width="8.5703125" style="213" customWidth="1"/>
    <col min="2828" max="3072" width="11.42578125" style="213"/>
    <col min="3073" max="3073" width="5.85546875" style="213" customWidth="1"/>
    <col min="3074" max="3074" width="45.28515625" style="213" customWidth="1"/>
    <col min="3075" max="3076" width="10.7109375" style="213" customWidth="1"/>
    <col min="3077" max="3078" width="8.7109375" style="213" customWidth="1"/>
    <col min="3079" max="3080" width="8.5703125" style="213" customWidth="1"/>
    <col min="3081" max="3082" width="8.7109375" style="213" customWidth="1"/>
    <col min="3083" max="3083" width="8.5703125" style="213" customWidth="1"/>
    <col min="3084" max="3328" width="11.42578125" style="213"/>
    <col min="3329" max="3329" width="5.85546875" style="213" customWidth="1"/>
    <col min="3330" max="3330" width="45.28515625" style="213" customWidth="1"/>
    <col min="3331" max="3332" width="10.7109375" style="213" customWidth="1"/>
    <col min="3333" max="3334" width="8.7109375" style="213" customWidth="1"/>
    <col min="3335" max="3336" width="8.5703125" style="213" customWidth="1"/>
    <col min="3337" max="3338" width="8.7109375" style="213" customWidth="1"/>
    <col min="3339" max="3339" width="8.5703125" style="213" customWidth="1"/>
    <col min="3340" max="3584" width="11.42578125" style="213"/>
    <col min="3585" max="3585" width="5.85546875" style="213" customWidth="1"/>
    <col min="3586" max="3586" width="45.28515625" style="213" customWidth="1"/>
    <col min="3587" max="3588" width="10.7109375" style="213" customWidth="1"/>
    <col min="3589" max="3590" width="8.7109375" style="213" customWidth="1"/>
    <col min="3591" max="3592" width="8.5703125" style="213" customWidth="1"/>
    <col min="3593" max="3594" width="8.7109375" style="213" customWidth="1"/>
    <col min="3595" max="3595" width="8.5703125" style="213" customWidth="1"/>
    <col min="3596" max="3840" width="11.42578125" style="213"/>
    <col min="3841" max="3841" width="5.85546875" style="213" customWidth="1"/>
    <col min="3842" max="3842" width="45.28515625" style="213" customWidth="1"/>
    <col min="3843" max="3844" width="10.7109375" style="213" customWidth="1"/>
    <col min="3845" max="3846" width="8.7109375" style="213" customWidth="1"/>
    <col min="3847" max="3848" width="8.5703125" style="213" customWidth="1"/>
    <col min="3849" max="3850" width="8.7109375" style="213" customWidth="1"/>
    <col min="3851" max="3851" width="8.5703125" style="213" customWidth="1"/>
    <col min="3852" max="4096" width="11.42578125" style="213"/>
    <col min="4097" max="4097" width="5.85546875" style="213" customWidth="1"/>
    <col min="4098" max="4098" width="45.28515625" style="213" customWidth="1"/>
    <col min="4099" max="4100" width="10.7109375" style="213" customWidth="1"/>
    <col min="4101" max="4102" width="8.7109375" style="213" customWidth="1"/>
    <col min="4103" max="4104" width="8.5703125" style="213" customWidth="1"/>
    <col min="4105" max="4106" width="8.7109375" style="213" customWidth="1"/>
    <col min="4107" max="4107" width="8.5703125" style="213" customWidth="1"/>
    <col min="4108" max="4352" width="11.42578125" style="213"/>
    <col min="4353" max="4353" width="5.85546875" style="213" customWidth="1"/>
    <col min="4354" max="4354" width="45.28515625" style="213" customWidth="1"/>
    <col min="4355" max="4356" width="10.7109375" style="213" customWidth="1"/>
    <col min="4357" max="4358" width="8.7109375" style="213" customWidth="1"/>
    <col min="4359" max="4360" width="8.5703125" style="213" customWidth="1"/>
    <col min="4361" max="4362" width="8.7109375" style="213" customWidth="1"/>
    <col min="4363" max="4363" width="8.5703125" style="213" customWidth="1"/>
    <col min="4364" max="4608" width="11.42578125" style="213"/>
    <col min="4609" max="4609" width="5.85546875" style="213" customWidth="1"/>
    <col min="4610" max="4610" width="45.28515625" style="213" customWidth="1"/>
    <col min="4611" max="4612" width="10.7109375" style="213" customWidth="1"/>
    <col min="4613" max="4614" width="8.7109375" style="213" customWidth="1"/>
    <col min="4615" max="4616" width="8.5703125" style="213" customWidth="1"/>
    <col min="4617" max="4618" width="8.7109375" style="213" customWidth="1"/>
    <col min="4619" max="4619" width="8.5703125" style="213" customWidth="1"/>
    <col min="4620" max="4864" width="11.42578125" style="213"/>
    <col min="4865" max="4865" width="5.85546875" style="213" customWidth="1"/>
    <col min="4866" max="4866" width="45.28515625" style="213" customWidth="1"/>
    <col min="4867" max="4868" width="10.7109375" style="213" customWidth="1"/>
    <col min="4869" max="4870" width="8.7109375" style="213" customWidth="1"/>
    <col min="4871" max="4872" width="8.5703125" style="213" customWidth="1"/>
    <col min="4873" max="4874" width="8.7109375" style="213" customWidth="1"/>
    <col min="4875" max="4875" width="8.5703125" style="213" customWidth="1"/>
    <col min="4876" max="5120" width="11.42578125" style="213"/>
    <col min="5121" max="5121" width="5.85546875" style="213" customWidth="1"/>
    <col min="5122" max="5122" width="45.28515625" style="213" customWidth="1"/>
    <col min="5123" max="5124" width="10.7109375" style="213" customWidth="1"/>
    <col min="5125" max="5126" width="8.7109375" style="213" customWidth="1"/>
    <col min="5127" max="5128" width="8.5703125" style="213" customWidth="1"/>
    <col min="5129" max="5130" width="8.7109375" style="213" customWidth="1"/>
    <col min="5131" max="5131" width="8.5703125" style="213" customWidth="1"/>
    <col min="5132" max="5376" width="11.42578125" style="213"/>
    <col min="5377" max="5377" width="5.85546875" style="213" customWidth="1"/>
    <col min="5378" max="5378" width="45.28515625" style="213" customWidth="1"/>
    <col min="5379" max="5380" width="10.7109375" style="213" customWidth="1"/>
    <col min="5381" max="5382" width="8.7109375" style="213" customWidth="1"/>
    <col min="5383" max="5384" width="8.5703125" style="213" customWidth="1"/>
    <col min="5385" max="5386" width="8.7109375" style="213" customWidth="1"/>
    <col min="5387" max="5387" width="8.5703125" style="213" customWidth="1"/>
    <col min="5388" max="5632" width="11.42578125" style="213"/>
    <col min="5633" max="5633" width="5.85546875" style="213" customWidth="1"/>
    <col min="5634" max="5634" width="45.28515625" style="213" customWidth="1"/>
    <col min="5635" max="5636" width="10.7109375" style="213" customWidth="1"/>
    <col min="5637" max="5638" width="8.7109375" style="213" customWidth="1"/>
    <col min="5639" max="5640" width="8.5703125" style="213" customWidth="1"/>
    <col min="5641" max="5642" width="8.7109375" style="213" customWidth="1"/>
    <col min="5643" max="5643" width="8.5703125" style="213" customWidth="1"/>
    <col min="5644" max="5888" width="11.42578125" style="213"/>
    <col min="5889" max="5889" width="5.85546875" style="213" customWidth="1"/>
    <col min="5890" max="5890" width="45.28515625" style="213" customWidth="1"/>
    <col min="5891" max="5892" width="10.7109375" style="213" customWidth="1"/>
    <col min="5893" max="5894" width="8.7109375" style="213" customWidth="1"/>
    <col min="5895" max="5896" width="8.5703125" style="213" customWidth="1"/>
    <col min="5897" max="5898" width="8.7109375" style="213" customWidth="1"/>
    <col min="5899" max="5899" width="8.5703125" style="213" customWidth="1"/>
    <col min="5900" max="6144" width="11.42578125" style="213"/>
    <col min="6145" max="6145" width="5.85546875" style="213" customWidth="1"/>
    <col min="6146" max="6146" width="45.28515625" style="213" customWidth="1"/>
    <col min="6147" max="6148" width="10.7109375" style="213" customWidth="1"/>
    <col min="6149" max="6150" width="8.7109375" style="213" customWidth="1"/>
    <col min="6151" max="6152" width="8.5703125" style="213" customWidth="1"/>
    <col min="6153" max="6154" width="8.7109375" style="213" customWidth="1"/>
    <col min="6155" max="6155" width="8.5703125" style="213" customWidth="1"/>
    <col min="6156" max="6400" width="11.42578125" style="213"/>
    <col min="6401" max="6401" width="5.85546875" style="213" customWidth="1"/>
    <col min="6402" max="6402" width="45.28515625" style="213" customWidth="1"/>
    <col min="6403" max="6404" width="10.7109375" style="213" customWidth="1"/>
    <col min="6405" max="6406" width="8.7109375" style="213" customWidth="1"/>
    <col min="6407" max="6408" width="8.5703125" style="213" customWidth="1"/>
    <col min="6409" max="6410" width="8.7109375" style="213" customWidth="1"/>
    <col min="6411" max="6411" width="8.5703125" style="213" customWidth="1"/>
    <col min="6412" max="6656" width="11.42578125" style="213"/>
    <col min="6657" max="6657" width="5.85546875" style="213" customWidth="1"/>
    <col min="6658" max="6658" width="45.28515625" style="213" customWidth="1"/>
    <col min="6659" max="6660" width="10.7109375" style="213" customWidth="1"/>
    <col min="6661" max="6662" width="8.7109375" style="213" customWidth="1"/>
    <col min="6663" max="6664" width="8.5703125" style="213" customWidth="1"/>
    <col min="6665" max="6666" width="8.7109375" style="213" customWidth="1"/>
    <col min="6667" max="6667" width="8.5703125" style="213" customWidth="1"/>
    <col min="6668" max="6912" width="11.42578125" style="213"/>
    <col min="6913" max="6913" width="5.85546875" style="213" customWidth="1"/>
    <col min="6914" max="6914" width="45.28515625" style="213" customWidth="1"/>
    <col min="6915" max="6916" width="10.7109375" style="213" customWidth="1"/>
    <col min="6917" max="6918" width="8.7109375" style="213" customWidth="1"/>
    <col min="6919" max="6920" width="8.5703125" style="213" customWidth="1"/>
    <col min="6921" max="6922" width="8.7109375" style="213" customWidth="1"/>
    <col min="6923" max="6923" width="8.5703125" style="213" customWidth="1"/>
    <col min="6924" max="7168" width="11.42578125" style="213"/>
    <col min="7169" max="7169" width="5.85546875" style="213" customWidth="1"/>
    <col min="7170" max="7170" width="45.28515625" style="213" customWidth="1"/>
    <col min="7171" max="7172" width="10.7109375" style="213" customWidth="1"/>
    <col min="7173" max="7174" width="8.7109375" style="213" customWidth="1"/>
    <col min="7175" max="7176" width="8.5703125" style="213" customWidth="1"/>
    <col min="7177" max="7178" width="8.7109375" style="213" customWidth="1"/>
    <col min="7179" max="7179" width="8.5703125" style="213" customWidth="1"/>
    <col min="7180" max="7424" width="11.42578125" style="213"/>
    <col min="7425" max="7425" width="5.85546875" style="213" customWidth="1"/>
    <col min="7426" max="7426" width="45.28515625" style="213" customWidth="1"/>
    <col min="7427" max="7428" width="10.7109375" style="213" customWidth="1"/>
    <col min="7429" max="7430" width="8.7109375" style="213" customWidth="1"/>
    <col min="7431" max="7432" width="8.5703125" style="213" customWidth="1"/>
    <col min="7433" max="7434" width="8.7109375" style="213" customWidth="1"/>
    <col min="7435" max="7435" width="8.5703125" style="213" customWidth="1"/>
    <col min="7436" max="7680" width="11.42578125" style="213"/>
    <col min="7681" max="7681" width="5.85546875" style="213" customWidth="1"/>
    <col min="7682" max="7682" width="45.28515625" style="213" customWidth="1"/>
    <col min="7683" max="7684" width="10.7109375" style="213" customWidth="1"/>
    <col min="7685" max="7686" width="8.7109375" style="213" customWidth="1"/>
    <col min="7687" max="7688" width="8.5703125" style="213" customWidth="1"/>
    <col min="7689" max="7690" width="8.7109375" style="213" customWidth="1"/>
    <col min="7691" max="7691" width="8.5703125" style="213" customWidth="1"/>
    <col min="7692" max="7936" width="11.42578125" style="213"/>
    <col min="7937" max="7937" width="5.85546875" style="213" customWidth="1"/>
    <col min="7938" max="7938" width="45.28515625" style="213" customWidth="1"/>
    <col min="7939" max="7940" width="10.7109375" style="213" customWidth="1"/>
    <col min="7941" max="7942" width="8.7109375" style="213" customWidth="1"/>
    <col min="7943" max="7944" width="8.5703125" style="213" customWidth="1"/>
    <col min="7945" max="7946" width="8.7109375" style="213" customWidth="1"/>
    <col min="7947" max="7947" width="8.5703125" style="213" customWidth="1"/>
    <col min="7948" max="8192" width="11.42578125" style="213"/>
    <col min="8193" max="8193" width="5.85546875" style="213" customWidth="1"/>
    <col min="8194" max="8194" width="45.28515625" style="213" customWidth="1"/>
    <col min="8195" max="8196" width="10.7109375" style="213" customWidth="1"/>
    <col min="8197" max="8198" width="8.7109375" style="213" customWidth="1"/>
    <col min="8199" max="8200" width="8.5703125" style="213" customWidth="1"/>
    <col min="8201" max="8202" width="8.7109375" style="213" customWidth="1"/>
    <col min="8203" max="8203" width="8.5703125" style="213" customWidth="1"/>
    <col min="8204" max="8448" width="11.42578125" style="213"/>
    <col min="8449" max="8449" width="5.85546875" style="213" customWidth="1"/>
    <col min="8450" max="8450" width="45.28515625" style="213" customWidth="1"/>
    <col min="8451" max="8452" width="10.7109375" style="213" customWidth="1"/>
    <col min="8453" max="8454" width="8.7109375" style="213" customWidth="1"/>
    <col min="8455" max="8456" width="8.5703125" style="213" customWidth="1"/>
    <col min="8457" max="8458" width="8.7109375" style="213" customWidth="1"/>
    <col min="8459" max="8459" width="8.5703125" style="213" customWidth="1"/>
    <col min="8460" max="8704" width="11.42578125" style="213"/>
    <col min="8705" max="8705" width="5.85546875" style="213" customWidth="1"/>
    <col min="8706" max="8706" width="45.28515625" style="213" customWidth="1"/>
    <col min="8707" max="8708" width="10.7109375" style="213" customWidth="1"/>
    <col min="8709" max="8710" width="8.7109375" style="213" customWidth="1"/>
    <col min="8711" max="8712" width="8.5703125" style="213" customWidth="1"/>
    <col min="8713" max="8714" width="8.7109375" style="213" customWidth="1"/>
    <col min="8715" max="8715" width="8.5703125" style="213" customWidth="1"/>
    <col min="8716" max="8960" width="11.42578125" style="213"/>
    <col min="8961" max="8961" width="5.85546875" style="213" customWidth="1"/>
    <col min="8962" max="8962" width="45.28515625" style="213" customWidth="1"/>
    <col min="8963" max="8964" width="10.7109375" style="213" customWidth="1"/>
    <col min="8965" max="8966" width="8.7109375" style="213" customWidth="1"/>
    <col min="8967" max="8968" width="8.5703125" style="213" customWidth="1"/>
    <col min="8969" max="8970" width="8.7109375" style="213" customWidth="1"/>
    <col min="8971" max="8971" width="8.5703125" style="213" customWidth="1"/>
    <col min="8972" max="9216" width="11.42578125" style="213"/>
    <col min="9217" max="9217" width="5.85546875" style="213" customWidth="1"/>
    <col min="9218" max="9218" width="45.28515625" style="213" customWidth="1"/>
    <col min="9219" max="9220" width="10.7109375" style="213" customWidth="1"/>
    <col min="9221" max="9222" width="8.7109375" style="213" customWidth="1"/>
    <col min="9223" max="9224" width="8.5703125" style="213" customWidth="1"/>
    <col min="9225" max="9226" width="8.7109375" style="213" customWidth="1"/>
    <col min="9227" max="9227" width="8.5703125" style="213" customWidth="1"/>
    <col min="9228" max="9472" width="11.42578125" style="213"/>
    <col min="9473" max="9473" width="5.85546875" style="213" customWidth="1"/>
    <col min="9474" max="9474" width="45.28515625" style="213" customWidth="1"/>
    <col min="9475" max="9476" width="10.7109375" style="213" customWidth="1"/>
    <col min="9477" max="9478" width="8.7109375" style="213" customWidth="1"/>
    <col min="9479" max="9480" width="8.5703125" style="213" customWidth="1"/>
    <col min="9481" max="9482" width="8.7109375" style="213" customWidth="1"/>
    <col min="9483" max="9483" width="8.5703125" style="213" customWidth="1"/>
    <col min="9484" max="9728" width="11.42578125" style="213"/>
    <col min="9729" max="9729" width="5.85546875" style="213" customWidth="1"/>
    <col min="9730" max="9730" width="45.28515625" style="213" customWidth="1"/>
    <col min="9731" max="9732" width="10.7109375" style="213" customWidth="1"/>
    <col min="9733" max="9734" width="8.7109375" style="213" customWidth="1"/>
    <col min="9735" max="9736" width="8.5703125" style="213" customWidth="1"/>
    <col min="9737" max="9738" width="8.7109375" style="213" customWidth="1"/>
    <col min="9739" max="9739" width="8.5703125" style="213" customWidth="1"/>
    <col min="9740" max="9984" width="11.42578125" style="213"/>
    <col min="9985" max="9985" width="5.85546875" style="213" customWidth="1"/>
    <col min="9986" max="9986" width="45.28515625" style="213" customWidth="1"/>
    <col min="9987" max="9988" width="10.7109375" style="213" customWidth="1"/>
    <col min="9989" max="9990" width="8.7109375" style="213" customWidth="1"/>
    <col min="9991" max="9992" width="8.5703125" style="213" customWidth="1"/>
    <col min="9993" max="9994" width="8.7109375" style="213" customWidth="1"/>
    <col min="9995" max="9995" width="8.5703125" style="213" customWidth="1"/>
    <col min="9996" max="10240" width="11.42578125" style="213"/>
    <col min="10241" max="10241" width="5.85546875" style="213" customWidth="1"/>
    <col min="10242" max="10242" width="45.28515625" style="213" customWidth="1"/>
    <col min="10243" max="10244" width="10.7109375" style="213" customWidth="1"/>
    <col min="10245" max="10246" width="8.7109375" style="213" customWidth="1"/>
    <col min="10247" max="10248" width="8.5703125" style="213" customWidth="1"/>
    <col min="10249" max="10250" width="8.7109375" style="213" customWidth="1"/>
    <col min="10251" max="10251" width="8.5703125" style="213" customWidth="1"/>
    <col min="10252" max="10496" width="11.42578125" style="213"/>
    <col min="10497" max="10497" width="5.85546875" style="213" customWidth="1"/>
    <col min="10498" max="10498" width="45.28515625" style="213" customWidth="1"/>
    <col min="10499" max="10500" width="10.7109375" style="213" customWidth="1"/>
    <col min="10501" max="10502" width="8.7109375" style="213" customWidth="1"/>
    <col min="10503" max="10504" width="8.5703125" style="213" customWidth="1"/>
    <col min="10505" max="10506" width="8.7109375" style="213" customWidth="1"/>
    <col min="10507" max="10507" width="8.5703125" style="213" customWidth="1"/>
    <col min="10508" max="10752" width="11.42578125" style="213"/>
    <col min="10753" max="10753" width="5.85546875" style="213" customWidth="1"/>
    <col min="10754" max="10754" width="45.28515625" style="213" customWidth="1"/>
    <col min="10755" max="10756" width="10.7109375" style="213" customWidth="1"/>
    <col min="10757" max="10758" width="8.7109375" style="213" customWidth="1"/>
    <col min="10759" max="10760" width="8.5703125" style="213" customWidth="1"/>
    <col min="10761" max="10762" width="8.7109375" style="213" customWidth="1"/>
    <col min="10763" max="10763" width="8.5703125" style="213" customWidth="1"/>
    <col min="10764" max="11008" width="11.42578125" style="213"/>
    <col min="11009" max="11009" width="5.85546875" style="213" customWidth="1"/>
    <col min="11010" max="11010" width="45.28515625" style="213" customWidth="1"/>
    <col min="11011" max="11012" width="10.7109375" style="213" customWidth="1"/>
    <col min="11013" max="11014" width="8.7109375" style="213" customWidth="1"/>
    <col min="11015" max="11016" width="8.5703125" style="213" customWidth="1"/>
    <col min="11017" max="11018" width="8.7109375" style="213" customWidth="1"/>
    <col min="11019" max="11019" width="8.5703125" style="213" customWidth="1"/>
    <col min="11020" max="11264" width="11.42578125" style="213"/>
    <col min="11265" max="11265" width="5.85546875" style="213" customWidth="1"/>
    <col min="11266" max="11266" width="45.28515625" style="213" customWidth="1"/>
    <col min="11267" max="11268" width="10.7109375" style="213" customWidth="1"/>
    <col min="11269" max="11270" width="8.7109375" style="213" customWidth="1"/>
    <col min="11271" max="11272" width="8.5703125" style="213" customWidth="1"/>
    <col min="11273" max="11274" width="8.7109375" style="213" customWidth="1"/>
    <col min="11275" max="11275" width="8.5703125" style="213" customWidth="1"/>
    <col min="11276" max="11520" width="11.42578125" style="213"/>
    <col min="11521" max="11521" width="5.85546875" style="213" customWidth="1"/>
    <col min="11522" max="11522" width="45.28515625" style="213" customWidth="1"/>
    <col min="11523" max="11524" width="10.7109375" style="213" customWidth="1"/>
    <col min="11525" max="11526" width="8.7109375" style="213" customWidth="1"/>
    <col min="11527" max="11528" width="8.5703125" style="213" customWidth="1"/>
    <col min="11529" max="11530" width="8.7109375" style="213" customWidth="1"/>
    <col min="11531" max="11531" width="8.5703125" style="213" customWidth="1"/>
    <col min="11532" max="11776" width="11.42578125" style="213"/>
    <col min="11777" max="11777" width="5.85546875" style="213" customWidth="1"/>
    <col min="11778" max="11778" width="45.28515625" style="213" customWidth="1"/>
    <col min="11779" max="11780" width="10.7109375" style="213" customWidth="1"/>
    <col min="11781" max="11782" width="8.7109375" style="213" customWidth="1"/>
    <col min="11783" max="11784" width="8.5703125" style="213" customWidth="1"/>
    <col min="11785" max="11786" width="8.7109375" style="213" customWidth="1"/>
    <col min="11787" max="11787" width="8.5703125" style="213" customWidth="1"/>
    <col min="11788" max="12032" width="11.42578125" style="213"/>
    <col min="12033" max="12033" width="5.85546875" style="213" customWidth="1"/>
    <col min="12034" max="12034" width="45.28515625" style="213" customWidth="1"/>
    <col min="12035" max="12036" width="10.7109375" style="213" customWidth="1"/>
    <col min="12037" max="12038" width="8.7109375" style="213" customWidth="1"/>
    <col min="12039" max="12040" width="8.5703125" style="213" customWidth="1"/>
    <col min="12041" max="12042" width="8.7109375" style="213" customWidth="1"/>
    <col min="12043" max="12043" width="8.5703125" style="213" customWidth="1"/>
    <col min="12044" max="12288" width="11.42578125" style="213"/>
    <col min="12289" max="12289" width="5.85546875" style="213" customWidth="1"/>
    <col min="12290" max="12290" width="45.28515625" style="213" customWidth="1"/>
    <col min="12291" max="12292" width="10.7109375" style="213" customWidth="1"/>
    <col min="12293" max="12294" width="8.7109375" style="213" customWidth="1"/>
    <col min="12295" max="12296" width="8.5703125" style="213" customWidth="1"/>
    <col min="12297" max="12298" width="8.7109375" style="213" customWidth="1"/>
    <col min="12299" max="12299" width="8.5703125" style="213" customWidth="1"/>
    <col min="12300" max="12544" width="11.42578125" style="213"/>
    <col min="12545" max="12545" width="5.85546875" style="213" customWidth="1"/>
    <col min="12546" max="12546" width="45.28515625" style="213" customWidth="1"/>
    <col min="12547" max="12548" width="10.7109375" style="213" customWidth="1"/>
    <col min="12549" max="12550" width="8.7109375" style="213" customWidth="1"/>
    <col min="12551" max="12552" width="8.5703125" style="213" customWidth="1"/>
    <col min="12553" max="12554" width="8.7109375" style="213" customWidth="1"/>
    <col min="12555" max="12555" width="8.5703125" style="213" customWidth="1"/>
    <col min="12556" max="12800" width="11.42578125" style="213"/>
    <col min="12801" max="12801" width="5.85546875" style="213" customWidth="1"/>
    <col min="12802" max="12802" width="45.28515625" style="213" customWidth="1"/>
    <col min="12803" max="12804" width="10.7109375" style="213" customWidth="1"/>
    <col min="12805" max="12806" width="8.7109375" style="213" customWidth="1"/>
    <col min="12807" max="12808" width="8.5703125" style="213" customWidth="1"/>
    <col min="12809" max="12810" width="8.7109375" style="213" customWidth="1"/>
    <col min="12811" max="12811" width="8.5703125" style="213" customWidth="1"/>
    <col min="12812" max="13056" width="11.42578125" style="213"/>
    <col min="13057" max="13057" width="5.85546875" style="213" customWidth="1"/>
    <col min="13058" max="13058" width="45.28515625" style="213" customWidth="1"/>
    <col min="13059" max="13060" width="10.7109375" style="213" customWidth="1"/>
    <col min="13061" max="13062" width="8.7109375" style="213" customWidth="1"/>
    <col min="13063" max="13064" width="8.5703125" style="213" customWidth="1"/>
    <col min="13065" max="13066" width="8.7109375" style="213" customWidth="1"/>
    <col min="13067" max="13067" width="8.5703125" style="213" customWidth="1"/>
    <col min="13068" max="13312" width="11.42578125" style="213"/>
    <col min="13313" max="13313" width="5.85546875" style="213" customWidth="1"/>
    <col min="13314" max="13314" width="45.28515625" style="213" customWidth="1"/>
    <col min="13315" max="13316" width="10.7109375" style="213" customWidth="1"/>
    <col min="13317" max="13318" width="8.7109375" style="213" customWidth="1"/>
    <col min="13319" max="13320" width="8.5703125" style="213" customWidth="1"/>
    <col min="13321" max="13322" width="8.7109375" style="213" customWidth="1"/>
    <col min="13323" max="13323" width="8.5703125" style="213" customWidth="1"/>
    <col min="13324" max="13568" width="11.42578125" style="213"/>
    <col min="13569" max="13569" width="5.85546875" style="213" customWidth="1"/>
    <col min="13570" max="13570" width="45.28515625" style="213" customWidth="1"/>
    <col min="13571" max="13572" width="10.7109375" style="213" customWidth="1"/>
    <col min="13573" max="13574" width="8.7109375" style="213" customWidth="1"/>
    <col min="13575" max="13576" width="8.5703125" style="213" customWidth="1"/>
    <col min="13577" max="13578" width="8.7109375" style="213" customWidth="1"/>
    <col min="13579" max="13579" width="8.5703125" style="213" customWidth="1"/>
    <col min="13580" max="13824" width="11.42578125" style="213"/>
    <col min="13825" max="13825" width="5.85546875" style="213" customWidth="1"/>
    <col min="13826" max="13826" width="45.28515625" style="213" customWidth="1"/>
    <col min="13827" max="13828" width="10.7109375" style="213" customWidth="1"/>
    <col min="13829" max="13830" width="8.7109375" style="213" customWidth="1"/>
    <col min="13831" max="13832" width="8.5703125" style="213" customWidth="1"/>
    <col min="13833" max="13834" width="8.7109375" style="213" customWidth="1"/>
    <col min="13835" max="13835" width="8.5703125" style="213" customWidth="1"/>
    <col min="13836" max="14080" width="11.42578125" style="213"/>
    <col min="14081" max="14081" width="5.85546875" style="213" customWidth="1"/>
    <col min="14082" max="14082" width="45.28515625" style="213" customWidth="1"/>
    <col min="14083" max="14084" width="10.7109375" style="213" customWidth="1"/>
    <col min="14085" max="14086" width="8.7109375" style="213" customWidth="1"/>
    <col min="14087" max="14088" width="8.5703125" style="213" customWidth="1"/>
    <col min="14089" max="14090" width="8.7109375" style="213" customWidth="1"/>
    <col min="14091" max="14091" width="8.5703125" style="213" customWidth="1"/>
    <col min="14092" max="14336" width="11.42578125" style="213"/>
    <col min="14337" max="14337" width="5.85546875" style="213" customWidth="1"/>
    <col min="14338" max="14338" width="45.28515625" style="213" customWidth="1"/>
    <col min="14339" max="14340" width="10.7109375" style="213" customWidth="1"/>
    <col min="14341" max="14342" width="8.7109375" style="213" customWidth="1"/>
    <col min="14343" max="14344" width="8.5703125" style="213" customWidth="1"/>
    <col min="14345" max="14346" width="8.7109375" style="213" customWidth="1"/>
    <col min="14347" max="14347" width="8.5703125" style="213" customWidth="1"/>
    <col min="14348" max="14592" width="11.42578125" style="213"/>
    <col min="14593" max="14593" width="5.85546875" style="213" customWidth="1"/>
    <col min="14594" max="14594" width="45.28515625" style="213" customWidth="1"/>
    <col min="14595" max="14596" width="10.7109375" style="213" customWidth="1"/>
    <col min="14597" max="14598" width="8.7109375" style="213" customWidth="1"/>
    <col min="14599" max="14600" width="8.5703125" style="213" customWidth="1"/>
    <col min="14601" max="14602" width="8.7109375" style="213" customWidth="1"/>
    <col min="14603" max="14603" width="8.5703125" style="213" customWidth="1"/>
    <col min="14604" max="14848" width="11.42578125" style="213"/>
    <col min="14849" max="14849" width="5.85546875" style="213" customWidth="1"/>
    <col min="14850" max="14850" width="45.28515625" style="213" customWidth="1"/>
    <col min="14851" max="14852" width="10.7109375" style="213" customWidth="1"/>
    <col min="14853" max="14854" width="8.7109375" style="213" customWidth="1"/>
    <col min="14855" max="14856" width="8.5703125" style="213" customWidth="1"/>
    <col min="14857" max="14858" width="8.7109375" style="213" customWidth="1"/>
    <col min="14859" max="14859" width="8.5703125" style="213" customWidth="1"/>
    <col min="14860" max="15104" width="11.42578125" style="213"/>
    <col min="15105" max="15105" width="5.85546875" style="213" customWidth="1"/>
    <col min="15106" max="15106" width="45.28515625" style="213" customWidth="1"/>
    <col min="15107" max="15108" width="10.7109375" style="213" customWidth="1"/>
    <col min="15109" max="15110" width="8.7109375" style="213" customWidth="1"/>
    <col min="15111" max="15112" width="8.5703125" style="213" customWidth="1"/>
    <col min="15113" max="15114" width="8.7109375" style="213" customWidth="1"/>
    <col min="15115" max="15115" width="8.5703125" style="213" customWidth="1"/>
    <col min="15116" max="15360" width="11.42578125" style="213"/>
    <col min="15361" max="15361" width="5.85546875" style="213" customWidth="1"/>
    <col min="15362" max="15362" width="45.28515625" style="213" customWidth="1"/>
    <col min="15363" max="15364" width="10.7109375" style="213" customWidth="1"/>
    <col min="15365" max="15366" width="8.7109375" style="213" customWidth="1"/>
    <col min="15367" max="15368" width="8.5703125" style="213" customWidth="1"/>
    <col min="15369" max="15370" width="8.7109375" style="213" customWidth="1"/>
    <col min="15371" max="15371" width="8.5703125" style="213" customWidth="1"/>
    <col min="15372" max="15616" width="11.42578125" style="213"/>
    <col min="15617" max="15617" width="5.85546875" style="213" customWidth="1"/>
    <col min="15618" max="15618" width="45.28515625" style="213" customWidth="1"/>
    <col min="15619" max="15620" width="10.7109375" style="213" customWidth="1"/>
    <col min="15621" max="15622" width="8.7109375" style="213" customWidth="1"/>
    <col min="15623" max="15624" width="8.5703125" style="213" customWidth="1"/>
    <col min="15625" max="15626" width="8.7109375" style="213" customWidth="1"/>
    <col min="15627" max="15627" width="8.5703125" style="213" customWidth="1"/>
    <col min="15628" max="15872" width="11.42578125" style="213"/>
    <col min="15873" max="15873" width="5.85546875" style="213" customWidth="1"/>
    <col min="15874" max="15874" width="45.28515625" style="213" customWidth="1"/>
    <col min="15875" max="15876" width="10.7109375" style="213" customWidth="1"/>
    <col min="15877" max="15878" width="8.7109375" style="213" customWidth="1"/>
    <col min="15879" max="15880" width="8.5703125" style="213" customWidth="1"/>
    <col min="15881" max="15882" width="8.7109375" style="213" customWidth="1"/>
    <col min="15883" max="15883" width="8.5703125" style="213" customWidth="1"/>
    <col min="15884" max="16128" width="11.42578125" style="213"/>
    <col min="16129" max="16129" width="5.85546875" style="213" customWidth="1"/>
    <col min="16130" max="16130" width="45.28515625" style="213" customWidth="1"/>
    <col min="16131" max="16132" width="10.7109375" style="213" customWidth="1"/>
    <col min="16133" max="16134" width="8.7109375" style="213" customWidth="1"/>
    <col min="16135" max="16136" width="8.5703125" style="213" customWidth="1"/>
    <col min="16137" max="16138" width="8.7109375" style="213" customWidth="1"/>
    <col min="16139" max="16139" width="8.5703125" style="213" customWidth="1"/>
    <col min="16140" max="16384" width="11.42578125" style="213"/>
  </cols>
  <sheetData>
    <row r="1" spans="1:12" x14ac:dyDescent="0.2">
      <c r="B1" s="214"/>
      <c r="C1" s="214"/>
      <c r="D1" s="215"/>
      <c r="E1" s="215"/>
      <c r="F1" s="215"/>
      <c r="G1" s="215"/>
      <c r="H1" s="215"/>
      <c r="I1" s="215"/>
      <c r="J1" s="215"/>
      <c r="K1" s="215"/>
      <c r="L1" s="214"/>
    </row>
    <row r="2" spans="1:12" x14ac:dyDescent="0.2">
      <c r="B2" s="214"/>
      <c r="C2" s="214"/>
      <c r="D2" s="215"/>
      <c r="E2" s="215"/>
      <c r="F2" s="215"/>
      <c r="G2" s="215"/>
      <c r="H2" s="215"/>
      <c r="I2" s="215"/>
      <c r="J2" s="215"/>
      <c r="K2" s="215"/>
      <c r="L2" s="214"/>
    </row>
    <row r="3" spans="1:12" x14ac:dyDescent="0.2">
      <c r="B3" s="214"/>
      <c r="C3" s="214"/>
      <c r="D3" s="215"/>
      <c r="E3" s="215"/>
      <c r="F3" s="215"/>
      <c r="G3" s="215"/>
      <c r="H3" s="215"/>
      <c r="I3" s="215"/>
      <c r="J3" s="215"/>
      <c r="K3" s="215"/>
      <c r="L3" s="214"/>
    </row>
    <row r="4" spans="1:12" x14ac:dyDescent="0.2">
      <c r="B4" s="214"/>
      <c r="C4" s="214"/>
      <c r="D4" s="215"/>
      <c r="E4" s="215"/>
      <c r="F4" s="215"/>
      <c r="G4" s="215"/>
      <c r="H4" s="215"/>
      <c r="I4" s="215"/>
      <c r="J4" s="215"/>
      <c r="K4" s="215"/>
      <c r="L4" s="214"/>
    </row>
    <row r="5" spans="1:12" x14ac:dyDescent="0.2">
      <c r="B5" s="214"/>
      <c r="C5" s="214"/>
      <c r="D5" s="215"/>
      <c r="E5" s="215"/>
      <c r="F5" s="215"/>
      <c r="G5" s="215"/>
      <c r="H5" s="215"/>
      <c r="I5" s="215"/>
      <c r="J5" s="215"/>
      <c r="K5" s="215"/>
      <c r="L5" s="214"/>
    </row>
    <row r="6" spans="1:12" x14ac:dyDescent="0.2">
      <c r="A6" s="216"/>
      <c r="B6" s="217"/>
      <c r="C6" s="217"/>
      <c r="D6" s="218"/>
      <c r="E6" s="218"/>
      <c r="F6" s="218"/>
      <c r="G6" s="218"/>
      <c r="H6" s="218"/>
      <c r="I6" s="218"/>
      <c r="J6" s="218"/>
      <c r="K6" s="218"/>
      <c r="L6" s="214"/>
    </row>
    <row r="7" spans="1:12" s="220" customFormat="1" ht="29.25" customHeight="1" x14ac:dyDescent="0.2">
      <c r="A7" s="219"/>
      <c r="B7" s="409" t="s">
        <v>159</v>
      </c>
      <c r="C7" s="409"/>
      <c r="D7" s="409"/>
      <c r="E7" s="409"/>
      <c r="F7" s="409"/>
      <c r="G7" s="409"/>
      <c r="H7" s="409"/>
      <c r="I7" s="409"/>
      <c r="J7" s="409"/>
      <c r="K7" s="409"/>
      <c r="L7" s="409"/>
    </row>
    <row r="8" spans="1:12" s="220" customFormat="1" ht="19.5" customHeight="1" x14ac:dyDescent="0.2">
      <c r="A8" s="219"/>
      <c r="B8" s="410" t="s">
        <v>252</v>
      </c>
      <c r="C8" s="410"/>
      <c r="D8" s="410"/>
      <c r="E8" s="410"/>
      <c r="F8" s="410"/>
      <c r="G8" s="410"/>
      <c r="H8" s="410"/>
      <c r="I8" s="410"/>
      <c r="J8" s="410"/>
      <c r="K8" s="410"/>
      <c r="L8" s="410"/>
    </row>
    <row r="9" spans="1:12" s="220" customFormat="1" ht="21" customHeight="1" x14ac:dyDescent="0.2">
      <c r="A9" s="219"/>
      <c r="B9" s="410" t="s">
        <v>160</v>
      </c>
      <c r="C9" s="410"/>
      <c r="D9" s="410"/>
      <c r="E9" s="410"/>
      <c r="F9" s="410"/>
      <c r="G9" s="410"/>
      <c r="H9" s="410"/>
      <c r="I9" s="410"/>
      <c r="J9" s="410"/>
      <c r="K9" s="410"/>
      <c r="L9" s="410"/>
    </row>
    <row r="10" spans="1:12" s="220" customFormat="1" ht="19.5" customHeight="1" x14ac:dyDescent="0.2">
      <c r="A10" s="219"/>
      <c r="B10" s="410" t="s">
        <v>161</v>
      </c>
      <c r="C10" s="410"/>
      <c r="D10" s="410"/>
      <c r="E10" s="410"/>
      <c r="F10" s="410"/>
      <c r="G10" s="410"/>
      <c r="H10" s="410"/>
      <c r="I10" s="410"/>
      <c r="J10" s="410"/>
      <c r="K10" s="410"/>
      <c r="L10" s="410"/>
    </row>
    <row r="11" spans="1:12" ht="16.5" customHeight="1" x14ac:dyDescent="0.2">
      <c r="A11" s="216"/>
      <c r="B11" s="217"/>
      <c r="C11" s="217"/>
      <c r="D11" s="218"/>
      <c r="E11" s="218"/>
      <c r="F11" s="218"/>
      <c r="G11" s="218"/>
      <c r="H11" s="218"/>
      <c r="I11" s="218"/>
      <c r="J11" s="218"/>
      <c r="K11" s="218"/>
      <c r="L11" s="214"/>
    </row>
    <row r="12" spans="1:12" ht="19.5" customHeight="1" x14ac:dyDescent="0.2">
      <c r="A12" s="221"/>
      <c r="B12" s="411" t="s">
        <v>162</v>
      </c>
      <c r="C12" s="412" t="s">
        <v>253</v>
      </c>
      <c r="D12" s="412"/>
      <c r="E12" s="412"/>
      <c r="F12" s="412" t="s">
        <v>254</v>
      </c>
      <c r="G12" s="412"/>
      <c r="H12" s="412"/>
      <c r="I12" s="412" t="s">
        <v>255</v>
      </c>
      <c r="J12" s="412"/>
      <c r="K12" s="412"/>
      <c r="L12" s="413" t="s">
        <v>163</v>
      </c>
    </row>
    <row r="13" spans="1:12" ht="12.75" customHeight="1" x14ac:dyDescent="0.2">
      <c r="A13" s="221"/>
      <c r="B13" s="411"/>
      <c r="C13" s="222" t="s">
        <v>164</v>
      </c>
      <c r="D13" s="222" t="s">
        <v>165</v>
      </c>
      <c r="E13" s="222" t="s">
        <v>166</v>
      </c>
      <c r="F13" s="222" t="s">
        <v>164</v>
      </c>
      <c r="G13" s="222" t="s">
        <v>165</v>
      </c>
      <c r="H13" s="222" t="s">
        <v>166</v>
      </c>
      <c r="I13" s="222" t="s">
        <v>164</v>
      </c>
      <c r="J13" s="222" t="s">
        <v>165</v>
      </c>
      <c r="K13" s="222" t="s">
        <v>166</v>
      </c>
      <c r="L13" s="413"/>
    </row>
    <row r="14" spans="1:12" ht="14.25" customHeight="1" x14ac:dyDescent="0.2">
      <c r="A14" s="223"/>
      <c r="B14" s="224"/>
      <c r="C14" s="224"/>
      <c r="D14" s="225"/>
      <c r="E14" s="225"/>
      <c r="F14" s="225"/>
      <c r="G14" s="225"/>
      <c r="H14" s="225"/>
      <c r="I14" s="225"/>
      <c r="J14" s="225"/>
      <c r="K14" s="225"/>
      <c r="L14" s="214"/>
    </row>
    <row r="15" spans="1:12" ht="18.75" x14ac:dyDescent="0.2">
      <c r="A15" s="223"/>
      <c r="B15" s="226" t="s">
        <v>167</v>
      </c>
      <c r="C15" s="227"/>
      <c r="D15" s="228"/>
      <c r="E15" s="228"/>
      <c r="F15" s="228"/>
      <c r="G15" s="228"/>
      <c r="H15" s="228"/>
      <c r="I15" s="228"/>
      <c r="J15" s="228"/>
      <c r="K15" s="228"/>
      <c r="L15" s="229"/>
    </row>
    <row r="16" spans="1:12" ht="9" customHeight="1" x14ac:dyDescent="0.2">
      <c r="A16" s="223"/>
      <c r="B16" s="224"/>
      <c r="C16" s="224"/>
      <c r="D16" s="225"/>
      <c r="E16" s="225"/>
      <c r="F16" s="225"/>
      <c r="G16" s="225"/>
      <c r="H16" s="225"/>
      <c r="I16" s="225"/>
      <c r="J16" s="225"/>
      <c r="K16" s="225"/>
      <c r="L16" s="214"/>
    </row>
    <row r="17" spans="1:12" x14ac:dyDescent="0.2">
      <c r="A17" s="216"/>
      <c r="B17" s="230" t="s">
        <v>168</v>
      </c>
      <c r="C17" s="309">
        <f>86+80+83.75</f>
        <v>249.75</v>
      </c>
      <c r="D17" s="232">
        <f>78+83.33+80</f>
        <v>241.32999999999998</v>
      </c>
      <c r="E17" s="233">
        <f t="shared" ref="E17:E55" si="0">+D17*100/C17</f>
        <v>96.628628628628633</v>
      </c>
      <c r="F17" s="232">
        <f>86+80+83.75</f>
        <v>249.75</v>
      </c>
      <c r="G17" s="232">
        <f>78+80+78.75</f>
        <v>236.75</v>
      </c>
      <c r="H17" s="233">
        <f t="shared" ref="H17:H55" si="1">+G17*100/F17</f>
        <v>94.794794794794797</v>
      </c>
      <c r="I17" s="232">
        <f>88.89+76.92+84.51</f>
        <v>250.32</v>
      </c>
      <c r="J17" s="232">
        <f>93.33+69.23+84.51</f>
        <v>247.07</v>
      </c>
      <c r="K17" s="233">
        <f t="shared" ref="K17:K55" si="2">+J17*100/I17</f>
        <v>98.701661872802816</v>
      </c>
      <c r="L17" s="234">
        <f t="shared" ref="L17:L55" si="3">+(E17+H17+K17)/3</f>
        <v>96.708361765408753</v>
      </c>
    </row>
    <row r="18" spans="1:12" x14ac:dyDescent="0.2">
      <c r="A18" s="216"/>
      <c r="B18" s="235" t="s">
        <v>169</v>
      </c>
      <c r="C18" s="310">
        <f>80+80+80+90</f>
        <v>330</v>
      </c>
      <c r="D18" s="237">
        <f>75.16+87.42+87.5+80</f>
        <v>330.08</v>
      </c>
      <c r="E18" s="238">
        <f t="shared" si="0"/>
        <v>100.02424242424243</v>
      </c>
      <c r="F18" s="239">
        <f>80+80+80+90</f>
        <v>330</v>
      </c>
      <c r="G18" s="239">
        <f>87.5+87.85+75+90</f>
        <v>340.35</v>
      </c>
      <c r="H18" s="238">
        <f t="shared" si="1"/>
        <v>103.13636363636364</v>
      </c>
      <c r="I18" s="239">
        <f>80+80+80+90</f>
        <v>330</v>
      </c>
      <c r="J18" s="239">
        <f>87.8+71.66+73.33+87.5</f>
        <v>320.28999999999996</v>
      </c>
      <c r="K18" s="238">
        <f t="shared" si="2"/>
        <v>97.057575757575748</v>
      </c>
      <c r="L18" s="234">
        <f t="shared" si="3"/>
        <v>100.07272727272728</v>
      </c>
    </row>
    <row r="19" spans="1:12" x14ac:dyDescent="0.2">
      <c r="A19" s="216"/>
      <c r="B19" s="230" t="s">
        <v>170</v>
      </c>
      <c r="C19" s="309">
        <f>97.1+97.1</f>
        <v>194.2</v>
      </c>
      <c r="D19" s="240">
        <f>106.94+97.14</f>
        <v>204.07999999999998</v>
      </c>
      <c r="E19" s="233">
        <f t="shared" si="0"/>
        <v>105.08753861997941</v>
      </c>
      <c r="F19" s="240">
        <f>97.2+97.1</f>
        <v>194.3</v>
      </c>
      <c r="G19" s="240">
        <f>95.83+98.29</f>
        <v>194.12</v>
      </c>
      <c r="H19" s="233">
        <f t="shared" si="1"/>
        <v>99.907359752959337</v>
      </c>
      <c r="I19" s="240">
        <f>95.4+91.4</f>
        <v>186.8</v>
      </c>
      <c r="J19" s="240">
        <f>104.62+84</f>
        <v>188.62</v>
      </c>
      <c r="K19" s="233">
        <f t="shared" si="2"/>
        <v>100.97430406852247</v>
      </c>
      <c r="L19" s="234">
        <f t="shared" si="3"/>
        <v>101.98973414715374</v>
      </c>
    </row>
    <row r="20" spans="1:12" x14ac:dyDescent="0.2">
      <c r="A20" s="216"/>
      <c r="B20" s="235" t="s">
        <v>171</v>
      </c>
      <c r="C20" s="310">
        <f>90+90+10+95+100+90+90</f>
        <v>565</v>
      </c>
      <c r="D20" s="241">
        <f>100+91.8+10.92+100+100+90.16+96.36</f>
        <v>589.24</v>
      </c>
      <c r="E20" s="238">
        <f t="shared" si="0"/>
        <v>104.29026548672566</v>
      </c>
      <c r="F20" s="241">
        <f>90+90+10+95+100+90+90</f>
        <v>565</v>
      </c>
      <c r="G20" s="241">
        <f>100+88.82+11.06+100+100+87.91+97.83</f>
        <v>585.62</v>
      </c>
      <c r="H20" s="238">
        <f t="shared" si="1"/>
        <v>103.6495575221239</v>
      </c>
      <c r="I20" s="241">
        <f>90+90+10+95+100+90+90</f>
        <v>565</v>
      </c>
      <c r="J20" s="241">
        <f>100+92.18+11.72+100+100+86.38+96.7</f>
        <v>586.98</v>
      </c>
      <c r="K20" s="238">
        <f t="shared" si="2"/>
        <v>103.89026548672567</v>
      </c>
      <c r="L20" s="234">
        <f t="shared" si="3"/>
        <v>103.94336283185839</v>
      </c>
    </row>
    <row r="21" spans="1:12" x14ac:dyDescent="0.2">
      <c r="A21" s="216"/>
      <c r="B21" s="230" t="s">
        <v>172</v>
      </c>
      <c r="C21" s="309">
        <f>20+15+100+100+100+100</f>
        <v>435</v>
      </c>
      <c r="D21" s="240">
        <f>20.35+20.77+100+100+100+100</f>
        <v>441.12</v>
      </c>
      <c r="E21" s="233">
        <f t="shared" si="0"/>
        <v>101.40689655172413</v>
      </c>
      <c r="F21" s="240">
        <f>25+15+100+100+100+100</f>
        <v>440</v>
      </c>
      <c r="G21" s="240">
        <f>27.13+23.83+100+100+100+100</f>
        <v>450.96</v>
      </c>
      <c r="H21" s="233">
        <f t="shared" si="1"/>
        <v>102.49090909090908</v>
      </c>
      <c r="I21" s="240">
        <f>25+15+100+100+100+100</f>
        <v>440</v>
      </c>
      <c r="J21" s="240">
        <f>26.47+20.92+100+100+100+100</f>
        <v>447.39</v>
      </c>
      <c r="K21" s="233">
        <f t="shared" si="2"/>
        <v>101.67954545454545</v>
      </c>
      <c r="L21" s="234">
        <f t="shared" si="3"/>
        <v>101.85911703239289</v>
      </c>
    </row>
    <row r="22" spans="1:12" x14ac:dyDescent="0.2">
      <c r="A22" s="216"/>
      <c r="B22" s="235" t="s">
        <v>256</v>
      </c>
      <c r="C22" s="310">
        <f>100+100+100+50</f>
        <v>350</v>
      </c>
      <c r="D22" s="241">
        <f>100+100+100+52</f>
        <v>352</v>
      </c>
      <c r="E22" s="238">
        <f t="shared" si="0"/>
        <v>100.57142857142857</v>
      </c>
      <c r="F22" s="241">
        <f>100+100+100+50</f>
        <v>350</v>
      </c>
      <c r="G22" s="241">
        <f>100+100+100+52</f>
        <v>352</v>
      </c>
      <c r="H22" s="238">
        <f t="shared" si="1"/>
        <v>100.57142857142857</v>
      </c>
      <c r="I22" s="241">
        <f>100+100+100+50</f>
        <v>350</v>
      </c>
      <c r="J22" s="241">
        <f>100+100+100+50</f>
        <v>350</v>
      </c>
      <c r="K22" s="238">
        <f t="shared" si="2"/>
        <v>100</v>
      </c>
      <c r="L22" s="234">
        <f t="shared" si="3"/>
        <v>100.38095238095237</v>
      </c>
    </row>
    <row r="23" spans="1:12" x14ac:dyDescent="0.2">
      <c r="A23" s="216"/>
      <c r="B23" s="230" t="s">
        <v>173</v>
      </c>
      <c r="C23" s="309">
        <f>65+100+90+20</f>
        <v>275</v>
      </c>
      <c r="D23" s="240">
        <f>75+100+114+42</f>
        <v>331</v>
      </c>
      <c r="E23" s="233">
        <f t="shared" si="0"/>
        <v>120.36363636363636</v>
      </c>
      <c r="F23" s="240">
        <f>65+100+90+20</f>
        <v>275</v>
      </c>
      <c r="G23" s="240">
        <f>78+100+109+30</f>
        <v>317</v>
      </c>
      <c r="H23" s="233">
        <f t="shared" si="1"/>
        <v>115.27272727272727</v>
      </c>
      <c r="I23" s="240">
        <f>65+100+90+20</f>
        <v>275</v>
      </c>
      <c r="J23" s="240">
        <f>68+100+123+33</f>
        <v>324</v>
      </c>
      <c r="K23" s="233">
        <f t="shared" si="2"/>
        <v>117.81818181818181</v>
      </c>
      <c r="L23" s="234">
        <f t="shared" si="3"/>
        <v>117.81818181818181</v>
      </c>
    </row>
    <row r="24" spans="1:12" x14ac:dyDescent="0.2">
      <c r="A24" s="216"/>
      <c r="B24" s="235" t="s">
        <v>174</v>
      </c>
      <c r="C24" s="310">
        <f>100+100+80+3.5+100+100+50+80+100</f>
        <v>713.5</v>
      </c>
      <c r="D24" s="241">
        <f>100+100+103.5+119+100+100+100+100+100</f>
        <v>922.5</v>
      </c>
      <c r="E24" s="238">
        <f t="shared" si="0"/>
        <v>129.29222144358795</v>
      </c>
      <c r="F24" s="241">
        <f>100+100+80+3.5+100+100+50+100+80+100</f>
        <v>813.5</v>
      </c>
      <c r="G24" s="241">
        <f>107+101+96.39+4.18+100+100+50+0+123.47+108.88</f>
        <v>790.92</v>
      </c>
      <c r="H24" s="238">
        <f t="shared" si="1"/>
        <v>97.224339274738782</v>
      </c>
      <c r="I24" s="241">
        <f>100+100+80+3.5+100+100+50+100+80+100+100</f>
        <v>913.5</v>
      </c>
      <c r="J24" s="241">
        <f>109.3+109.55+96.33+4.18+100+100+50+0+104.33+107.46+100</f>
        <v>881.15000000000009</v>
      </c>
      <c r="K24" s="238">
        <f t="shared" si="2"/>
        <v>96.458675424192677</v>
      </c>
      <c r="L24" s="234">
        <f t="shared" si="3"/>
        <v>107.65841204750647</v>
      </c>
    </row>
    <row r="25" spans="1:12" x14ac:dyDescent="0.2">
      <c r="A25" s="216"/>
      <c r="B25" s="230" t="s">
        <v>175</v>
      </c>
      <c r="C25" s="240">
        <f>100+100+100+100+100+100+100+100+100</f>
        <v>900</v>
      </c>
      <c r="D25" s="240">
        <f>100+100+100+100+100+100+100+100+100</f>
        <v>900</v>
      </c>
      <c r="E25" s="233">
        <f t="shared" si="0"/>
        <v>100</v>
      </c>
      <c r="F25" s="240">
        <f>100+100+100+100+100+100+100+100+100</f>
        <v>900</v>
      </c>
      <c r="G25" s="240">
        <f>100+100+100+100+100+100+100+100+100</f>
        <v>900</v>
      </c>
      <c r="H25" s="233">
        <f t="shared" si="1"/>
        <v>100</v>
      </c>
      <c r="I25" s="240">
        <f>100+100+100+100+100+100+100+100+100</f>
        <v>900</v>
      </c>
      <c r="J25" s="240">
        <f>100+100+100+100+100+100+100+100+100</f>
        <v>900</v>
      </c>
      <c r="K25" s="233">
        <f t="shared" si="2"/>
        <v>100</v>
      </c>
      <c r="L25" s="234">
        <f t="shared" si="3"/>
        <v>100</v>
      </c>
    </row>
    <row r="26" spans="1:12" x14ac:dyDescent="0.2">
      <c r="A26" s="216"/>
      <c r="B26" s="235" t="s">
        <v>176</v>
      </c>
      <c r="C26" s="310">
        <f>100+100+100+40+100+100+100+100</f>
        <v>740</v>
      </c>
      <c r="D26" s="310">
        <f>100+100+100+100+100+100+100+93</f>
        <v>793</v>
      </c>
      <c r="E26" s="238">
        <f t="shared" si="0"/>
        <v>107.16216216216216</v>
      </c>
      <c r="F26" s="241">
        <f>100+100+100+100+100+100</f>
        <v>600</v>
      </c>
      <c r="G26" s="241">
        <f>100+100+100+100+93+80</f>
        <v>573</v>
      </c>
      <c r="H26" s="238">
        <f t="shared" si="1"/>
        <v>95.5</v>
      </c>
      <c r="I26" s="241">
        <f>100+100+100+100+100+100+100</f>
        <v>700</v>
      </c>
      <c r="J26" s="241">
        <f>100+100+100+100+100+95+113.33</f>
        <v>708.33</v>
      </c>
      <c r="K26" s="238">
        <f t="shared" si="2"/>
        <v>101.19</v>
      </c>
      <c r="L26" s="234">
        <f t="shared" si="3"/>
        <v>101.28405405405404</v>
      </c>
    </row>
    <row r="27" spans="1:12" x14ac:dyDescent="0.2">
      <c r="A27" s="216"/>
      <c r="B27" s="230" t="s">
        <v>177</v>
      </c>
      <c r="C27" s="309">
        <f>100+100+90+90+90+90+100+100+100+10+30</f>
        <v>900</v>
      </c>
      <c r="D27" s="240">
        <f>99.47+100+100+99.37+95.89+98+100+100+100+10.37+34</f>
        <v>937.1</v>
      </c>
      <c r="E27" s="233">
        <f t="shared" si="0"/>
        <v>104.12222222222222</v>
      </c>
      <c r="F27" s="240">
        <f>100+100+90+90+90+90+100+100+100+10+30</f>
        <v>900</v>
      </c>
      <c r="G27" s="240">
        <f>100+100+100+99.27+98+99.48+100+100+92.85+11.1+30.33</f>
        <v>931.03000000000009</v>
      </c>
      <c r="H27" s="233">
        <f t="shared" si="1"/>
        <v>103.44777777777779</v>
      </c>
      <c r="I27" s="240">
        <f>100+100+90+90+90+90+100+100+100+100+10+30</f>
        <v>1000</v>
      </c>
      <c r="J27" s="240">
        <f>100+100+100+99.52+98.05+99.38+100+100+96.9+10+38.33</f>
        <v>942.18000000000006</v>
      </c>
      <c r="K27" s="233">
        <f t="shared" si="2"/>
        <v>94.218000000000004</v>
      </c>
      <c r="L27" s="234">
        <f t="shared" si="3"/>
        <v>100.596</v>
      </c>
    </row>
    <row r="28" spans="1:12" x14ac:dyDescent="0.2">
      <c r="A28" s="216"/>
      <c r="B28" s="235" t="s">
        <v>178</v>
      </c>
      <c r="C28" s="242">
        <f t="shared" ref="C28:D35" si="4">100+100+100</f>
        <v>300</v>
      </c>
      <c r="D28" s="242">
        <f t="shared" si="4"/>
        <v>300</v>
      </c>
      <c r="E28" s="238">
        <f t="shared" si="0"/>
        <v>100</v>
      </c>
      <c r="F28" s="242">
        <f t="shared" ref="F28:G35" si="5">100+100+100</f>
        <v>300</v>
      </c>
      <c r="G28" s="242">
        <f t="shared" si="5"/>
        <v>300</v>
      </c>
      <c r="H28" s="238">
        <f t="shared" si="1"/>
        <v>100</v>
      </c>
      <c r="I28" s="242">
        <f t="shared" ref="I28:J35" si="6">100+100+100</f>
        <v>300</v>
      </c>
      <c r="J28" s="242">
        <f t="shared" si="6"/>
        <v>300</v>
      </c>
      <c r="K28" s="238">
        <f t="shared" si="2"/>
        <v>100</v>
      </c>
      <c r="L28" s="234">
        <f t="shared" si="3"/>
        <v>100</v>
      </c>
    </row>
    <row r="29" spans="1:12" x14ac:dyDescent="0.2">
      <c r="A29" s="216"/>
      <c r="B29" s="230" t="s">
        <v>179</v>
      </c>
      <c r="C29" s="243">
        <f t="shared" si="4"/>
        <v>300</v>
      </c>
      <c r="D29" s="243">
        <f t="shared" si="4"/>
        <v>300</v>
      </c>
      <c r="E29" s="233">
        <f t="shared" si="0"/>
        <v>100</v>
      </c>
      <c r="F29" s="243">
        <f t="shared" si="5"/>
        <v>300</v>
      </c>
      <c r="G29" s="243">
        <f t="shared" si="5"/>
        <v>300</v>
      </c>
      <c r="H29" s="233">
        <f t="shared" si="1"/>
        <v>100</v>
      </c>
      <c r="I29" s="243">
        <f t="shared" si="6"/>
        <v>300</v>
      </c>
      <c r="J29" s="243">
        <f t="shared" si="6"/>
        <v>300</v>
      </c>
      <c r="K29" s="233">
        <f t="shared" si="2"/>
        <v>100</v>
      </c>
      <c r="L29" s="234">
        <f t="shared" si="3"/>
        <v>100</v>
      </c>
    </row>
    <row r="30" spans="1:12" x14ac:dyDescent="0.2">
      <c r="A30" s="216"/>
      <c r="B30" s="235" t="s">
        <v>180</v>
      </c>
      <c r="C30" s="242">
        <f t="shared" si="4"/>
        <v>300</v>
      </c>
      <c r="D30" s="242">
        <f t="shared" si="4"/>
        <v>300</v>
      </c>
      <c r="E30" s="238">
        <f t="shared" si="0"/>
        <v>100</v>
      </c>
      <c r="F30" s="242">
        <f t="shared" si="5"/>
        <v>300</v>
      </c>
      <c r="G30" s="242">
        <f>99+100+100</f>
        <v>299</v>
      </c>
      <c r="H30" s="238">
        <f t="shared" si="1"/>
        <v>99.666666666666671</v>
      </c>
      <c r="I30" s="242">
        <f t="shared" si="6"/>
        <v>300</v>
      </c>
      <c r="J30" s="242">
        <f t="shared" si="6"/>
        <v>300</v>
      </c>
      <c r="K30" s="238">
        <f t="shared" si="2"/>
        <v>100</v>
      </c>
      <c r="L30" s="234">
        <f t="shared" si="3"/>
        <v>99.8888888888889</v>
      </c>
    </row>
    <row r="31" spans="1:12" x14ac:dyDescent="0.2">
      <c r="A31" s="216"/>
      <c r="B31" s="230" t="s">
        <v>181</v>
      </c>
      <c r="C31" s="243">
        <f t="shared" si="4"/>
        <v>300</v>
      </c>
      <c r="D31" s="243">
        <f t="shared" si="4"/>
        <v>300</v>
      </c>
      <c r="E31" s="233">
        <f t="shared" si="0"/>
        <v>100</v>
      </c>
      <c r="F31" s="243">
        <f t="shared" si="5"/>
        <v>300</v>
      </c>
      <c r="G31" s="243">
        <f>100+100+100</f>
        <v>300</v>
      </c>
      <c r="H31" s="233">
        <f t="shared" si="1"/>
        <v>100</v>
      </c>
      <c r="I31" s="243">
        <f t="shared" si="6"/>
        <v>300</v>
      </c>
      <c r="J31" s="243">
        <f t="shared" si="6"/>
        <v>300</v>
      </c>
      <c r="K31" s="233">
        <f t="shared" si="2"/>
        <v>100</v>
      </c>
      <c r="L31" s="234">
        <f t="shared" si="3"/>
        <v>100</v>
      </c>
    </row>
    <row r="32" spans="1:12" x14ac:dyDescent="0.2">
      <c r="A32" s="216"/>
      <c r="B32" s="235" t="s">
        <v>182</v>
      </c>
      <c r="C32" s="242">
        <f t="shared" si="4"/>
        <v>300</v>
      </c>
      <c r="D32" s="242">
        <f t="shared" si="4"/>
        <v>300</v>
      </c>
      <c r="E32" s="238">
        <f t="shared" si="0"/>
        <v>100</v>
      </c>
      <c r="F32" s="242">
        <f t="shared" si="5"/>
        <v>300</v>
      </c>
      <c r="G32" s="242">
        <f>100+133+100</f>
        <v>333</v>
      </c>
      <c r="H32" s="238">
        <f t="shared" si="1"/>
        <v>111</v>
      </c>
      <c r="I32" s="242">
        <f t="shared" si="6"/>
        <v>300</v>
      </c>
      <c r="J32" s="242">
        <f t="shared" si="6"/>
        <v>300</v>
      </c>
      <c r="K32" s="238">
        <f t="shared" si="2"/>
        <v>100</v>
      </c>
      <c r="L32" s="234">
        <f t="shared" si="3"/>
        <v>103.66666666666667</v>
      </c>
    </row>
    <row r="33" spans="1:12" x14ac:dyDescent="0.2">
      <c r="A33" s="216"/>
      <c r="B33" s="230" t="s">
        <v>183</v>
      </c>
      <c r="C33" s="243">
        <f t="shared" si="4"/>
        <v>300</v>
      </c>
      <c r="D33" s="243">
        <f t="shared" si="4"/>
        <v>300</v>
      </c>
      <c r="E33" s="233">
        <f t="shared" si="0"/>
        <v>100</v>
      </c>
      <c r="F33" s="243">
        <f t="shared" si="5"/>
        <v>300</v>
      </c>
      <c r="G33" s="243">
        <f t="shared" si="5"/>
        <v>300</v>
      </c>
      <c r="H33" s="233">
        <f t="shared" si="1"/>
        <v>100</v>
      </c>
      <c r="I33" s="243">
        <f t="shared" si="6"/>
        <v>300</v>
      </c>
      <c r="J33" s="243">
        <f t="shared" si="6"/>
        <v>300</v>
      </c>
      <c r="K33" s="233">
        <f t="shared" si="2"/>
        <v>100</v>
      </c>
      <c r="L33" s="234">
        <f t="shared" si="3"/>
        <v>100</v>
      </c>
    </row>
    <row r="34" spans="1:12" x14ac:dyDescent="0.2">
      <c r="A34" s="216"/>
      <c r="B34" s="235" t="s">
        <v>184</v>
      </c>
      <c r="C34" s="242">
        <f t="shared" si="4"/>
        <v>300</v>
      </c>
      <c r="D34" s="242">
        <f t="shared" si="4"/>
        <v>300</v>
      </c>
      <c r="E34" s="238">
        <f t="shared" si="0"/>
        <v>100</v>
      </c>
      <c r="F34" s="242">
        <f t="shared" si="5"/>
        <v>300</v>
      </c>
      <c r="G34" s="242">
        <f t="shared" si="5"/>
        <v>300</v>
      </c>
      <c r="H34" s="238">
        <f t="shared" si="1"/>
        <v>100</v>
      </c>
      <c r="I34" s="242">
        <f t="shared" si="6"/>
        <v>300</v>
      </c>
      <c r="J34" s="242">
        <f t="shared" si="6"/>
        <v>300</v>
      </c>
      <c r="K34" s="238">
        <f t="shared" si="2"/>
        <v>100</v>
      </c>
      <c r="L34" s="234">
        <f t="shared" si="3"/>
        <v>100</v>
      </c>
    </row>
    <row r="35" spans="1:12" x14ac:dyDescent="0.2">
      <c r="A35" s="216"/>
      <c r="B35" s="230" t="s">
        <v>185</v>
      </c>
      <c r="C35" s="243">
        <f t="shared" si="4"/>
        <v>300</v>
      </c>
      <c r="D35" s="243">
        <f t="shared" si="4"/>
        <v>300</v>
      </c>
      <c r="E35" s="233">
        <f t="shared" si="0"/>
        <v>100</v>
      </c>
      <c r="F35" s="243">
        <f t="shared" si="5"/>
        <v>300</v>
      </c>
      <c r="G35" s="243">
        <f t="shared" si="5"/>
        <v>300</v>
      </c>
      <c r="H35" s="233">
        <f t="shared" si="1"/>
        <v>100</v>
      </c>
      <c r="I35" s="243">
        <f t="shared" si="6"/>
        <v>300</v>
      </c>
      <c r="J35" s="243">
        <f t="shared" si="6"/>
        <v>300</v>
      </c>
      <c r="K35" s="233">
        <f t="shared" si="2"/>
        <v>100</v>
      </c>
      <c r="L35" s="234">
        <f t="shared" si="3"/>
        <v>100</v>
      </c>
    </row>
    <row r="36" spans="1:12" x14ac:dyDescent="0.2">
      <c r="A36" s="216"/>
      <c r="B36" s="235" t="s">
        <v>186</v>
      </c>
      <c r="C36" s="310">
        <f>40+80+90+40+25+5+80+40+80</f>
        <v>480</v>
      </c>
      <c r="D36" s="242">
        <f>92+87+100+55+32+5+100+75+87</f>
        <v>633</v>
      </c>
      <c r="E36" s="238">
        <f t="shared" si="0"/>
        <v>131.875</v>
      </c>
      <c r="F36" s="242">
        <f>40+80+90+40+25+5+80+40+80</f>
        <v>480</v>
      </c>
      <c r="G36" s="242">
        <f>87+83+100+60+26+5+100+68+92</f>
        <v>621</v>
      </c>
      <c r="H36" s="238">
        <f t="shared" si="1"/>
        <v>129.375</v>
      </c>
      <c r="I36" s="242">
        <f>40+80+90+50+10+5+80+40+80</f>
        <v>475</v>
      </c>
      <c r="J36" s="242">
        <f>86+83+100+53+19+5+100+56+84</f>
        <v>586</v>
      </c>
      <c r="K36" s="238">
        <f t="shared" si="2"/>
        <v>123.36842105263158</v>
      </c>
      <c r="L36" s="234">
        <f t="shared" si="3"/>
        <v>128.20614035087718</v>
      </c>
    </row>
    <row r="37" spans="1:12" x14ac:dyDescent="0.2">
      <c r="A37" s="216"/>
      <c r="B37" s="230" t="s">
        <v>187</v>
      </c>
      <c r="C37" s="309">
        <f t="shared" ref="C37:C38" si="7">100+90+100</f>
        <v>290</v>
      </c>
      <c r="D37" s="243">
        <f t="shared" ref="D37:D38" si="8">100+100+100</f>
        <v>300</v>
      </c>
      <c r="E37" s="233">
        <f t="shared" si="0"/>
        <v>103.44827586206897</v>
      </c>
      <c r="F37" s="309">
        <f t="shared" ref="F37:F38" si="9">100+90+100</f>
        <v>290</v>
      </c>
      <c r="G37" s="243">
        <f t="shared" ref="G37:G38" si="10">100+100+100</f>
        <v>300</v>
      </c>
      <c r="H37" s="233">
        <f t="shared" si="1"/>
        <v>103.44827586206897</v>
      </c>
      <c r="I37" s="309">
        <f t="shared" ref="I37:I38" si="11">100+90+100</f>
        <v>290</v>
      </c>
      <c r="J37" s="243">
        <f t="shared" ref="J37:J38" si="12">100+100+100</f>
        <v>300</v>
      </c>
      <c r="K37" s="233">
        <f t="shared" si="2"/>
        <v>103.44827586206897</v>
      </c>
      <c r="L37" s="234">
        <f t="shared" si="3"/>
        <v>103.44827586206897</v>
      </c>
    </row>
    <row r="38" spans="1:12" x14ac:dyDescent="0.2">
      <c r="A38" s="216"/>
      <c r="B38" s="235" t="s">
        <v>188</v>
      </c>
      <c r="C38" s="311">
        <f t="shared" si="7"/>
        <v>290</v>
      </c>
      <c r="D38" s="242">
        <f t="shared" si="8"/>
        <v>300</v>
      </c>
      <c r="E38" s="238">
        <f t="shared" si="0"/>
        <v>103.44827586206897</v>
      </c>
      <c r="F38" s="311">
        <f t="shared" si="9"/>
        <v>290</v>
      </c>
      <c r="G38" s="242">
        <f t="shared" si="10"/>
        <v>300</v>
      </c>
      <c r="H38" s="238">
        <f t="shared" si="1"/>
        <v>103.44827586206897</v>
      </c>
      <c r="I38" s="311">
        <f t="shared" si="11"/>
        <v>290</v>
      </c>
      <c r="J38" s="242">
        <f t="shared" si="12"/>
        <v>300</v>
      </c>
      <c r="K38" s="238">
        <f t="shared" si="2"/>
        <v>103.44827586206897</v>
      </c>
      <c r="L38" s="234">
        <f t="shared" si="3"/>
        <v>103.44827586206897</v>
      </c>
    </row>
    <row r="39" spans="1:12" x14ac:dyDescent="0.2">
      <c r="A39" s="216"/>
      <c r="B39" s="230" t="s">
        <v>189</v>
      </c>
      <c r="C39" s="309">
        <f>70+90+90+90+90+90+90</f>
        <v>610</v>
      </c>
      <c r="D39" s="243">
        <f>68.75+90.02+89.93+90.38+89.52+90+89.99</f>
        <v>608.58999999999992</v>
      </c>
      <c r="E39" s="233">
        <f t="shared" si="0"/>
        <v>99.768852459016387</v>
      </c>
      <c r="F39" s="309">
        <f>70+90+90+90+90+90+90</f>
        <v>610</v>
      </c>
      <c r="G39" s="243">
        <f>72.22+89.98+90.11+89.9+89.52+90.91+89.98</f>
        <v>612.62</v>
      </c>
      <c r="H39" s="233">
        <f t="shared" si="1"/>
        <v>100.42950819672132</v>
      </c>
      <c r="I39" s="309">
        <f>70+90+90+90+90+90+90</f>
        <v>610</v>
      </c>
      <c r="J39" s="309">
        <f>71.43+90+90+87.38+89.52+90.91+90</f>
        <v>609.24</v>
      </c>
      <c r="K39" s="233">
        <f t="shared" si="2"/>
        <v>99.875409836065572</v>
      </c>
      <c r="L39" s="234">
        <f t="shared" si="3"/>
        <v>100.02459016393442</v>
      </c>
    </row>
    <row r="40" spans="1:12" x14ac:dyDescent="0.2">
      <c r="A40" s="216"/>
      <c r="B40" s="235" t="s">
        <v>190</v>
      </c>
      <c r="C40" s="310">
        <f t="shared" ref="C40:C42" si="13">70+70+70+70</f>
        <v>280</v>
      </c>
      <c r="D40" s="242">
        <f>70+70+70+75</f>
        <v>285</v>
      </c>
      <c r="E40" s="238">
        <f t="shared" si="0"/>
        <v>101.78571428571429</v>
      </c>
      <c r="F40" s="310">
        <f t="shared" ref="F40:F42" si="14">70+70+70+70</f>
        <v>280</v>
      </c>
      <c r="G40" s="242">
        <f>70+73.4+70+75</f>
        <v>288.39999999999998</v>
      </c>
      <c r="H40" s="238">
        <f t="shared" si="1"/>
        <v>102.99999999999999</v>
      </c>
      <c r="I40" s="310">
        <f t="shared" ref="I40:I42" si="15">70+70+70+70</f>
        <v>280</v>
      </c>
      <c r="J40" s="242">
        <f>70+70+70+75</f>
        <v>285</v>
      </c>
      <c r="K40" s="238">
        <f t="shared" si="2"/>
        <v>101.78571428571429</v>
      </c>
      <c r="L40" s="234">
        <f t="shared" si="3"/>
        <v>102.19047619047619</v>
      </c>
    </row>
    <row r="41" spans="1:12" x14ac:dyDescent="0.2">
      <c r="A41" s="216"/>
      <c r="B41" s="230" t="s">
        <v>191</v>
      </c>
      <c r="C41" s="243">
        <f t="shared" si="13"/>
        <v>280</v>
      </c>
      <c r="D41" s="243">
        <f>71.43+70+70+75</f>
        <v>286.43</v>
      </c>
      <c r="E41" s="233">
        <f t="shared" si="0"/>
        <v>102.29642857142858</v>
      </c>
      <c r="F41" s="243">
        <f t="shared" si="14"/>
        <v>280</v>
      </c>
      <c r="G41" s="243">
        <f>71.43+69.86+72+75</f>
        <v>288.29000000000002</v>
      </c>
      <c r="H41" s="233">
        <f t="shared" si="1"/>
        <v>102.9607142857143</v>
      </c>
      <c r="I41" s="243">
        <f t="shared" si="15"/>
        <v>280</v>
      </c>
      <c r="J41" s="243">
        <f>71.43+70+70+75</f>
        <v>286.43</v>
      </c>
      <c r="K41" s="233">
        <f t="shared" si="2"/>
        <v>102.29642857142858</v>
      </c>
      <c r="L41" s="234">
        <f t="shared" si="3"/>
        <v>102.51785714285715</v>
      </c>
    </row>
    <row r="42" spans="1:12" x14ac:dyDescent="0.2">
      <c r="A42" s="216"/>
      <c r="B42" s="235" t="s">
        <v>192</v>
      </c>
      <c r="C42" s="310">
        <f t="shared" si="13"/>
        <v>280</v>
      </c>
      <c r="D42" s="242">
        <f>70+69.98+70.07+71.43</f>
        <v>281.48</v>
      </c>
      <c r="E42" s="238">
        <f t="shared" si="0"/>
        <v>100.52857142857142</v>
      </c>
      <c r="F42" s="310">
        <f t="shared" si="14"/>
        <v>280</v>
      </c>
      <c r="G42" s="242">
        <f>70+69.98+70.07+71.43</f>
        <v>281.48</v>
      </c>
      <c r="H42" s="238">
        <f t="shared" si="1"/>
        <v>100.52857142857142</v>
      </c>
      <c r="I42" s="310">
        <f t="shared" si="15"/>
        <v>280</v>
      </c>
      <c r="J42" s="242">
        <f>69.81+70.03+69.77+71.43</f>
        <v>281.04000000000002</v>
      </c>
      <c r="K42" s="238">
        <f t="shared" si="2"/>
        <v>100.37142857142858</v>
      </c>
      <c r="L42" s="234">
        <f t="shared" si="3"/>
        <v>100.47619047619048</v>
      </c>
    </row>
    <row r="43" spans="1:12" x14ac:dyDescent="0.2">
      <c r="A43" s="216"/>
      <c r="B43" s="230" t="s">
        <v>193</v>
      </c>
      <c r="C43" s="309">
        <f>40+80+90+40+80+90+6+40</f>
        <v>466</v>
      </c>
      <c r="D43" s="243">
        <f>57.74+108.33+92.73+40.2+80+92+6.43+51.52</f>
        <v>528.95000000000005</v>
      </c>
      <c r="E43" s="233">
        <f t="shared" si="0"/>
        <v>113.50858369098714</v>
      </c>
      <c r="F43" s="243">
        <f>40+80+90+40+80+90+6+40</f>
        <v>466</v>
      </c>
      <c r="G43" s="243">
        <f>46.88+90+93+46.8+80.33+90+3.72+41.03</f>
        <v>491.76</v>
      </c>
      <c r="H43" s="233">
        <f t="shared" si="1"/>
        <v>105.52789699570816</v>
      </c>
      <c r="I43" s="243">
        <f>40+80+90+40+80+90+6+40</f>
        <v>466</v>
      </c>
      <c r="J43" s="243">
        <f>41.21+71.67+95.12+40.2+80+90+5.42+41.03</f>
        <v>464.65</v>
      </c>
      <c r="K43" s="233">
        <f t="shared" si="2"/>
        <v>99.710300429184542</v>
      </c>
      <c r="L43" s="234">
        <f t="shared" si="3"/>
        <v>106.24892703862662</v>
      </c>
    </row>
    <row r="44" spans="1:12" x14ac:dyDescent="0.2">
      <c r="A44" s="216"/>
      <c r="B44" s="235" t="s">
        <v>194</v>
      </c>
      <c r="C44" s="310">
        <f t="shared" ref="C44:C49" si="16">100+70+80</f>
        <v>250</v>
      </c>
      <c r="D44" s="242">
        <f>100+74.86+86</f>
        <v>260.86</v>
      </c>
      <c r="E44" s="238">
        <f t="shared" si="0"/>
        <v>104.34399999999999</v>
      </c>
      <c r="F44" s="310">
        <f t="shared" ref="F44:F49" si="17">100+70+80</f>
        <v>250</v>
      </c>
      <c r="G44" s="242">
        <f>100+70.4+84</f>
        <v>254.4</v>
      </c>
      <c r="H44" s="238">
        <f t="shared" si="1"/>
        <v>101.76</v>
      </c>
      <c r="I44" s="310">
        <f t="shared" ref="I44:I49" si="18">100+70+80</f>
        <v>250</v>
      </c>
      <c r="J44" s="242">
        <f>100+78.91+86</f>
        <v>264.90999999999997</v>
      </c>
      <c r="K44" s="238">
        <f t="shared" si="2"/>
        <v>105.96399999999998</v>
      </c>
      <c r="L44" s="234">
        <f t="shared" si="3"/>
        <v>104.02266666666667</v>
      </c>
    </row>
    <row r="45" spans="1:12" x14ac:dyDescent="0.2">
      <c r="A45" s="216"/>
      <c r="B45" s="230" t="s">
        <v>195</v>
      </c>
      <c r="C45" s="309">
        <f t="shared" si="16"/>
        <v>250</v>
      </c>
      <c r="D45" s="243">
        <f>100+73.27+76</f>
        <v>249.26999999999998</v>
      </c>
      <c r="E45" s="233">
        <f t="shared" si="0"/>
        <v>99.707999999999998</v>
      </c>
      <c r="F45" s="309">
        <f t="shared" si="17"/>
        <v>250</v>
      </c>
      <c r="G45" s="243">
        <f>100+71.02+82</f>
        <v>253.01999999999998</v>
      </c>
      <c r="H45" s="233">
        <f t="shared" si="1"/>
        <v>101.208</v>
      </c>
      <c r="I45" s="309">
        <f t="shared" si="18"/>
        <v>250</v>
      </c>
      <c r="J45" s="243">
        <f>100+72.24+76</f>
        <v>248.24</v>
      </c>
      <c r="K45" s="233">
        <f t="shared" si="2"/>
        <v>99.296000000000006</v>
      </c>
      <c r="L45" s="234">
        <f t="shared" si="3"/>
        <v>100.07066666666667</v>
      </c>
    </row>
    <row r="46" spans="1:12" x14ac:dyDescent="0.2">
      <c r="A46" s="216"/>
      <c r="B46" s="235" t="s">
        <v>196</v>
      </c>
      <c r="C46" s="310">
        <f t="shared" si="16"/>
        <v>250</v>
      </c>
      <c r="D46" s="242">
        <f>100+72.97+84</f>
        <v>256.97000000000003</v>
      </c>
      <c r="E46" s="238">
        <f t="shared" si="0"/>
        <v>102.78800000000001</v>
      </c>
      <c r="F46" s="310">
        <f t="shared" si="17"/>
        <v>250</v>
      </c>
      <c r="G46" s="242">
        <f>100+78.13+84</f>
        <v>262.13</v>
      </c>
      <c r="H46" s="238">
        <f t="shared" si="1"/>
        <v>104.852</v>
      </c>
      <c r="I46" s="310">
        <f t="shared" si="18"/>
        <v>250</v>
      </c>
      <c r="J46" s="242">
        <f>100+69.77+86</f>
        <v>255.76999999999998</v>
      </c>
      <c r="K46" s="238">
        <f t="shared" si="2"/>
        <v>102.30800000000001</v>
      </c>
      <c r="L46" s="234">
        <f t="shared" si="3"/>
        <v>103.31600000000002</v>
      </c>
    </row>
    <row r="47" spans="1:12" x14ac:dyDescent="0.2">
      <c r="A47" s="216"/>
      <c r="B47" s="230" t="s">
        <v>197</v>
      </c>
      <c r="C47" s="309">
        <f t="shared" si="16"/>
        <v>250</v>
      </c>
      <c r="D47" s="243">
        <f>100+76.98+82</f>
        <v>258.98</v>
      </c>
      <c r="E47" s="233">
        <f t="shared" si="0"/>
        <v>103.592</v>
      </c>
      <c r="F47" s="309">
        <f t="shared" si="17"/>
        <v>250</v>
      </c>
      <c r="G47" s="243">
        <f>100+75.23+84</f>
        <v>259.23</v>
      </c>
      <c r="H47" s="233">
        <f t="shared" si="1"/>
        <v>103.69199999999999</v>
      </c>
      <c r="I47" s="309">
        <f t="shared" si="18"/>
        <v>250</v>
      </c>
      <c r="J47" s="243">
        <f>100+75.18+90</f>
        <v>265.18</v>
      </c>
      <c r="K47" s="233">
        <f t="shared" si="2"/>
        <v>106.072</v>
      </c>
      <c r="L47" s="234">
        <f t="shared" si="3"/>
        <v>104.452</v>
      </c>
    </row>
    <row r="48" spans="1:12" x14ac:dyDescent="0.2">
      <c r="A48" s="216"/>
      <c r="B48" s="245" t="s">
        <v>198</v>
      </c>
      <c r="C48" s="310">
        <f t="shared" si="16"/>
        <v>250</v>
      </c>
      <c r="D48" s="242">
        <f>100+70.31+80</f>
        <v>250.31</v>
      </c>
      <c r="E48" s="238">
        <f t="shared" si="0"/>
        <v>100.124</v>
      </c>
      <c r="F48" s="310">
        <f t="shared" si="17"/>
        <v>250</v>
      </c>
      <c r="G48" s="242">
        <f>100+69.97+80</f>
        <v>249.97</v>
      </c>
      <c r="H48" s="238">
        <f t="shared" si="1"/>
        <v>99.988</v>
      </c>
      <c r="I48" s="310">
        <f t="shared" si="18"/>
        <v>250</v>
      </c>
      <c r="J48" s="242">
        <f>100+69.97+80</f>
        <v>249.97</v>
      </c>
      <c r="K48" s="238">
        <f t="shared" si="2"/>
        <v>99.988</v>
      </c>
      <c r="L48" s="234">
        <f t="shared" si="3"/>
        <v>100.03333333333335</v>
      </c>
    </row>
    <row r="49" spans="1:12" x14ac:dyDescent="0.2">
      <c r="A49" s="216"/>
      <c r="B49" s="230" t="s">
        <v>199</v>
      </c>
      <c r="C49" s="309">
        <f t="shared" si="16"/>
        <v>250</v>
      </c>
      <c r="D49" s="243">
        <f>100+75.08+88</f>
        <v>263.08</v>
      </c>
      <c r="E49" s="233">
        <f t="shared" si="0"/>
        <v>105.232</v>
      </c>
      <c r="F49" s="309">
        <f t="shared" si="17"/>
        <v>250</v>
      </c>
      <c r="G49" s="243">
        <f>100+73.96+86</f>
        <v>259.95999999999998</v>
      </c>
      <c r="H49" s="233">
        <f t="shared" si="1"/>
        <v>103.98399999999998</v>
      </c>
      <c r="I49" s="309">
        <f t="shared" si="18"/>
        <v>250</v>
      </c>
      <c r="J49" s="243">
        <f>100+74.18+84</f>
        <v>258.18</v>
      </c>
      <c r="K49" s="233">
        <f t="shared" si="2"/>
        <v>103.27200000000001</v>
      </c>
      <c r="L49" s="234">
        <f t="shared" si="3"/>
        <v>104.16266666666667</v>
      </c>
    </row>
    <row r="50" spans="1:12" x14ac:dyDescent="0.2">
      <c r="A50" s="216"/>
      <c r="B50" s="246" t="s">
        <v>200</v>
      </c>
      <c r="C50" s="247">
        <f>72+20+80+30+71.43+40</f>
        <v>313.43</v>
      </c>
      <c r="D50" s="247">
        <f>70+18.92+78.82+29.85+73.01+40.3</f>
        <v>310.90000000000003</v>
      </c>
      <c r="E50" s="238">
        <f t="shared" si="0"/>
        <v>99.192802220591531</v>
      </c>
      <c r="F50" s="247">
        <f>72+20+80+30+71.43+40</f>
        <v>313.43</v>
      </c>
      <c r="G50" s="247">
        <f>71.43+23.94+82.57+27.78+79.72+46.77</f>
        <v>332.21</v>
      </c>
      <c r="H50" s="238">
        <f t="shared" si="1"/>
        <v>105.99176849695307</v>
      </c>
      <c r="I50" s="247">
        <f>72+20+80+30+71.43+40</f>
        <v>313.43</v>
      </c>
      <c r="J50" s="247">
        <f>76.19+29.58+89.44+28.37+79.41+45.78</f>
        <v>348.77</v>
      </c>
      <c r="K50" s="238">
        <f t="shared" si="2"/>
        <v>111.27524487126311</v>
      </c>
      <c r="L50" s="234">
        <f t="shared" si="3"/>
        <v>105.48660519626924</v>
      </c>
    </row>
    <row r="51" spans="1:12" x14ac:dyDescent="0.2">
      <c r="A51" s="216"/>
      <c r="B51" s="230" t="s">
        <v>201</v>
      </c>
      <c r="C51" s="309">
        <f t="shared" ref="C51:C52" si="19">100+70+80</f>
        <v>250</v>
      </c>
      <c r="D51" s="243">
        <f>100+69.31+84</f>
        <v>253.31</v>
      </c>
      <c r="E51" s="233">
        <f t="shared" si="0"/>
        <v>101.324</v>
      </c>
      <c r="F51" s="309">
        <f t="shared" ref="F51:F52" si="20">100+70+80</f>
        <v>250</v>
      </c>
      <c r="G51" s="243">
        <f>100+70.34+83.13</f>
        <v>253.47</v>
      </c>
      <c r="H51" s="233">
        <f t="shared" si="1"/>
        <v>101.38800000000001</v>
      </c>
      <c r="I51" s="309">
        <f t="shared" ref="I51:I52" si="21">100+70+80</f>
        <v>250</v>
      </c>
      <c r="J51" s="243">
        <f>100+79.37+88.1</f>
        <v>267.47000000000003</v>
      </c>
      <c r="K51" s="233">
        <f t="shared" si="2"/>
        <v>106.98800000000001</v>
      </c>
      <c r="L51" s="234">
        <f t="shared" si="3"/>
        <v>103.23333333333333</v>
      </c>
    </row>
    <row r="52" spans="1:12" x14ac:dyDescent="0.2">
      <c r="A52" s="216"/>
      <c r="B52" s="246" t="s">
        <v>202</v>
      </c>
      <c r="C52" s="310">
        <f t="shared" si="19"/>
        <v>250</v>
      </c>
      <c r="D52" s="247">
        <f>100+69.49+77.5</f>
        <v>246.99</v>
      </c>
      <c r="E52" s="238">
        <f t="shared" si="0"/>
        <v>98.796000000000006</v>
      </c>
      <c r="F52" s="310">
        <f t="shared" si="20"/>
        <v>250</v>
      </c>
      <c r="G52" s="247">
        <f>100+66.15+74.42</f>
        <v>240.57</v>
      </c>
      <c r="H52" s="238">
        <f t="shared" si="1"/>
        <v>96.227999999999994</v>
      </c>
      <c r="I52" s="310">
        <f t="shared" si="21"/>
        <v>250</v>
      </c>
      <c r="J52" s="247">
        <f>100+65.22+78.57</f>
        <v>243.79</v>
      </c>
      <c r="K52" s="238">
        <f t="shared" si="2"/>
        <v>97.516000000000005</v>
      </c>
      <c r="L52" s="234">
        <f t="shared" si="3"/>
        <v>97.513333333333335</v>
      </c>
    </row>
    <row r="53" spans="1:12" x14ac:dyDescent="0.2">
      <c r="A53" s="216"/>
      <c r="B53" s="230" t="s">
        <v>203</v>
      </c>
      <c r="C53" s="309">
        <f>57+18+43+22+90+90</f>
        <v>320</v>
      </c>
      <c r="D53" s="243">
        <f>61.37+19.37+44.13+24.05+91.94+92.29</f>
        <v>333.15000000000003</v>
      </c>
      <c r="E53" s="233">
        <f t="shared" si="0"/>
        <v>104.109375</v>
      </c>
      <c r="F53" s="243">
        <f>57+18+43+22+90+90</f>
        <v>320</v>
      </c>
      <c r="G53" s="243">
        <f>61.54+19.66+43.32+23.4+92.06+91.96</f>
        <v>331.94</v>
      </c>
      <c r="H53" s="233">
        <f t="shared" si="1"/>
        <v>103.73125</v>
      </c>
      <c r="I53" s="243">
        <f>57+18+43+22+90+90</f>
        <v>320</v>
      </c>
      <c r="J53" s="243">
        <f>62.38+19.78+43.09+23.08+92.31+92.18</f>
        <v>332.82</v>
      </c>
      <c r="K53" s="233">
        <f t="shared" si="2"/>
        <v>104.00624999999999</v>
      </c>
      <c r="L53" s="234">
        <f t="shared" si="3"/>
        <v>103.94895833333332</v>
      </c>
    </row>
    <row r="54" spans="1:12" x14ac:dyDescent="0.2">
      <c r="A54" s="216"/>
      <c r="B54" s="246" t="s">
        <v>204</v>
      </c>
      <c r="C54" s="312">
        <f>80+90+80+65+25+50+100+70</f>
        <v>560</v>
      </c>
      <c r="D54" s="248">
        <f>100+100+100+69.07+91.72+100+100+100</f>
        <v>760.79</v>
      </c>
      <c r="E54" s="238">
        <f t="shared" si="0"/>
        <v>135.85535714285714</v>
      </c>
      <c r="F54" s="248">
        <f>80+90+80+70+25+50+100+80</f>
        <v>575</v>
      </c>
      <c r="G54" s="248">
        <f>100+99.4+100+94.64+79.04+100+100+100</f>
        <v>773.07999999999993</v>
      </c>
      <c r="H54" s="238">
        <f t="shared" si="1"/>
        <v>134.44869565217391</v>
      </c>
      <c r="I54" s="248">
        <f>90+95+85+75+25+50+100+85</f>
        <v>605</v>
      </c>
      <c r="J54" s="248">
        <f>100+100+100+97.28+22.16+97.78+100+100</f>
        <v>717.22</v>
      </c>
      <c r="K54" s="238">
        <f t="shared" si="2"/>
        <v>118.54876033057852</v>
      </c>
      <c r="L54" s="234">
        <f t="shared" si="3"/>
        <v>129.6176043752032</v>
      </c>
    </row>
    <row r="55" spans="1:12" x14ac:dyDescent="0.2">
      <c r="A55" s="216"/>
      <c r="B55" s="230" t="s">
        <v>205</v>
      </c>
      <c r="C55" s="309">
        <f>47.72+46.58+1.99+5.21+113.64+20+26.88+100</f>
        <v>362.02</v>
      </c>
      <c r="D55" s="240">
        <f>48.45+46.26+1.86+6.19+115.72+14.48+28.42+100</f>
        <v>361.38</v>
      </c>
      <c r="E55" s="233">
        <f t="shared" si="0"/>
        <v>99.823214187061495</v>
      </c>
      <c r="F55" s="240">
        <f>48.89+48.06+0.85+3.65+108.7+20+26.88+5</f>
        <v>262.03000000000003</v>
      </c>
      <c r="G55" s="240">
        <f>48.94+46.95+1.4+5.71+114.69+5.15+27.37+0</f>
        <v>250.21</v>
      </c>
      <c r="H55" s="233">
        <f t="shared" si="1"/>
        <v>95.489066137465159</v>
      </c>
      <c r="I55" s="240">
        <f>50.11+49.61+0+2.1+114.29+20+18.28+5</f>
        <v>259.39</v>
      </c>
      <c r="J55" s="240">
        <f>49.39+49.33+0.97+5.34+114.84+8.76+18.94+0</f>
        <v>247.57</v>
      </c>
      <c r="K55" s="233">
        <f t="shared" si="2"/>
        <v>95.443155094645135</v>
      </c>
      <c r="L55" s="234">
        <f t="shared" si="3"/>
        <v>96.918478473057277</v>
      </c>
    </row>
    <row r="56" spans="1:12" x14ac:dyDescent="0.2">
      <c r="A56" s="216"/>
      <c r="B56" s="249"/>
      <c r="C56" s="250"/>
      <c r="D56" s="251"/>
      <c r="E56" s="251"/>
      <c r="F56" s="251"/>
      <c r="G56" s="251"/>
      <c r="H56" s="251"/>
      <c r="I56" s="251"/>
      <c r="J56" s="251"/>
      <c r="K56" s="251"/>
      <c r="L56" s="214"/>
    </row>
    <row r="57" spans="1:12" ht="15" x14ac:dyDescent="0.2">
      <c r="A57" s="223"/>
      <c r="B57" s="252" t="s">
        <v>206</v>
      </c>
      <c r="C57" s="253"/>
      <c r="D57" s="254"/>
      <c r="E57" s="254"/>
      <c r="F57" s="254"/>
      <c r="G57" s="254"/>
      <c r="H57" s="254"/>
      <c r="I57" s="254"/>
      <c r="J57" s="254"/>
      <c r="K57" s="254"/>
      <c r="L57" s="229"/>
    </row>
    <row r="58" spans="1:12" ht="13.5" customHeight="1" x14ac:dyDescent="0.2">
      <c r="A58" s="216"/>
      <c r="B58" s="249"/>
      <c r="C58" s="250"/>
      <c r="D58" s="251"/>
      <c r="E58" s="251"/>
      <c r="F58" s="251"/>
      <c r="G58" s="251"/>
      <c r="H58" s="251"/>
      <c r="I58" s="251"/>
      <c r="J58" s="251"/>
      <c r="K58" s="251"/>
      <c r="L58" s="214"/>
    </row>
    <row r="59" spans="1:12" x14ac:dyDescent="0.2">
      <c r="A59" s="216"/>
      <c r="B59" s="230" t="s">
        <v>207</v>
      </c>
      <c r="C59" s="231">
        <f>80+80+76</f>
        <v>236</v>
      </c>
      <c r="D59" s="240">
        <f>80+80+76</f>
        <v>236</v>
      </c>
      <c r="E59" s="233">
        <f t="shared" ref="E59:E69" si="22">+D59*100/C59</f>
        <v>100</v>
      </c>
      <c r="F59" s="240">
        <f>80+80+76</f>
        <v>236</v>
      </c>
      <c r="G59" s="240">
        <f>83+87+76</f>
        <v>246</v>
      </c>
      <c r="H59" s="233">
        <f t="shared" ref="H59:H69" si="23">+G59*100/F59</f>
        <v>104.23728813559322</v>
      </c>
      <c r="I59" s="240">
        <f>80+80+76</f>
        <v>236</v>
      </c>
      <c r="J59" s="240">
        <f>80+81+76</f>
        <v>237</v>
      </c>
      <c r="K59" s="233">
        <f t="shared" ref="K59:K69" si="24">+J59*100/I59</f>
        <v>100.42372881355932</v>
      </c>
      <c r="L59" s="234">
        <f t="shared" ref="L59:L69" si="25">+(E59+H59+K59)/3</f>
        <v>101.55367231638418</v>
      </c>
    </row>
    <row r="60" spans="1:12" x14ac:dyDescent="0.2">
      <c r="A60" s="216"/>
      <c r="B60" s="245" t="s">
        <v>208</v>
      </c>
      <c r="C60" s="244">
        <f>85+90+85</f>
        <v>260</v>
      </c>
      <c r="D60" s="242">
        <f>85+92+85</f>
        <v>262</v>
      </c>
      <c r="E60" s="238">
        <f t="shared" si="22"/>
        <v>100.76923076923077</v>
      </c>
      <c r="F60" s="242">
        <f>80+90+85</f>
        <v>255</v>
      </c>
      <c r="G60" s="242">
        <f>82+90+85</f>
        <v>257</v>
      </c>
      <c r="H60" s="238">
        <f t="shared" si="23"/>
        <v>100.78431372549019</v>
      </c>
      <c r="I60" s="242">
        <f>80+85+85</f>
        <v>250</v>
      </c>
      <c r="J60" s="242">
        <f>81+86+87</f>
        <v>254</v>
      </c>
      <c r="K60" s="238">
        <f t="shared" si="24"/>
        <v>101.6</v>
      </c>
      <c r="L60" s="234">
        <f t="shared" si="25"/>
        <v>101.05118149824033</v>
      </c>
    </row>
    <row r="61" spans="1:12" x14ac:dyDescent="0.2">
      <c r="A61" s="216"/>
      <c r="B61" s="230" t="s">
        <v>209</v>
      </c>
      <c r="C61" s="231">
        <f>95+85+75+85+85+85</f>
        <v>510</v>
      </c>
      <c r="D61" s="240">
        <f>97.06+87.27+72.72+85.42+85.24+75</f>
        <v>502.71</v>
      </c>
      <c r="E61" s="233">
        <f t="shared" si="22"/>
        <v>98.570588235294125</v>
      </c>
      <c r="F61" s="240">
        <f>95+90+75+85+85+85</f>
        <v>515</v>
      </c>
      <c r="G61" s="240">
        <f>89.46+90.9+71.42+93.29+87.8+80</f>
        <v>512.87000000000012</v>
      </c>
      <c r="H61" s="233">
        <f t="shared" si="23"/>
        <v>99.58640776699032</v>
      </c>
      <c r="I61" s="240">
        <f>95+92+75+80+85+85</f>
        <v>512</v>
      </c>
      <c r="J61" s="240">
        <f>87.04+91.66+66.66+75+93.27+77.77</f>
        <v>491.4</v>
      </c>
      <c r="K61" s="233">
        <f t="shared" si="24"/>
        <v>95.9765625</v>
      </c>
      <c r="L61" s="234">
        <f t="shared" si="25"/>
        <v>98.044519500761496</v>
      </c>
    </row>
    <row r="62" spans="1:12" x14ac:dyDescent="0.2">
      <c r="A62" s="216"/>
      <c r="B62" s="245" t="s">
        <v>210</v>
      </c>
      <c r="C62" s="244">
        <f>90+90+95+85+90+90+90+80+90</f>
        <v>800</v>
      </c>
      <c r="D62" s="241">
        <f>100+100+100+90+100+100+100+95.53+93</f>
        <v>878.53</v>
      </c>
      <c r="E62" s="238">
        <f t="shared" si="22"/>
        <v>109.81625</v>
      </c>
      <c r="F62" s="241">
        <f>90+85+90+85+95+95+90+80+90</f>
        <v>800</v>
      </c>
      <c r="G62" s="241">
        <f>100+90+90+90+100+100+100+89.95+90</f>
        <v>849.95</v>
      </c>
      <c r="H62" s="238">
        <f t="shared" si="23"/>
        <v>106.24375000000001</v>
      </c>
      <c r="I62" s="241">
        <f>90+85+90+85+95+95+90+80+90</f>
        <v>800</v>
      </c>
      <c r="J62" s="241">
        <f>100+85+90+90+100+100+100+100+100</f>
        <v>865</v>
      </c>
      <c r="K62" s="238">
        <f t="shared" si="24"/>
        <v>108.125</v>
      </c>
      <c r="L62" s="234">
        <f t="shared" si="25"/>
        <v>108.06166666666667</v>
      </c>
    </row>
    <row r="63" spans="1:12" x14ac:dyDescent="0.2">
      <c r="A63" s="216"/>
      <c r="B63" s="230" t="s">
        <v>211</v>
      </c>
      <c r="C63" s="231">
        <f>76+60+95+90+90+95+94+85+100+92+100+93</f>
        <v>1070</v>
      </c>
      <c r="D63" s="240">
        <f>79+60+96+90+95+99+93+100+100+100+100+85</f>
        <v>1097</v>
      </c>
      <c r="E63" s="233">
        <f t="shared" si="22"/>
        <v>102.5233644859813</v>
      </c>
      <c r="F63" s="240">
        <f>76+60+95+90+90+95+94+85+100+92+100+93+93+53+100+93+100</f>
        <v>1509</v>
      </c>
      <c r="G63" s="240">
        <f>81+62+100+93+95+97+93+100+100+100+100+100+83+75+100+98+100</f>
        <v>1577</v>
      </c>
      <c r="H63" s="233">
        <f t="shared" si="23"/>
        <v>104.50629555997349</v>
      </c>
      <c r="I63" s="240">
        <f>77+70+96+90+90+95+95+85+100+93+100+94+94+54+100+94+100</f>
        <v>1527</v>
      </c>
      <c r="J63" s="240">
        <f>87+60+100+100+95+95+92+100+100+86+100+100+85+74+100+100+100</f>
        <v>1574</v>
      </c>
      <c r="K63" s="233">
        <f t="shared" si="24"/>
        <v>103.07793058284217</v>
      </c>
      <c r="L63" s="234">
        <f t="shared" si="25"/>
        <v>103.36919687626566</v>
      </c>
    </row>
    <row r="64" spans="1:12" x14ac:dyDescent="0.2">
      <c r="A64" s="216"/>
      <c r="B64" s="245" t="s">
        <v>193</v>
      </c>
      <c r="C64" s="244">
        <f>69+71+83+80+86+85+87+80+77</f>
        <v>718</v>
      </c>
      <c r="D64" s="241">
        <f>61+74+92+86+94+91+90+80+85</f>
        <v>753</v>
      </c>
      <c r="E64" s="238">
        <f t="shared" si="22"/>
        <v>104.87465181058496</v>
      </c>
      <c r="F64" s="241">
        <f>70+75+79+82+88+89+86+80+67</f>
        <v>716</v>
      </c>
      <c r="G64" s="241">
        <f>61+84+112+80+91+89+95+86+82</f>
        <v>780</v>
      </c>
      <c r="H64" s="238">
        <f t="shared" si="23"/>
        <v>108.93854748603351</v>
      </c>
      <c r="I64" s="241">
        <f>70+73+79+80+85+84+86+80+67</f>
        <v>704</v>
      </c>
      <c r="J64" s="241">
        <f>64+83+102+75+95+92+68+76+143</f>
        <v>798</v>
      </c>
      <c r="K64" s="238">
        <f t="shared" si="24"/>
        <v>113.35227272727273</v>
      </c>
      <c r="L64" s="234">
        <f t="shared" si="25"/>
        <v>109.05515734129706</v>
      </c>
    </row>
    <row r="65" spans="1:15" x14ac:dyDescent="0.2">
      <c r="A65" s="216"/>
      <c r="B65" s="230" t="s">
        <v>212</v>
      </c>
      <c r="C65" s="231">
        <f>80+90+80</f>
        <v>250</v>
      </c>
      <c r="D65" s="240">
        <f>87+100+89</f>
        <v>276</v>
      </c>
      <c r="E65" s="233">
        <f t="shared" si="22"/>
        <v>110.4</v>
      </c>
      <c r="F65" s="240">
        <f>80+90+80</f>
        <v>250</v>
      </c>
      <c r="G65" s="240">
        <f>84+93+87</f>
        <v>264</v>
      </c>
      <c r="H65" s="233">
        <f t="shared" si="23"/>
        <v>105.6</v>
      </c>
      <c r="I65" s="240">
        <f>80+90+80</f>
        <v>250</v>
      </c>
      <c r="J65" s="240">
        <f>85+100+89</f>
        <v>274</v>
      </c>
      <c r="K65" s="233">
        <f t="shared" si="24"/>
        <v>109.6</v>
      </c>
      <c r="L65" s="234">
        <f t="shared" si="25"/>
        <v>108.53333333333335</v>
      </c>
    </row>
    <row r="66" spans="1:15" x14ac:dyDescent="0.2">
      <c r="A66" s="216"/>
      <c r="B66" s="245" t="s">
        <v>213</v>
      </c>
      <c r="C66" s="244">
        <f>80+90+50+80+80</f>
        <v>380</v>
      </c>
      <c r="D66" s="241">
        <f>100+90+50+80+90</f>
        <v>410</v>
      </c>
      <c r="E66" s="238">
        <f t="shared" si="22"/>
        <v>107.89473684210526</v>
      </c>
      <c r="F66" s="241">
        <f>90+90+50+85+85</f>
        <v>400</v>
      </c>
      <c r="G66" s="241">
        <f>100+94+50+80+90</f>
        <v>414</v>
      </c>
      <c r="H66" s="238">
        <f t="shared" si="23"/>
        <v>103.5</v>
      </c>
      <c r="I66" s="241">
        <f>90+90+50+85+85</f>
        <v>400</v>
      </c>
      <c r="J66" s="241">
        <f>100+91+50+80+90</f>
        <v>411</v>
      </c>
      <c r="K66" s="238">
        <f t="shared" si="24"/>
        <v>102.75</v>
      </c>
      <c r="L66" s="234">
        <f t="shared" si="25"/>
        <v>104.71491228070175</v>
      </c>
    </row>
    <row r="67" spans="1:15" x14ac:dyDescent="0.2">
      <c r="A67" s="216"/>
      <c r="B67" s="230" t="s">
        <v>214</v>
      </c>
      <c r="C67" s="231">
        <f>87+75+67+80+50+90</f>
        <v>449</v>
      </c>
      <c r="D67" s="240">
        <f>90+0+0+80+50+100</f>
        <v>320</v>
      </c>
      <c r="E67" s="233">
        <f t="shared" si="22"/>
        <v>71.269487750556792</v>
      </c>
      <c r="F67" s="240">
        <f>87+67+50+80+50+90</f>
        <v>424</v>
      </c>
      <c r="G67" s="240">
        <f>90+67+50+80+50+93</f>
        <v>430</v>
      </c>
      <c r="H67" s="233">
        <f t="shared" si="23"/>
        <v>101.41509433962264</v>
      </c>
      <c r="I67" s="240">
        <f>80+50+50+80+50+90</f>
        <v>400</v>
      </c>
      <c r="J67" s="240">
        <f>83+50+50+84+57+93.75</f>
        <v>417.75</v>
      </c>
      <c r="K67" s="233">
        <f t="shared" si="24"/>
        <v>104.4375</v>
      </c>
      <c r="L67" s="234">
        <f t="shared" si="25"/>
        <v>92.374027363393154</v>
      </c>
    </row>
    <row r="68" spans="1:15" x14ac:dyDescent="0.2">
      <c r="A68" s="216"/>
      <c r="B68" s="245" t="s">
        <v>215</v>
      </c>
      <c r="C68" s="244">
        <f>100+50+50</f>
        <v>200</v>
      </c>
      <c r="D68" s="241">
        <f>100+50+50</f>
        <v>200</v>
      </c>
      <c r="E68" s="238">
        <f t="shared" si="22"/>
        <v>100</v>
      </c>
      <c r="F68" s="241">
        <f>0+50+50</f>
        <v>100</v>
      </c>
      <c r="G68" s="241">
        <f>100+50+50</f>
        <v>200</v>
      </c>
      <c r="H68" s="238">
        <f t="shared" si="23"/>
        <v>200</v>
      </c>
      <c r="I68" s="241">
        <f>100+50+50</f>
        <v>200</v>
      </c>
      <c r="J68" s="241">
        <f>100+50+50</f>
        <v>200</v>
      </c>
      <c r="K68" s="238">
        <f t="shared" si="24"/>
        <v>100</v>
      </c>
      <c r="L68" s="234">
        <f t="shared" si="25"/>
        <v>133.33333333333334</v>
      </c>
    </row>
    <row r="69" spans="1:15" x14ac:dyDescent="0.2">
      <c r="B69" s="230" t="s">
        <v>216</v>
      </c>
      <c r="C69" s="231">
        <f>80+80</f>
        <v>160</v>
      </c>
      <c r="D69" s="240">
        <f>94+99</f>
        <v>193</v>
      </c>
      <c r="E69" s="233">
        <f t="shared" si="22"/>
        <v>120.625</v>
      </c>
      <c r="F69" s="240">
        <f>80+80</f>
        <v>160</v>
      </c>
      <c r="G69" s="240">
        <f>95+99</f>
        <v>194</v>
      </c>
      <c r="H69" s="233">
        <f t="shared" si="23"/>
        <v>121.25</v>
      </c>
      <c r="I69" s="240">
        <f>75+80</f>
        <v>155</v>
      </c>
      <c r="J69" s="240">
        <f>92+97</f>
        <v>189</v>
      </c>
      <c r="K69" s="233">
        <f t="shared" si="24"/>
        <v>121.93548387096774</v>
      </c>
      <c r="L69" s="234">
        <f t="shared" si="25"/>
        <v>121.27016129032258</v>
      </c>
    </row>
    <row r="70" spans="1:15" x14ac:dyDescent="0.2">
      <c r="A70" s="216"/>
      <c r="B70" s="255"/>
      <c r="C70" s="256"/>
      <c r="D70" s="257"/>
      <c r="E70" s="257"/>
      <c r="F70" s="257"/>
      <c r="G70" s="257"/>
      <c r="H70" s="257"/>
      <c r="I70" s="257"/>
      <c r="J70" s="257"/>
      <c r="K70" s="257"/>
      <c r="L70" s="214"/>
    </row>
    <row r="71" spans="1:15" ht="15" x14ac:dyDescent="0.2">
      <c r="A71" s="216"/>
      <c r="B71" s="252" t="s">
        <v>217</v>
      </c>
      <c r="C71" s="253"/>
      <c r="D71" s="254"/>
      <c r="E71" s="254"/>
      <c r="F71" s="254"/>
      <c r="G71" s="254"/>
      <c r="H71" s="254"/>
      <c r="I71" s="254"/>
      <c r="J71" s="254"/>
      <c r="K71" s="254"/>
      <c r="L71" s="229"/>
    </row>
    <row r="72" spans="1:15" ht="9.75" customHeight="1" x14ac:dyDescent="0.2">
      <c r="A72" s="216"/>
      <c r="B72" s="255"/>
      <c r="C72" s="256"/>
      <c r="D72" s="258"/>
      <c r="E72" s="258"/>
      <c r="F72" s="258"/>
      <c r="G72" s="258"/>
      <c r="H72" s="258"/>
      <c r="I72" s="258"/>
      <c r="J72" s="258"/>
      <c r="K72" s="258"/>
      <c r="L72" s="214"/>
    </row>
    <row r="73" spans="1:15" x14ac:dyDescent="0.2">
      <c r="A73" s="216"/>
      <c r="B73" s="245" t="s">
        <v>218</v>
      </c>
      <c r="C73" s="244">
        <f>100+89+100</f>
        <v>289</v>
      </c>
      <c r="D73" s="241">
        <f>100+89+100</f>
        <v>289</v>
      </c>
      <c r="E73" s="238">
        <f t="shared" ref="E73:E74" si="26">+D73*100/C73</f>
        <v>100</v>
      </c>
      <c r="F73" s="241">
        <f>100+89+100</f>
        <v>289</v>
      </c>
      <c r="G73" s="241">
        <f>100+89+100</f>
        <v>289</v>
      </c>
      <c r="H73" s="238">
        <f t="shared" ref="H73:H74" si="27">+G73*100/F73</f>
        <v>100</v>
      </c>
      <c r="I73" s="241">
        <f>100+89+100</f>
        <v>289</v>
      </c>
      <c r="J73" s="241">
        <f>100+89+100</f>
        <v>289</v>
      </c>
      <c r="K73" s="238">
        <f t="shared" ref="K73:K74" si="28">+J73*100/I73</f>
        <v>100</v>
      </c>
      <c r="L73" s="234">
        <f t="shared" ref="L73:L74" si="29">+(E73+H73+K73)/3</f>
        <v>100</v>
      </c>
    </row>
    <row r="74" spans="1:15" x14ac:dyDescent="0.2">
      <c r="A74" s="216"/>
      <c r="B74" s="230" t="s">
        <v>219</v>
      </c>
      <c r="C74" s="231">
        <f>80+100+98</f>
        <v>278</v>
      </c>
      <c r="D74" s="240">
        <f>75+100+99.64</f>
        <v>274.64</v>
      </c>
      <c r="E74" s="233">
        <f t="shared" si="26"/>
        <v>98.791366906474821</v>
      </c>
      <c r="F74" s="240">
        <f>80+100+98</f>
        <v>278</v>
      </c>
      <c r="G74" s="240">
        <f>78+100+99.67</f>
        <v>277.67</v>
      </c>
      <c r="H74" s="233">
        <f t="shared" si="27"/>
        <v>99.881294964028783</v>
      </c>
      <c r="I74" s="240">
        <f>80+100+98</f>
        <v>278</v>
      </c>
      <c r="J74" s="240">
        <f>78+100+99.53</f>
        <v>277.52999999999997</v>
      </c>
      <c r="K74" s="233">
        <f t="shared" si="28"/>
        <v>99.83093525179855</v>
      </c>
      <c r="L74" s="234">
        <f t="shared" si="29"/>
        <v>99.501199040767389</v>
      </c>
    </row>
    <row r="75" spans="1:15" ht="12.75" customHeight="1" x14ac:dyDescent="0.2">
      <c r="A75" s="216"/>
      <c r="B75" s="216"/>
      <c r="C75" s="216"/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</row>
    <row r="76" spans="1:15" ht="15" x14ac:dyDescent="0.2">
      <c r="A76" s="216"/>
      <c r="B76" s="259" t="s">
        <v>154</v>
      </c>
      <c r="C76" s="260"/>
      <c r="D76" s="261"/>
      <c r="E76" s="261"/>
      <c r="F76" s="261"/>
      <c r="G76" s="261"/>
      <c r="H76" s="261"/>
      <c r="I76" s="261"/>
      <c r="J76" s="261"/>
      <c r="K76" s="261"/>
      <c r="L76" s="229"/>
    </row>
    <row r="77" spans="1:15" ht="11.25" customHeight="1" x14ac:dyDescent="0.2">
      <c r="A77" s="216"/>
      <c r="B77" s="262"/>
      <c r="C77" s="217"/>
      <c r="D77" s="257"/>
      <c r="E77" s="257"/>
      <c r="F77" s="257"/>
      <c r="G77" s="257"/>
      <c r="H77" s="257"/>
      <c r="I77" s="257"/>
      <c r="J77" s="257"/>
      <c r="K77" s="257"/>
      <c r="L77" s="214"/>
    </row>
    <row r="78" spans="1:15" x14ac:dyDescent="0.2">
      <c r="A78" s="216"/>
      <c r="B78" s="245" t="s">
        <v>220</v>
      </c>
      <c r="C78" s="244">
        <f>80+100+100</f>
        <v>280</v>
      </c>
      <c r="D78" s="241">
        <f>81+100+100</f>
        <v>281</v>
      </c>
      <c r="E78" s="238">
        <f t="shared" ref="E78:E82" si="30">+D78*100/C78</f>
        <v>100.35714285714286</v>
      </c>
      <c r="F78" s="241">
        <f>80+100+100</f>
        <v>280</v>
      </c>
      <c r="G78" s="241">
        <f>85+100+100</f>
        <v>285</v>
      </c>
      <c r="H78" s="238">
        <f t="shared" ref="H78:H82" si="31">+G78*100/F78</f>
        <v>101.78571428571429</v>
      </c>
      <c r="I78" s="241">
        <f>80+100+100</f>
        <v>280</v>
      </c>
      <c r="J78" s="241">
        <f>91+100+100</f>
        <v>291</v>
      </c>
      <c r="K78" s="238">
        <f t="shared" ref="K78:K82" si="32">+J78*100/I78</f>
        <v>103.92857142857143</v>
      </c>
      <c r="L78" s="234">
        <f t="shared" ref="L78:L82" si="33">+(E78+H78+K78)/3</f>
        <v>102.02380952380953</v>
      </c>
    </row>
    <row r="79" spans="1:15" x14ac:dyDescent="0.2">
      <c r="A79" s="216"/>
      <c r="B79" s="230" t="s">
        <v>221</v>
      </c>
      <c r="C79" s="231">
        <f>100+80+80</f>
        <v>260</v>
      </c>
      <c r="D79" s="240">
        <f>100+86.75+87.5</f>
        <v>274.25</v>
      </c>
      <c r="E79" s="233">
        <f t="shared" si="30"/>
        <v>105.48076923076923</v>
      </c>
      <c r="F79" s="240">
        <f>100+80+80</f>
        <v>260</v>
      </c>
      <c r="G79" s="240">
        <f>100+84.31+80.74</f>
        <v>265.05</v>
      </c>
      <c r="H79" s="233">
        <f t="shared" si="31"/>
        <v>101.94230769230769</v>
      </c>
      <c r="I79" s="240">
        <f>100+80+80</f>
        <v>260</v>
      </c>
      <c r="J79" s="240">
        <f>100+98.45+86.89</f>
        <v>285.33999999999997</v>
      </c>
      <c r="K79" s="233">
        <f t="shared" si="32"/>
        <v>109.74615384615383</v>
      </c>
      <c r="L79" s="234">
        <f t="shared" si="33"/>
        <v>105.72307692307692</v>
      </c>
    </row>
    <row r="80" spans="1:15" x14ac:dyDescent="0.2">
      <c r="A80" s="216"/>
      <c r="B80" s="245" t="s">
        <v>222</v>
      </c>
      <c r="C80" s="244">
        <f>60+60+60</f>
        <v>180</v>
      </c>
      <c r="D80" s="241">
        <f>66+60+70</f>
        <v>196</v>
      </c>
      <c r="E80" s="238">
        <f t="shared" si="30"/>
        <v>108.88888888888889</v>
      </c>
      <c r="F80" s="241">
        <f>65+65+65</f>
        <v>195</v>
      </c>
      <c r="G80" s="241">
        <f>75+66+66</f>
        <v>207</v>
      </c>
      <c r="H80" s="238">
        <f t="shared" si="31"/>
        <v>106.15384615384616</v>
      </c>
      <c r="I80" s="241">
        <f>65+65+65</f>
        <v>195</v>
      </c>
      <c r="J80" s="241">
        <f>0+66+70</f>
        <v>136</v>
      </c>
      <c r="K80" s="238">
        <f t="shared" si="32"/>
        <v>69.743589743589737</v>
      </c>
      <c r="L80" s="234">
        <f t="shared" si="33"/>
        <v>94.928774928774928</v>
      </c>
    </row>
    <row r="81" spans="1:12" x14ac:dyDescent="0.2">
      <c r="A81" s="216"/>
      <c r="B81" s="230" t="s">
        <v>223</v>
      </c>
      <c r="C81" s="231">
        <f>100+100+100</f>
        <v>300</v>
      </c>
      <c r="D81" s="240">
        <f>100+100+100</f>
        <v>300</v>
      </c>
      <c r="E81" s="233">
        <f t="shared" si="30"/>
        <v>100</v>
      </c>
      <c r="F81" s="240">
        <f>100+100+100</f>
        <v>300</v>
      </c>
      <c r="G81" s="240">
        <f>100+100+100</f>
        <v>300</v>
      </c>
      <c r="H81" s="233">
        <f t="shared" si="31"/>
        <v>100</v>
      </c>
      <c r="I81" s="240">
        <f>100+100+100</f>
        <v>300</v>
      </c>
      <c r="J81" s="240">
        <f>100+100+100</f>
        <v>300</v>
      </c>
      <c r="K81" s="233">
        <f t="shared" si="32"/>
        <v>100</v>
      </c>
      <c r="L81" s="234">
        <f t="shared" si="33"/>
        <v>100</v>
      </c>
    </row>
    <row r="82" spans="1:12" x14ac:dyDescent="0.2">
      <c r="A82" s="216"/>
      <c r="B82" s="263" t="s">
        <v>224</v>
      </c>
      <c r="C82" s="264">
        <f>100+80+80+70</f>
        <v>330</v>
      </c>
      <c r="D82" s="242">
        <f>100+0+81+71</f>
        <v>252</v>
      </c>
      <c r="E82" s="238">
        <f t="shared" si="30"/>
        <v>76.36363636363636</v>
      </c>
      <c r="F82" s="242">
        <f>100+80+80+70</f>
        <v>330</v>
      </c>
      <c r="G82" s="242">
        <f>100+0+81+71</f>
        <v>252</v>
      </c>
      <c r="H82" s="238">
        <f t="shared" si="31"/>
        <v>76.36363636363636</v>
      </c>
      <c r="I82" s="242">
        <f>100+80+80+70</f>
        <v>330</v>
      </c>
      <c r="J82" s="242">
        <f>100+0+81+70</f>
        <v>251</v>
      </c>
      <c r="K82" s="238">
        <f t="shared" si="32"/>
        <v>76.060606060606062</v>
      </c>
      <c r="L82" s="234">
        <f t="shared" si="33"/>
        <v>76.262626262626256</v>
      </c>
    </row>
    <row r="83" spans="1:12" x14ac:dyDescent="0.2">
      <c r="A83" s="216"/>
      <c r="B83" s="255"/>
      <c r="C83" s="256"/>
      <c r="D83" s="257"/>
      <c r="E83" s="257"/>
      <c r="F83" s="257"/>
      <c r="G83" s="257"/>
      <c r="H83" s="257"/>
      <c r="I83" s="257"/>
      <c r="J83" s="257"/>
      <c r="K83" s="257"/>
      <c r="L83" s="214"/>
    </row>
    <row r="84" spans="1:12" ht="15" x14ac:dyDescent="0.2">
      <c r="A84" s="216"/>
      <c r="B84" s="259" t="s">
        <v>225</v>
      </c>
      <c r="C84" s="260"/>
      <c r="D84" s="265"/>
      <c r="E84" s="265"/>
      <c r="F84" s="265"/>
      <c r="G84" s="265"/>
      <c r="H84" s="265"/>
      <c r="I84" s="265"/>
      <c r="J84" s="265"/>
      <c r="K84" s="265"/>
      <c r="L84" s="229"/>
    </row>
    <row r="85" spans="1:12" ht="12" customHeight="1" x14ac:dyDescent="0.2">
      <c r="A85" s="216"/>
      <c r="B85" s="249"/>
      <c r="C85" s="250"/>
      <c r="D85" s="257"/>
      <c r="E85" s="257"/>
      <c r="F85" s="257"/>
      <c r="G85" s="257"/>
      <c r="H85" s="257"/>
      <c r="I85" s="257"/>
      <c r="J85" s="257"/>
      <c r="K85" s="257"/>
      <c r="L85" s="214"/>
    </row>
    <row r="86" spans="1:12" x14ac:dyDescent="0.2">
      <c r="A86" s="216"/>
      <c r="B86" s="230" t="s">
        <v>226</v>
      </c>
      <c r="C86" s="231">
        <f>80+80+80+100+100+100</f>
        <v>540</v>
      </c>
      <c r="D86" s="240">
        <f>100+100+83+100+100+100</f>
        <v>583</v>
      </c>
      <c r="E86" s="233">
        <f t="shared" ref="E86:E88" si="34">+D86*100/C86</f>
        <v>107.96296296296296</v>
      </c>
      <c r="F86" s="240">
        <f>80+80+80+100+100+100</f>
        <v>540</v>
      </c>
      <c r="G86" s="240">
        <f>100+100+82+100+100+100</f>
        <v>582</v>
      </c>
      <c r="H86" s="233">
        <f t="shared" ref="H86:H88" si="35">+G86*100/F86</f>
        <v>107.77777777777777</v>
      </c>
      <c r="I86" s="240">
        <f>80+80+80+100+100+100</f>
        <v>540</v>
      </c>
      <c r="J86" s="240">
        <f>100+100+81+100+100+100</f>
        <v>581</v>
      </c>
      <c r="K86" s="233">
        <f t="shared" ref="K86:K88" si="36">+J86*100/I86</f>
        <v>107.5925925925926</v>
      </c>
      <c r="L86" s="234">
        <f t="shared" ref="L86:L88" si="37">+(E86+H86+K86)/3</f>
        <v>107.77777777777777</v>
      </c>
    </row>
    <row r="87" spans="1:12" x14ac:dyDescent="0.2">
      <c r="A87" s="216"/>
      <c r="B87" s="245" t="s">
        <v>227</v>
      </c>
      <c r="C87" s="244">
        <f>80+80+100+100+100+100+100+80</f>
        <v>740</v>
      </c>
      <c r="D87" s="241">
        <f>81.17+30.32+100+100+100+100+100+81.17</f>
        <v>692.66</v>
      </c>
      <c r="E87" s="238">
        <f t="shared" si="34"/>
        <v>93.6027027027027</v>
      </c>
      <c r="F87" s="241">
        <f>80+80+100+100+100+100+100+80</f>
        <v>740</v>
      </c>
      <c r="G87" s="241">
        <f>85.74+37.23+100+100+100+100+100+85.74</f>
        <v>708.71</v>
      </c>
      <c r="H87" s="238">
        <f t="shared" si="35"/>
        <v>95.77162162162162</v>
      </c>
      <c r="I87" s="241">
        <f>80+80+100+100+100+100+100+80</f>
        <v>740</v>
      </c>
      <c r="J87" s="241">
        <f>92.95+62.42+100+100+100+100+100+92.95</f>
        <v>748.32</v>
      </c>
      <c r="K87" s="238">
        <f t="shared" si="36"/>
        <v>101.12432432432432</v>
      </c>
      <c r="L87" s="234">
        <f t="shared" si="37"/>
        <v>96.832882882882885</v>
      </c>
    </row>
    <row r="88" spans="1:12" x14ac:dyDescent="0.2">
      <c r="A88" s="266"/>
      <c r="B88" s="230" t="s">
        <v>228</v>
      </c>
      <c r="C88" s="231">
        <f>80+100+100+100</f>
        <v>380</v>
      </c>
      <c r="D88" s="240">
        <f>98.7+103.75+132.35+100</f>
        <v>434.79999999999995</v>
      </c>
      <c r="E88" s="233">
        <f t="shared" si="34"/>
        <v>114.42105263157893</v>
      </c>
      <c r="F88" s="240">
        <f>80+100+100+100</f>
        <v>380</v>
      </c>
      <c r="G88" s="240">
        <f>80.56+105.63+100+107.14</f>
        <v>393.33</v>
      </c>
      <c r="H88" s="233">
        <f t="shared" si="35"/>
        <v>103.5078947368421</v>
      </c>
      <c r="I88" s="240">
        <f>80+100+100+100</f>
        <v>380</v>
      </c>
      <c r="J88" s="240">
        <f>85.86+100+101.18+105.88</f>
        <v>392.92</v>
      </c>
      <c r="K88" s="233">
        <f t="shared" si="36"/>
        <v>103.4</v>
      </c>
      <c r="L88" s="234">
        <f t="shared" si="37"/>
        <v>107.10964912280701</v>
      </c>
    </row>
    <row r="89" spans="1:12" x14ac:dyDescent="0.2">
      <c r="A89" s="216"/>
      <c r="B89" s="267"/>
      <c r="C89" s="268"/>
      <c r="D89" s="269"/>
      <c r="E89" s="269"/>
      <c r="F89" s="269"/>
      <c r="G89" s="269"/>
      <c r="H89" s="269"/>
      <c r="I89" s="269"/>
      <c r="J89" s="269"/>
      <c r="K89" s="269"/>
      <c r="L89" s="214"/>
    </row>
    <row r="90" spans="1:12" ht="26.25" customHeight="1" x14ac:dyDescent="0.2">
      <c r="A90" s="216"/>
      <c r="B90" s="259" t="s">
        <v>229</v>
      </c>
      <c r="C90" s="260"/>
      <c r="D90" s="265"/>
      <c r="E90" s="265"/>
      <c r="F90" s="265"/>
      <c r="G90" s="265"/>
      <c r="H90" s="265"/>
      <c r="I90" s="265"/>
      <c r="J90" s="265"/>
      <c r="K90" s="265"/>
      <c r="L90" s="229"/>
    </row>
    <row r="91" spans="1:12" ht="9" customHeight="1" x14ac:dyDescent="0.2">
      <c r="A91" s="216"/>
      <c r="B91" s="249"/>
      <c r="C91" s="250"/>
      <c r="D91" s="257"/>
      <c r="E91" s="257"/>
      <c r="F91" s="257"/>
      <c r="G91" s="257"/>
      <c r="H91" s="257"/>
      <c r="I91" s="257"/>
      <c r="J91" s="257"/>
      <c r="K91" s="257"/>
      <c r="L91" s="214"/>
    </row>
    <row r="92" spans="1:12" x14ac:dyDescent="0.2">
      <c r="A92" s="216"/>
      <c r="B92" s="245" t="s">
        <v>230</v>
      </c>
      <c r="C92" s="244">
        <f>98+98+100+8+96+90+96</f>
        <v>586</v>
      </c>
      <c r="D92" s="241">
        <f>100+100+0+0+100+100+100</f>
        <v>500</v>
      </c>
      <c r="E92" s="238">
        <f t="shared" ref="E92:E93" si="38">+D92*100/C92</f>
        <v>85.324232081911262</v>
      </c>
      <c r="F92" s="241">
        <f>98+98+100+8+100+90+99</f>
        <v>593</v>
      </c>
      <c r="G92" s="241">
        <f>100+100+0+4+100+100+100</f>
        <v>504</v>
      </c>
      <c r="H92" s="238">
        <f t="shared" ref="H92:H93" si="39">+G92*100/F92</f>
        <v>84.991568296795947</v>
      </c>
      <c r="I92" s="241">
        <f>98+98+100+8+100+90+99</f>
        <v>593</v>
      </c>
      <c r="J92" s="241">
        <f>100+100+0+0+100+100+100</f>
        <v>500</v>
      </c>
      <c r="K92" s="238">
        <f t="shared" ref="K92:K93" si="40">+J92*100/I92</f>
        <v>84.317032040472171</v>
      </c>
      <c r="L92" s="234">
        <f t="shared" ref="L92:L93" si="41">+(E92+H92+K92)/3</f>
        <v>84.877610806393122</v>
      </c>
    </row>
    <row r="93" spans="1:12" x14ac:dyDescent="0.2">
      <c r="A93" s="216"/>
      <c r="B93" s="230" t="s">
        <v>231</v>
      </c>
      <c r="C93" s="231">
        <f>30+75+90+60+100+80+100+75+80</f>
        <v>690</v>
      </c>
      <c r="D93" s="240">
        <f>0+27+100+0+0+90+0+32+81</f>
        <v>330</v>
      </c>
      <c r="E93" s="233">
        <f t="shared" si="38"/>
        <v>47.826086956521742</v>
      </c>
      <c r="F93" s="240">
        <f>40+100+90+80+100+80+100+100+80</f>
        <v>770</v>
      </c>
      <c r="G93" s="240">
        <f>0+65+91+0+0+84+0+32+100</f>
        <v>372</v>
      </c>
      <c r="H93" s="233">
        <f t="shared" si="39"/>
        <v>48.311688311688314</v>
      </c>
      <c r="I93" s="240">
        <f>40+100+90+80+100+80+100+100+80</f>
        <v>770</v>
      </c>
      <c r="J93" s="240">
        <f>0+65+100+0+0+90+0+32+100</f>
        <v>387</v>
      </c>
      <c r="K93" s="233">
        <f t="shared" si="40"/>
        <v>50.259740259740262</v>
      </c>
      <c r="L93" s="234">
        <f t="shared" si="41"/>
        <v>48.799171842650104</v>
      </c>
    </row>
    <row r="94" spans="1:12" ht="13.7" customHeight="1" x14ac:dyDescent="0.2">
      <c r="A94" s="216"/>
      <c r="B94" s="216"/>
      <c r="C94" s="216"/>
      <c r="D94" s="216"/>
      <c r="E94" s="216"/>
      <c r="F94" s="216"/>
      <c r="G94" s="216"/>
      <c r="H94" s="216"/>
      <c r="I94" s="216"/>
      <c r="J94" s="216"/>
      <c r="K94" s="216"/>
      <c r="L94" s="214"/>
    </row>
    <row r="95" spans="1:12" ht="15" x14ac:dyDescent="0.2">
      <c r="A95" s="216"/>
      <c r="B95" s="259" t="s">
        <v>232</v>
      </c>
      <c r="C95" s="260"/>
      <c r="D95" s="265"/>
      <c r="E95" s="265"/>
      <c r="F95" s="265"/>
      <c r="G95" s="265"/>
      <c r="H95" s="265"/>
      <c r="I95" s="265"/>
      <c r="J95" s="265"/>
      <c r="K95" s="265"/>
      <c r="L95" s="229"/>
    </row>
    <row r="96" spans="1:12" ht="10.5" customHeight="1" x14ac:dyDescent="0.2">
      <c r="A96" s="216"/>
      <c r="B96" s="262"/>
      <c r="C96" s="217"/>
      <c r="D96" s="257"/>
      <c r="E96" s="257"/>
      <c r="F96" s="257"/>
      <c r="G96" s="257"/>
      <c r="H96" s="257"/>
      <c r="I96" s="257"/>
      <c r="J96" s="257"/>
      <c r="K96" s="257"/>
      <c r="L96" s="214"/>
    </row>
    <row r="97" spans="1:12" x14ac:dyDescent="0.2">
      <c r="A97" s="216"/>
      <c r="B97" s="245" t="s">
        <v>233</v>
      </c>
      <c r="C97" s="244">
        <f>80+70+80+100+100+100+100</f>
        <v>630</v>
      </c>
      <c r="D97" s="241">
        <f>85.71+91.17+80+0+0+100+100</f>
        <v>456.88</v>
      </c>
      <c r="E97" s="238">
        <f t="shared" ref="E97:E99" si="42">+D97*100/C97</f>
        <v>72.520634920634919</v>
      </c>
      <c r="F97" s="241">
        <f>80+70+80+100+100+100</f>
        <v>530</v>
      </c>
      <c r="G97" s="241">
        <f>80+90+80+0+100+100</f>
        <v>450</v>
      </c>
      <c r="H97" s="238">
        <f t="shared" ref="H97:H99" si="43">+G97*100/F97</f>
        <v>84.905660377358487</v>
      </c>
      <c r="I97" s="241">
        <f>80+0+80+100+100+100+100+100</f>
        <v>660</v>
      </c>
      <c r="J97" s="241">
        <f>80+86+80+0+100+0+100+100</f>
        <v>546</v>
      </c>
      <c r="K97" s="238">
        <f t="shared" ref="K97:K99" si="44">+J97*100/I97</f>
        <v>82.727272727272734</v>
      </c>
      <c r="L97" s="234">
        <f t="shared" ref="L97:L99" si="45">+(E97+H97+K97)/3</f>
        <v>80.051189341755389</v>
      </c>
    </row>
    <row r="98" spans="1:12" x14ac:dyDescent="0.2">
      <c r="A98" s="216"/>
      <c r="B98" s="230" t="s">
        <v>234</v>
      </c>
      <c r="C98" s="231">
        <f>100+100</f>
        <v>200</v>
      </c>
      <c r="D98" s="240">
        <f>100+100</f>
        <v>200</v>
      </c>
      <c r="E98" s="233">
        <f t="shared" si="42"/>
        <v>100</v>
      </c>
      <c r="F98" s="240">
        <f>100+100</f>
        <v>200</v>
      </c>
      <c r="G98" s="240">
        <f>100+100</f>
        <v>200</v>
      </c>
      <c r="H98" s="233">
        <f t="shared" si="43"/>
        <v>100</v>
      </c>
      <c r="I98" s="240">
        <f>100+100</f>
        <v>200</v>
      </c>
      <c r="J98" s="240">
        <f>100+100</f>
        <v>200</v>
      </c>
      <c r="K98" s="233">
        <f t="shared" si="44"/>
        <v>100</v>
      </c>
      <c r="L98" s="234">
        <f t="shared" si="45"/>
        <v>100</v>
      </c>
    </row>
    <row r="99" spans="1:12" x14ac:dyDescent="0.2">
      <c r="A99" s="216"/>
      <c r="B99" s="235" t="s">
        <v>235</v>
      </c>
      <c r="C99" s="236">
        <f>90+100</f>
        <v>190</v>
      </c>
      <c r="D99" s="241">
        <f>84.87+0</f>
        <v>84.87</v>
      </c>
      <c r="E99" s="238">
        <f t="shared" si="42"/>
        <v>44.668421052631579</v>
      </c>
      <c r="F99" s="241">
        <f>90+90+95+100</f>
        <v>375</v>
      </c>
      <c r="G99" s="241">
        <f>86+0+0+0</f>
        <v>86</v>
      </c>
      <c r="H99" s="238">
        <f t="shared" si="43"/>
        <v>22.933333333333334</v>
      </c>
      <c r="I99" s="241">
        <f>90+95</f>
        <v>185</v>
      </c>
      <c r="J99" s="241">
        <f>82.82+0</f>
        <v>82.82</v>
      </c>
      <c r="K99" s="238">
        <f t="shared" si="44"/>
        <v>44.767567567567568</v>
      </c>
      <c r="L99" s="234">
        <f t="shared" si="45"/>
        <v>37.456440651177495</v>
      </c>
    </row>
    <row r="100" spans="1:12" x14ac:dyDescent="0.2">
      <c r="A100" s="216"/>
      <c r="B100" s="249"/>
      <c r="C100" s="250"/>
      <c r="D100" s="257"/>
      <c r="E100" s="257"/>
      <c r="F100" s="257"/>
      <c r="G100" s="257"/>
      <c r="H100" s="257"/>
      <c r="I100" s="257"/>
      <c r="J100" s="257"/>
      <c r="K100" s="257"/>
      <c r="L100" s="214"/>
    </row>
    <row r="101" spans="1:12" ht="30" x14ac:dyDescent="0.2">
      <c r="A101" s="216"/>
      <c r="B101" s="259" t="s">
        <v>236</v>
      </c>
      <c r="C101" s="260"/>
      <c r="D101" s="265"/>
      <c r="E101" s="265"/>
      <c r="F101" s="265"/>
      <c r="G101" s="265"/>
      <c r="H101" s="265"/>
      <c r="I101" s="265"/>
      <c r="J101" s="265"/>
      <c r="K101" s="265"/>
      <c r="L101" s="229"/>
    </row>
    <row r="102" spans="1:12" ht="9" customHeight="1" x14ac:dyDescent="0.2">
      <c r="A102" s="216"/>
      <c r="B102" s="255"/>
      <c r="C102" s="256"/>
      <c r="D102" s="257"/>
      <c r="E102" s="257"/>
      <c r="F102" s="257"/>
      <c r="G102" s="257"/>
      <c r="H102" s="257"/>
      <c r="I102" s="257"/>
      <c r="J102" s="257"/>
      <c r="K102" s="257"/>
      <c r="L102" s="214"/>
    </row>
    <row r="103" spans="1:12" x14ac:dyDescent="0.2">
      <c r="A103" s="216"/>
      <c r="B103" s="230" t="s">
        <v>218</v>
      </c>
      <c r="C103" s="231">
        <f>25+33+50+50+34</f>
        <v>192</v>
      </c>
      <c r="D103" s="240">
        <f>25+33+50+50+34</f>
        <v>192</v>
      </c>
      <c r="E103" s="233">
        <f t="shared" ref="E103:E106" si="46">+D103*100/C103</f>
        <v>100</v>
      </c>
      <c r="F103" s="240">
        <f>25+75+70</f>
        <v>170</v>
      </c>
      <c r="G103" s="240">
        <f>25+75+70</f>
        <v>170</v>
      </c>
      <c r="H103" s="233">
        <f t="shared" ref="H103:H106" si="47">+G103*100/F103</f>
        <v>100</v>
      </c>
      <c r="I103" s="240">
        <f>34+25+30+33</f>
        <v>122</v>
      </c>
      <c r="J103" s="240">
        <f>34+25+30+33</f>
        <v>122</v>
      </c>
      <c r="K103" s="233">
        <f t="shared" ref="K103:K106" si="48">+J103*100/I103</f>
        <v>100</v>
      </c>
      <c r="L103" s="234">
        <f t="shared" ref="L103:L106" si="49">+(E103+H103+K103)/3</f>
        <v>100</v>
      </c>
    </row>
    <row r="104" spans="1:12" x14ac:dyDescent="0.2">
      <c r="A104" s="216"/>
      <c r="B104" s="245" t="s">
        <v>237</v>
      </c>
      <c r="C104" s="244">
        <f>80+100+100+100+100+100+100+100+100</f>
        <v>880</v>
      </c>
      <c r="D104" s="241">
        <f>87.5+100.29+100+100+100+100+100+100+100</f>
        <v>887.79</v>
      </c>
      <c r="E104" s="238">
        <f t="shared" si="46"/>
        <v>100.88522727272728</v>
      </c>
      <c r="F104" s="241">
        <f>80+100+100+100+100+100+100+100+100</f>
        <v>880</v>
      </c>
      <c r="G104" s="241">
        <f>76.5+100+100+100+100+100+100+100+100</f>
        <v>876.5</v>
      </c>
      <c r="H104" s="238">
        <f t="shared" si="47"/>
        <v>99.602272727272734</v>
      </c>
      <c r="I104" s="241">
        <f>80+100+100+100+100+100+100+100</f>
        <v>780</v>
      </c>
      <c r="J104" s="241">
        <f>169.23+39.35+100+100+100+100+100+100</f>
        <v>808.57999999999993</v>
      </c>
      <c r="K104" s="238">
        <f t="shared" si="48"/>
        <v>103.66410256410256</v>
      </c>
      <c r="L104" s="234">
        <f t="shared" si="49"/>
        <v>101.38386752136752</v>
      </c>
    </row>
    <row r="105" spans="1:12" x14ac:dyDescent="0.2">
      <c r="A105" s="216"/>
      <c r="B105" s="230" t="s">
        <v>238</v>
      </c>
      <c r="C105" s="231">
        <f>100+100+100+100</f>
        <v>400</v>
      </c>
      <c r="D105" s="231">
        <f>100+100+100+100</f>
        <v>400</v>
      </c>
      <c r="E105" s="233">
        <f t="shared" si="46"/>
        <v>100</v>
      </c>
      <c r="F105" s="240">
        <f>100+100+100</f>
        <v>300</v>
      </c>
      <c r="G105" s="240">
        <f>100+100+100</f>
        <v>300</v>
      </c>
      <c r="H105" s="233">
        <f t="shared" si="47"/>
        <v>100</v>
      </c>
      <c r="I105" s="231">
        <f>100+100+100+100+100+100</f>
        <v>600</v>
      </c>
      <c r="J105" s="231">
        <f>100+100+100+100+100+100</f>
        <v>600</v>
      </c>
      <c r="K105" s="233">
        <f t="shared" si="48"/>
        <v>100</v>
      </c>
      <c r="L105" s="234">
        <f t="shared" si="49"/>
        <v>100</v>
      </c>
    </row>
    <row r="106" spans="1:12" x14ac:dyDescent="0.2">
      <c r="A106" s="216"/>
      <c r="B106" s="245" t="s">
        <v>239</v>
      </c>
      <c r="C106" s="244">
        <f>70+70+40+100+15+40+40+40</f>
        <v>415</v>
      </c>
      <c r="D106" s="241">
        <f>72+82.06+45+100+15+47.2+36.41+224.44</f>
        <v>622.1099999999999</v>
      </c>
      <c r="E106" s="238">
        <f t="shared" si="46"/>
        <v>149.90602409638552</v>
      </c>
      <c r="F106" s="241">
        <f>70+70+40+100+20+40+40+40</f>
        <v>420</v>
      </c>
      <c r="G106" s="241">
        <f>72+83.5+42.31+100+15+59+32.95+42.27</f>
        <v>447.03</v>
      </c>
      <c r="H106" s="238">
        <f t="shared" si="47"/>
        <v>106.43571428571428</v>
      </c>
      <c r="I106" s="241">
        <f>70+70+40+100+20+40+40+40</f>
        <v>420</v>
      </c>
      <c r="J106" s="241">
        <f>75+71+40+100+18.33+29.03+34.52+151.77</f>
        <v>519.65</v>
      </c>
      <c r="K106" s="238">
        <f t="shared" si="48"/>
        <v>123.72619047619048</v>
      </c>
      <c r="L106" s="234">
        <f t="shared" si="49"/>
        <v>126.68930961943011</v>
      </c>
    </row>
    <row r="107" spans="1:12" x14ac:dyDescent="0.2">
      <c r="A107" s="216"/>
      <c r="B107" s="255"/>
      <c r="C107" s="256"/>
      <c r="D107" s="257"/>
      <c r="E107" s="257"/>
      <c r="F107" s="257"/>
      <c r="G107" s="257"/>
      <c r="H107" s="257"/>
      <c r="I107" s="257"/>
      <c r="J107" s="257"/>
      <c r="K107" s="257"/>
      <c r="L107" s="214"/>
    </row>
    <row r="108" spans="1:12" ht="15" x14ac:dyDescent="0.2">
      <c r="A108" s="216"/>
      <c r="B108" s="259" t="s">
        <v>240</v>
      </c>
      <c r="C108" s="260"/>
      <c r="D108" s="265"/>
      <c r="E108" s="265"/>
      <c r="F108" s="265"/>
      <c r="G108" s="265"/>
      <c r="H108" s="265"/>
      <c r="I108" s="265"/>
      <c r="J108" s="265"/>
      <c r="K108" s="265"/>
      <c r="L108" s="229"/>
    </row>
    <row r="109" spans="1:12" ht="8.25" customHeight="1" x14ac:dyDescent="0.2">
      <c r="A109" s="216"/>
      <c r="B109" s="270"/>
      <c r="C109" s="221"/>
      <c r="D109" s="257"/>
      <c r="E109" s="257"/>
      <c r="F109" s="257"/>
      <c r="G109" s="257"/>
      <c r="H109" s="257"/>
      <c r="I109" s="257"/>
      <c r="J109" s="257"/>
      <c r="K109" s="257"/>
      <c r="L109" s="214"/>
    </row>
    <row r="110" spans="1:12" x14ac:dyDescent="0.2">
      <c r="A110" s="216"/>
      <c r="B110" s="230" t="s">
        <v>241</v>
      </c>
      <c r="C110" s="231">
        <f>10+6+12+3</f>
        <v>31</v>
      </c>
      <c r="D110" s="240">
        <f>6.44+0.02+2.98+1.76</f>
        <v>11.2</v>
      </c>
      <c r="E110" s="233">
        <f t="shared" ref="E110:E111" si="50">+D110*100/C110</f>
        <v>36.12903225806452</v>
      </c>
      <c r="F110" s="240">
        <f>9+7+12+3</f>
        <v>31</v>
      </c>
      <c r="G110" s="240">
        <f>7.05+0.16+5.27+0.56</f>
        <v>13.040000000000001</v>
      </c>
      <c r="H110" s="233">
        <f t="shared" ref="H110:H111" si="51">+G110*100/F110</f>
        <v>42.064516129032256</v>
      </c>
      <c r="I110" s="240">
        <f>10+7+12+3</f>
        <v>32</v>
      </c>
      <c r="J110" s="240">
        <f>6.62+0.14+8.77+0</f>
        <v>15.53</v>
      </c>
      <c r="K110" s="233">
        <f t="shared" ref="K110:K111" si="52">+J110*100/I110</f>
        <v>48.53125</v>
      </c>
      <c r="L110" s="234">
        <f t="shared" ref="L110:L111" si="53">+(E110+H110+K110)/3</f>
        <v>42.241599462365592</v>
      </c>
    </row>
    <row r="111" spans="1:12" x14ac:dyDescent="0.2">
      <c r="A111" s="216"/>
      <c r="B111" s="245" t="s">
        <v>242</v>
      </c>
      <c r="C111" s="244">
        <f>95+92+18</f>
        <v>205</v>
      </c>
      <c r="D111" s="241">
        <f>96+100+12</f>
        <v>208</v>
      </c>
      <c r="E111" s="238">
        <f t="shared" si="50"/>
        <v>101.46341463414635</v>
      </c>
      <c r="F111" s="241">
        <f>95+92+18</f>
        <v>205</v>
      </c>
      <c r="G111" s="241">
        <f>96+95+15</f>
        <v>206</v>
      </c>
      <c r="H111" s="238">
        <f t="shared" si="51"/>
        <v>100.48780487804878</v>
      </c>
      <c r="I111" s="241">
        <f>92+88+18</f>
        <v>198</v>
      </c>
      <c r="J111" s="241">
        <f>83+93+19</f>
        <v>195</v>
      </c>
      <c r="K111" s="238">
        <f t="shared" si="52"/>
        <v>98.484848484848484</v>
      </c>
      <c r="L111" s="234">
        <f t="shared" si="53"/>
        <v>100.14535599901454</v>
      </c>
    </row>
    <row r="112" spans="1:12" x14ac:dyDescent="0.2">
      <c r="A112" s="216"/>
      <c r="B112" s="255"/>
      <c r="C112" s="256"/>
      <c r="D112" s="257"/>
      <c r="E112" s="257"/>
      <c r="F112" s="257"/>
      <c r="G112" s="257"/>
      <c r="H112" s="257"/>
      <c r="I112" s="257"/>
      <c r="J112" s="257"/>
      <c r="K112" s="257"/>
      <c r="L112" s="214"/>
    </row>
    <row r="113" spans="1:12" ht="15" x14ac:dyDescent="0.2">
      <c r="A113" s="216"/>
      <c r="B113" s="259" t="s">
        <v>155</v>
      </c>
      <c r="C113" s="260"/>
      <c r="D113" s="265"/>
      <c r="E113" s="265"/>
      <c r="F113" s="265"/>
      <c r="G113" s="265"/>
      <c r="H113" s="265"/>
      <c r="I113" s="265"/>
      <c r="J113" s="265"/>
      <c r="K113" s="265"/>
      <c r="L113" s="229"/>
    </row>
    <row r="114" spans="1:12" ht="12" customHeight="1" x14ac:dyDescent="0.2">
      <c r="A114" s="216"/>
      <c r="B114" s="270"/>
      <c r="C114" s="221"/>
      <c r="D114" s="257"/>
      <c r="E114" s="257"/>
      <c r="F114" s="257"/>
      <c r="G114" s="257"/>
      <c r="H114" s="257"/>
      <c r="I114" s="257"/>
      <c r="J114" s="257"/>
      <c r="K114" s="257"/>
      <c r="L114" s="214"/>
    </row>
    <row r="115" spans="1:12" x14ac:dyDescent="0.2">
      <c r="A115" s="271"/>
      <c r="B115" s="230" t="s">
        <v>243</v>
      </c>
      <c r="C115" s="231">
        <f>100+100+100</f>
        <v>300</v>
      </c>
      <c r="D115" s="240">
        <f>96.3+100+102.5</f>
        <v>298.8</v>
      </c>
      <c r="E115" s="233">
        <f>+D115*100/C115</f>
        <v>99.6</v>
      </c>
      <c r="F115" s="231">
        <f>100+100+100</f>
        <v>300</v>
      </c>
      <c r="G115" s="240">
        <f>96.3+100+110</f>
        <v>306.3</v>
      </c>
      <c r="H115" s="233">
        <f>+G115*100/F115</f>
        <v>102.1</v>
      </c>
      <c r="I115" s="240">
        <f>100+100+100</f>
        <v>300</v>
      </c>
      <c r="J115" s="240">
        <f>106.66+100+105</f>
        <v>311.65999999999997</v>
      </c>
      <c r="K115" s="233">
        <f>+J115*100/I115</f>
        <v>103.88666666666666</v>
      </c>
      <c r="L115" s="234">
        <f>+(E115+H115+K115)/3</f>
        <v>101.86222222222221</v>
      </c>
    </row>
    <row r="116" spans="1:12" x14ac:dyDescent="0.2">
      <c r="A116" s="272"/>
      <c r="B116" s="267"/>
      <c r="C116" s="268"/>
      <c r="D116" s="269"/>
      <c r="E116" s="269"/>
      <c r="F116" s="269"/>
      <c r="G116" s="269"/>
      <c r="H116" s="269"/>
      <c r="I116" s="269"/>
      <c r="J116" s="269"/>
      <c r="K116" s="269"/>
      <c r="L116" s="214"/>
    </row>
    <row r="117" spans="1:12" ht="15" x14ac:dyDescent="0.2">
      <c r="A117" s="272"/>
      <c r="B117" s="259" t="s">
        <v>244</v>
      </c>
      <c r="C117" s="260"/>
      <c r="D117" s="265"/>
      <c r="E117" s="265"/>
      <c r="F117" s="265"/>
      <c r="G117" s="265"/>
      <c r="H117" s="265"/>
      <c r="I117" s="265"/>
      <c r="J117" s="265"/>
      <c r="K117" s="265"/>
      <c r="L117" s="229"/>
    </row>
    <row r="118" spans="1:12" ht="9.75" customHeight="1" x14ac:dyDescent="0.2">
      <c r="A118" s="216"/>
      <c r="B118" s="262"/>
      <c r="C118" s="217"/>
      <c r="D118" s="257"/>
      <c r="E118" s="257"/>
      <c r="F118" s="257"/>
      <c r="G118" s="257"/>
      <c r="H118" s="257"/>
      <c r="I118" s="257"/>
      <c r="J118" s="257"/>
      <c r="K118" s="257"/>
      <c r="L118" s="214"/>
    </row>
    <row r="119" spans="1:12" x14ac:dyDescent="0.2">
      <c r="A119" s="216"/>
      <c r="B119" s="245" t="s">
        <v>245</v>
      </c>
      <c r="C119" s="241">
        <f>100+100+100+100</f>
        <v>400</v>
      </c>
      <c r="D119" s="241">
        <f>100+100+100+100</f>
        <v>400</v>
      </c>
      <c r="E119" s="238">
        <f>+D119*100/C119</f>
        <v>100</v>
      </c>
      <c r="F119" s="241">
        <f>100+100+100+100</f>
        <v>400</v>
      </c>
      <c r="G119" s="241">
        <f>100+100+100+100</f>
        <v>400</v>
      </c>
      <c r="H119" s="238">
        <f>+G119*100/F119</f>
        <v>100</v>
      </c>
      <c r="I119" s="241">
        <f>100+100+100+100</f>
        <v>400</v>
      </c>
      <c r="J119" s="241">
        <f>100+100+100+100</f>
        <v>400</v>
      </c>
      <c r="K119" s="238">
        <f>+J119*100/I119</f>
        <v>100</v>
      </c>
      <c r="L119" s="234">
        <f>+(E119+H119+K119)/3</f>
        <v>100</v>
      </c>
    </row>
    <row r="120" spans="1:12" x14ac:dyDescent="0.2">
      <c r="A120" s="216"/>
      <c r="B120" s="270"/>
      <c r="C120" s="221"/>
      <c r="D120" s="257"/>
      <c r="E120" s="257"/>
      <c r="F120" s="257"/>
      <c r="G120" s="257"/>
      <c r="H120" s="257"/>
      <c r="I120" s="257"/>
      <c r="J120" s="257"/>
      <c r="K120" s="257"/>
      <c r="L120" s="214"/>
    </row>
    <row r="121" spans="1:12" x14ac:dyDescent="0.2">
      <c r="A121" s="216"/>
      <c r="B121" s="230" t="s">
        <v>246</v>
      </c>
      <c r="C121" s="231">
        <f>80+75+85+50+30+85</f>
        <v>405</v>
      </c>
      <c r="D121" s="240">
        <f>83.33+75+85.71+50+0+86.02</f>
        <v>380.05999999999995</v>
      </c>
      <c r="E121" s="233">
        <f>+D121*100/C121</f>
        <v>93.841975308641963</v>
      </c>
      <c r="F121" s="231">
        <f>80+75+85+50+30+85</f>
        <v>405</v>
      </c>
      <c r="G121" s="240">
        <f>85.71+75+83.33+50+30+86.02</f>
        <v>410.05999999999995</v>
      </c>
      <c r="H121" s="233">
        <f>+G121*100/F121</f>
        <v>101.24938271604937</v>
      </c>
      <c r="I121" s="231">
        <f>80+75+85+50+30+85</f>
        <v>405</v>
      </c>
      <c r="J121" s="240">
        <f>87.01+75+87.5+50+6+87.09</f>
        <v>392.6</v>
      </c>
      <c r="K121" s="233">
        <f>+J121*100/I121</f>
        <v>96.938271604938265</v>
      </c>
      <c r="L121" s="234">
        <f>+(E121+H121+K121)/3</f>
        <v>97.343209876543199</v>
      </c>
    </row>
    <row r="122" spans="1:12" x14ac:dyDescent="0.2">
      <c r="A122" s="216"/>
      <c r="B122" s="270"/>
      <c r="C122" s="221"/>
      <c r="D122" s="257"/>
      <c r="E122" s="257"/>
      <c r="F122" s="257"/>
      <c r="G122" s="257"/>
      <c r="H122" s="257"/>
      <c r="I122" s="257"/>
      <c r="J122" s="257"/>
      <c r="K122" s="257"/>
      <c r="L122" s="214"/>
    </row>
    <row r="123" spans="1:12" x14ac:dyDescent="0.2">
      <c r="A123" s="216"/>
      <c r="B123" s="245" t="s">
        <v>247</v>
      </c>
      <c r="C123" s="244">
        <f>100+100+100+80+100</f>
        <v>480</v>
      </c>
      <c r="D123" s="241">
        <f>18.75+0+100+0+100</f>
        <v>218.75</v>
      </c>
      <c r="E123" s="238">
        <f>+D123*100/C123</f>
        <v>45.572916666666664</v>
      </c>
      <c r="F123" s="244">
        <f>100+100+100+80+100</f>
        <v>480</v>
      </c>
      <c r="G123" s="241">
        <f>20.93+0+100+0+107.5</f>
        <v>228.43</v>
      </c>
      <c r="H123" s="238">
        <f>+G123*100/F123</f>
        <v>47.58958333333333</v>
      </c>
      <c r="I123" s="244">
        <f>100+100+100+80+100</f>
        <v>480</v>
      </c>
      <c r="J123" s="241">
        <f>24.32+100+100+200+100</f>
        <v>524.31999999999994</v>
      </c>
      <c r="K123" s="238">
        <f>+J123*100/I123</f>
        <v>109.23333333333332</v>
      </c>
      <c r="L123" s="234">
        <f>+(E123+H123+K123)/3</f>
        <v>67.465277777777771</v>
      </c>
    </row>
    <row r="124" spans="1:12" x14ac:dyDescent="0.2">
      <c r="A124" s="216"/>
      <c r="B124" s="262"/>
      <c r="C124" s="217"/>
      <c r="D124" s="218"/>
      <c r="E124" s="218"/>
      <c r="F124" s="218"/>
      <c r="G124" s="218"/>
      <c r="H124" s="218"/>
      <c r="I124" s="218"/>
      <c r="J124" s="218"/>
      <c r="K124" s="218"/>
      <c r="L124" s="214"/>
    </row>
    <row r="125" spans="1:12" ht="15" x14ac:dyDescent="0.2">
      <c r="A125" s="272"/>
      <c r="B125" s="259" t="s">
        <v>248</v>
      </c>
      <c r="C125" s="260"/>
      <c r="D125" s="265"/>
      <c r="E125" s="265"/>
      <c r="F125" s="265"/>
      <c r="G125" s="265"/>
      <c r="H125" s="265"/>
      <c r="I125" s="265"/>
      <c r="J125" s="265"/>
      <c r="K125" s="265"/>
      <c r="L125" s="229"/>
    </row>
    <row r="126" spans="1:12" ht="8.25" customHeight="1" x14ac:dyDescent="0.2">
      <c r="A126" s="216"/>
      <c r="B126" s="262"/>
      <c r="C126" s="217"/>
      <c r="D126" s="218"/>
      <c r="E126" s="218"/>
      <c r="F126" s="218"/>
      <c r="G126" s="218"/>
      <c r="H126" s="218"/>
      <c r="I126" s="218"/>
      <c r="J126" s="218"/>
      <c r="K126" s="218"/>
      <c r="L126" s="214"/>
    </row>
    <row r="127" spans="1:12" x14ac:dyDescent="0.2">
      <c r="B127" s="230" t="s">
        <v>249</v>
      </c>
      <c r="C127" s="231">
        <f>100+100+100+100</f>
        <v>400</v>
      </c>
      <c r="D127" s="240">
        <f>101.83+208.82+188.37+101.83</f>
        <v>600.85</v>
      </c>
      <c r="E127" s="233">
        <f>+D127*100/C127</f>
        <v>150.21250000000001</v>
      </c>
      <c r="F127" s="231">
        <f>100+100+100+100</f>
        <v>400</v>
      </c>
      <c r="G127" s="240">
        <f>101+162.5+258.54+51.65</f>
        <v>573.68999999999994</v>
      </c>
      <c r="H127" s="233">
        <f>+G127*100/F127</f>
        <v>143.42249999999999</v>
      </c>
      <c r="I127" s="231">
        <f>100+100+100+100</f>
        <v>400</v>
      </c>
      <c r="J127" s="240">
        <f>51.65+171.43+109.09+71.95</f>
        <v>404.12</v>
      </c>
      <c r="K127" s="233">
        <f>+J127*100/I127</f>
        <v>101.03</v>
      </c>
      <c r="L127" s="234">
        <f>+(E127+H127+K127)/3</f>
        <v>131.55499999999998</v>
      </c>
    </row>
    <row r="128" spans="1:12" x14ac:dyDescent="0.2">
      <c r="B128" s="273"/>
      <c r="C128" s="214"/>
      <c r="D128" s="214"/>
      <c r="E128" s="214"/>
      <c r="F128" s="214"/>
      <c r="G128" s="214"/>
      <c r="H128" s="214"/>
      <c r="I128" s="214"/>
      <c r="J128" s="214"/>
      <c r="K128" s="214"/>
      <c r="L128" s="214"/>
    </row>
    <row r="129" spans="1:12" s="274" customFormat="1" x14ac:dyDescent="0.2">
      <c r="A129" s="216"/>
      <c r="B129" s="245" t="s">
        <v>250</v>
      </c>
      <c r="C129" s="244">
        <f>80+90+40+100+100+100+100</f>
        <v>610</v>
      </c>
      <c r="D129" s="241">
        <f>89+0+40+100+100+100+100</f>
        <v>529</v>
      </c>
      <c r="E129" s="238">
        <f>+D129*100/C129</f>
        <v>86.721311475409834</v>
      </c>
      <c r="F129" s="244">
        <f>80+90+40+100+100+100+100</f>
        <v>610</v>
      </c>
      <c r="G129" s="241">
        <f>88.88+87.5+43.75+100+100+100+100</f>
        <v>620.13</v>
      </c>
      <c r="H129" s="238">
        <f>+G129*100/F129</f>
        <v>101.66065573770491</v>
      </c>
      <c r="I129" s="241">
        <f>80+90+40+100+100+100+100</f>
        <v>610</v>
      </c>
      <c r="J129" s="241">
        <f>89+100+43.75+100+100+100+100</f>
        <v>632.75</v>
      </c>
      <c r="K129" s="238">
        <f>+J129*100/I129</f>
        <v>103.72950819672131</v>
      </c>
      <c r="L129" s="234">
        <f>+(E129+H129+K129)/3</f>
        <v>97.370491803278696</v>
      </c>
    </row>
  </sheetData>
  <sheetProtection selectLockedCells="1" selectUnlockedCells="1"/>
  <mergeCells count="9">
    <mergeCell ref="B7:L7"/>
    <mergeCell ref="B8:L8"/>
    <mergeCell ref="B9:L9"/>
    <mergeCell ref="B10:L10"/>
    <mergeCell ref="B12:B13"/>
    <mergeCell ref="C12:E12"/>
    <mergeCell ref="F12:H12"/>
    <mergeCell ref="I12:K12"/>
    <mergeCell ref="L12:L13"/>
  </mergeCells>
  <pageMargins left="0.57013888888888886" right="0.45" top="0.4597222222222222" bottom="1" header="0.51180555555555551" footer="0"/>
  <pageSetup paperSize="9" firstPageNumber="0" orientation="landscape" horizontalDpi="300" verticalDpi="300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  <vt:lpstr>'50604'!Área_de_impresión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2017-02-21T16:38:41Z</cp:lastPrinted>
  <dcterms:created xsi:type="dcterms:W3CDTF">2005-11-28T14:59:09Z</dcterms:created>
  <dcterms:modified xsi:type="dcterms:W3CDTF">2017-02-21T17:11:46Z</dcterms:modified>
</cp:coreProperties>
</file>