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 activeTab="4"/>
  </bookViews>
  <sheets>
    <sheet name="10601" sheetId="6" r:id="rId1"/>
    <sheet name="10602 " sheetId="43" r:id="rId2"/>
    <sheet name="10610" sheetId="44" r:id="rId3"/>
    <sheet name="50603" sheetId="41" r:id="rId4"/>
    <sheet name="50604" sheetId="42" r:id="rId5"/>
  </sheets>
  <definedNames>
    <definedName name="_xlnm.Print_Area" localSheetId="0">'10601'!$A$1:$N$46</definedName>
    <definedName name="_xlnm.Print_Area" localSheetId="1">'10602 '!$A$1:$G$16</definedName>
    <definedName name="_xlnm.Print_Area" localSheetId="2">'10610'!$A$1:$P$42</definedName>
    <definedName name="_xlnm.Print_Area" localSheetId="3">'50603'!$A$1:$N$42</definedName>
    <definedName name="_xlnm.Print_Area" localSheetId="4">'50604'!$B$1:$L$128</definedName>
    <definedName name="Excel_BuiltIn_Print_Area" localSheetId="4">'50604'!$B$1:$L$121</definedName>
    <definedName name="_xlnm.Print_Titles" localSheetId="4">'50604'!$1:$14</definedName>
  </definedNames>
  <calcPr calcId="144525"/>
</workbook>
</file>

<file path=xl/calcChain.xml><?xml version="1.0" encoding="utf-8"?>
<calcChain xmlns="http://schemas.openxmlformats.org/spreadsheetml/2006/main">
  <c r="K42" i="44" l="1"/>
  <c r="K41" i="44"/>
  <c r="N30" i="44"/>
  <c r="M30" i="44"/>
  <c r="L30" i="44"/>
  <c r="K30" i="44"/>
  <c r="M24" i="44"/>
  <c r="L24" i="44"/>
  <c r="K24" i="44"/>
  <c r="N23" i="44"/>
  <c r="M23" i="44"/>
  <c r="L23" i="44"/>
  <c r="K23" i="44"/>
  <c r="H15" i="43" l="1"/>
  <c r="G15" i="43"/>
  <c r="F15" i="43"/>
  <c r="E15" i="43"/>
  <c r="D15" i="43"/>
  <c r="J121" i="42" l="1"/>
  <c r="K121" i="42" s="1"/>
  <c r="I121" i="42"/>
  <c r="G121" i="42"/>
  <c r="F121" i="42"/>
  <c r="H121" i="42" s="1"/>
  <c r="D121" i="42"/>
  <c r="E121" i="42" s="1"/>
  <c r="C121" i="42"/>
  <c r="J117" i="42"/>
  <c r="K117" i="42" s="1"/>
  <c r="I117" i="42"/>
  <c r="G117" i="42"/>
  <c r="F117" i="42"/>
  <c r="H117" i="42" s="1"/>
  <c r="D117" i="42"/>
  <c r="E117" i="42" s="1"/>
  <c r="L117" i="42" s="1"/>
  <c r="C117" i="42"/>
  <c r="J115" i="42"/>
  <c r="K115" i="42" s="1"/>
  <c r="I115" i="42"/>
  <c r="H115" i="42"/>
  <c r="G115" i="42"/>
  <c r="F115" i="42"/>
  <c r="D115" i="42"/>
  <c r="E115" i="42" s="1"/>
  <c r="L115" i="42" s="1"/>
  <c r="C115" i="42"/>
  <c r="J111" i="42"/>
  <c r="K111" i="42" s="1"/>
  <c r="I111" i="42"/>
  <c r="G111" i="42"/>
  <c r="F111" i="42"/>
  <c r="H111" i="42" s="1"/>
  <c r="D111" i="42"/>
  <c r="E111" i="42" s="1"/>
  <c r="C111" i="42"/>
  <c r="J107" i="42"/>
  <c r="K107" i="42" s="1"/>
  <c r="I107" i="42"/>
  <c r="G107" i="42"/>
  <c r="F107" i="42"/>
  <c r="H107" i="42" s="1"/>
  <c r="D107" i="42"/>
  <c r="E107" i="42" s="1"/>
  <c r="L107" i="42" s="1"/>
  <c r="C107" i="42"/>
  <c r="J106" i="42"/>
  <c r="K106" i="42" s="1"/>
  <c r="I106" i="42"/>
  <c r="G106" i="42"/>
  <c r="F106" i="42"/>
  <c r="H106" i="42" s="1"/>
  <c r="D106" i="42"/>
  <c r="E106" i="42" s="1"/>
  <c r="C106" i="42"/>
  <c r="J105" i="42"/>
  <c r="K105" i="42" s="1"/>
  <c r="I105" i="42"/>
  <c r="H105" i="42"/>
  <c r="G105" i="42"/>
  <c r="F105" i="42"/>
  <c r="D105" i="42"/>
  <c r="E105" i="42" s="1"/>
  <c r="L105" i="42" s="1"/>
  <c r="C105" i="42"/>
  <c r="K101" i="42"/>
  <c r="H101" i="42"/>
  <c r="L101" i="42" s="1"/>
  <c r="E101" i="42"/>
  <c r="J100" i="42"/>
  <c r="K100" i="42" s="1"/>
  <c r="I100" i="42"/>
  <c r="G100" i="42"/>
  <c r="F100" i="42"/>
  <c r="H100" i="42" s="1"/>
  <c r="D100" i="42"/>
  <c r="E100" i="42" s="1"/>
  <c r="C100" i="42"/>
  <c r="J99" i="42"/>
  <c r="K99" i="42" s="1"/>
  <c r="I99" i="42"/>
  <c r="G99" i="42"/>
  <c r="F99" i="42"/>
  <c r="H99" i="42" s="1"/>
  <c r="D99" i="42"/>
  <c r="E99" i="42" s="1"/>
  <c r="L99" i="42" s="1"/>
  <c r="C99" i="42"/>
  <c r="J95" i="42"/>
  <c r="K95" i="42" s="1"/>
  <c r="I95" i="42"/>
  <c r="H95" i="42"/>
  <c r="G95" i="42"/>
  <c r="F95" i="42"/>
  <c r="D95" i="42"/>
  <c r="E95" i="42" s="1"/>
  <c r="C95" i="42"/>
  <c r="J94" i="42"/>
  <c r="K94" i="42" s="1"/>
  <c r="I94" i="42"/>
  <c r="G94" i="42"/>
  <c r="F94" i="42"/>
  <c r="H94" i="42" s="1"/>
  <c r="D94" i="42"/>
  <c r="E94" i="42" s="1"/>
  <c r="L94" i="42" s="1"/>
  <c r="C94" i="42"/>
  <c r="J93" i="42"/>
  <c r="K93" i="42" s="1"/>
  <c r="I93" i="42"/>
  <c r="H93" i="42"/>
  <c r="G93" i="42"/>
  <c r="F93" i="42"/>
  <c r="D93" i="42"/>
  <c r="E93" i="42" s="1"/>
  <c r="L93" i="42" s="1"/>
  <c r="C93" i="42"/>
  <c r="J89" i="42"/>
  <c r="K89" i="42" s="1"/>
  <c r="I89" i="42"/>
  <c r="G89" i="42"/>
  <c r="F89" i="42"/>
  <c r="H89" i="42" s="1"/>
  <c r="D89" i="42"/>
  <c r="E89" i="42" s="1"/>
  <c r="C89" i="42"/>
  <c r="J88" i="42"/>
  <c r="K88" i="42" s="1"/>
  <c r="I88" i="42"/>
  <c r="H88" i="42"/>
  <c r="G88" i="42"/>
  <c r="F88" i="42"/>
  <c r="D88" i="42"/>
  <c r="E88" i="42" s="1"/>
  <c r="L88" i="42" s="1"/>
  <c r="C88" i="42"/>
  <c r="J87" i="42"/>
  <c r="K87" i="42" s="1"/>
  <c r="I87" i="42"/>
  <c r="G87" i="42"/>
  <c r="F87" i="42"/>
  <c r="H87" i="42" s="1"/>
  <c r="D87" i="42"/>
  <c r="E87" i="42" s="1"/>
  <c r="C87" i="42"/>
  <c r="J86" i="42"/>
  <c r="K86" i="42" s="1"/>
  <c r="I86" i="42"/>
  <c r="H86" i="42"/>
  <c r="G86" i="42"/>
  <c r="F86" i="42"/>
  <c r="D86" i="42"/>
  <c r="E86" i="42" s="1"/>
  <c r="C86" i="42"/>
  <c r="J85" i="42"/>
  <c r="K85" i="42" s="1"/>
  <c r="I85" i="42"/>
  <c r="G85" i="42"/>
  <c r="F85" i="42"/>
  <c r="H85" i="42" s="1"/>
  <c r="D85" i="42"/>
  <c r="E85" i="42" s="1"/>
  <c r="L85" i="42" s="1"/>
  <c r="C85" i="42"/>
  <c r="J81" i="42"/>
  <c r="K81" i="42" s="1"/>
  <c r="I81" i="42"/>
  <c r="H81" i="42"/>
  <c r="G81" i="42"/>
  <c r="F81" i="42"/>
  <c r="D81" i="42"/>
  <c r="E81" i="42" s="1"/>
  <c r="C81" i="42"/>
  <c r="J80" i="42"/>
  <c r="K80" i="42" s="1"/>
  <c r="I80" i="42"/>
  <c r="G80" i="42"/>
  <c r="F80" i="42"/>
  <c r="H80" i="42" s="1"/>
  <c r="D80" i="42"/>
  <c r="E80" i="42" s="1"/>
  <c r="L80" i="42" s="1"/>
  <c r="C80" i="42"/>
  <c r="J79" i="42"/>
  <c r="K79" i="42" s="1"/>
  <c r="I79" i="42"/>
  <c r="H79" i="42"/>
  <c r="G79" i="42"/>
  <c r="F79" i="42"/>
  <c r="D79" i="42"/>
  <c r="E79" i="42" s="1"/>
  <c r="L79" i="42" s="1"/>
  <c r="C79" i="42"/>
  <c r="J78" i="42"/>
  <c r="K78" i="42" s="1"/>
  <c r="I78" i="42"/>
  <c r="G78" i="42"/>
  <c r="F78" i="42"/>
  <c r="H78" i="42" s="1"/>
  <c r="D78" i="42"/>
  <c r="E78" i="42" s="1"/>
  <c r="C78" i="42"/>
  <c r="J77" i="42"/>
  <c r="K77" i="42" s="1"/>
  <c r="I77" i="42"/>
  <c r="H77" i="42"/>
  <c r="G77" i="42"/>
  <c r="F77" i="42"/>
  <c r="D77" i="42"/>
  <c r="E77" i="42" s="1"/>
  <c r="L77" i="42" s="1"/>
  <c r="C77" i="42"/>
  <c r="J73" i="42"/>
  <c r="K73" i="42" s="1"/>
  <c r="I73" i="42"/>
  <c r="G73" i="42"/>
  <c r="F73" i="42"/>
  <c r="H73" i="42" s="1"/>
  <c r="D73" i="42"/>
  <c r="E73" i="42" s="1"/>
  <c r="C73" i="42"/>
  <c r="L72" i="42"/>
  <c r="J72" i="42"/>
  <c r="K72" i="42" s="1"/>
  <c r="I72" i="42"/>
  <c r="H72" i="42"/>
  <c r="G72" i="42"/>
  <c r="F72" i="42"/>
  <c r="D72" i="42"/>
  <c r="E72" i="42" s="1"/>
  <c r="C72" i="42"/>
  <c r="J68" i="42"/>
  <c r="K68" i="42" s="1"/>
  <c r="I68" i="42"/>
  <c r="G68" i="42"/>
  <c r="F68" i="42"/>
  <c r="H68" i="42" s="1"/>
  <c r="D68" i="42"/>
  <c r="E68" i="42" s="1"/>
  <c r="L68" i="42" s="1"/>
  <c r="C68" i="42"/>
  <c r="J67" i="42"/>
  <c r="K67" i="42" s="1"/>
  <c r="I67" i="42"/>
  <c r="G67" i="42"/>
  <c r="F67" i="42"/>
  <c r="H67" i="42" s="1"/>
  <c r="D67" i="42"/>
  <c r="E67" i="42" s="1"/>
  <c r="C67" i="42"/>
  <c r="J66" i="42"/>
  <c r="K66" i="42" s="1"/>
  <c r="I66" i="42"/>
  <c r="G66" i="42"/>
  <c r="F66" i="42"/>
  <c r="H66" i="42" s="1"/>
  <c r="D66" i="42"/>
  <c r="E66" i="42" s="1"/>
  <c r="L66" i="42" s="1"/>
  <c r="C66" i="42"/>
  <c r="J65" i="42"/>
  <c r="K65" i="42" s="1"/>
  <c r="I65" i="42"/>
  <c r="G65" i="42"/>
  <c r="F65" i="42"/>
  <c r="H65" i="42" s="1"/>
  <c r="D65" i="42"/>
  <c r="E65" i="42" s="1"/>
  <c r="C65" i="42"/>
  <c r="J64" i="42"/>
  <c r="K64" i="42" s="1"/>
  <c r="I64" i="42"/>
  <c r="G64" i="42"/>
  <c r="F64" i="42"/>
  <c r="H64" i="42" s="1"/>
  <c r="D64" i="42"/>
  <c r="E64" i="42" s="1"/>
  <c r="L64" i="42" s="1"/>
  <c r="C64" i="42"/>
  <c r="J63" i="42"/>
  <c r="K63" i="42" s="1"/>
  <c r="I63" i="42"/>
  <c r="G63" i="42"/>
  <c r="F63" i="42"/>
  <c r="H63" i="42" s="1"/>
  <c r="D63" i="42"/>
  <c r="E63" i="42" s="1"/>
  <c r="C63" i="42"/>
  <c r="J62" i="42"/>
  <c r="K62" i="42" s="1"/>
  <c r="I62" i="42"/>
  <c r="G62" i="42"/>
  <c r="F62" i="42"/>
  <c r="H62" i="42" s="1"/>
  <c r="D62" i="42"/>
  <c r="E62" i="42" s="1"/>
  <c r="L62" i="42" s="1"/>
  <c r="C62" i="42"/>
  <c r="J61" i="42"/>
  <c r="K61" i="42" s="1"/>
  <c r="I61" i="42"/>
  <c r="G61" i="42"/>
  <c r="F61" i="42"/>
  <c r="H61" i="42" s="1"/>
  <c r="D61" i="42"/>
  <c r="E61" i="42" s="1"/>
  <c r="C61" i="42"/>
  <c r="J60" i="42"/>
  <c r="K60" i="42" s="1"/>
  <c r="I60" i="42"/>
  <c r="G60" i="42"/>
  <c r="F60" i="42"/>
  <c r="H60" i="42" s="1"/>
  <c r="D60" i="42"/>
  <c r="E60" i="42" s="1"/>
  <c r="L60" i="42" s="1"/>
  <c r="C60" i="42"/>
  <c r="J59" i="42"/>
  <c r="K59" i="42" s="1"/>
  <c r="I59" i="42"/>
  <c r="G59" i="42"/>
  <c r="F59" i="42"/>
  <c r="H59" i="42" s="1"/>
  <c r="D59" i="42"/>
  <c r="E59" i="42" s="1"/>
  <c r="L59" i="42" s="1"/>
  <c r="C59" i="42"/>
  <c r="J58" i="42"/>
  <c r="K58" i="42" s="1"/>
  <c r="I58" i="42"/>
  <c r="G58" i="42"/>
  <c r="F58" i="42"/>
  <c r="H58" i="42" s="1"/>
  <c r="D58" i="42"/>
  <c r="E58" i="42" s="1"/>
  <c r="L58" i="42" s="1"/>
  <c r="C58" i="42"/>
  <c r="J54" i="42"/>
  <c r="K54" i="42" s="1"/>
  <c r="I54" i="42"/>
  <c r="G54" i="42"/>
  <c r="F54" i="42"/>
  <c r="H54" i="42" s="1"/>
  <c r="D54" i="42"/>
  <c r="E54" i="42" s="1"/>
  <c r="L54" i="42" s="1"/>
  <c r="C54" i="42"/>
  <c r="J53" i="42"/>
  <c r="K53" i="42" s="1"/>
  <c r="I53" i="42"/>
  <c r="G53" i="42"/>
  <c r="F53" i="42"/>
  <c r="H53" i="42" s="1"/>
  <c r="D53" i="42"/>
  <c r="E53" i="42" s="1"/>
  <c r="L53" i="42" s="1"/>
  <c r="C53" i="42"/>
  <c r="J52" i="42"/>
  <c r="K52" i="42" s="1"/>
  <c r="I52" i="42"/>
  <c r="G52" i="42"/>
  <c r="F52" i="42"/>
  <c r="H52" i="42" s="1"/>
  <c r="D52" i="42"/>
  <c r="E52" i="42" s="1"/>
  <c r="L52" i="42" s="1"/>
  <c r="C52" i="42"/>
  <c r="J51" i="42"/>
  <c r="K51" i="42" s="1"/>
  <c r="I51" i="42"/>
  <c r="G51" i="42"/>
  <c r="F51" i="42"/>
  <c r="H51" i="42" s="1"/>
  <c r="D51" i="42"/>
  <c r="E51" i="42" s="1"/>
  <c r="L51" i="42" s="1"/>
  <c r="C51" i="42"/>
  <c r="J50" i="42"/>
  <c r="K50" i="42" s="1"/>
  <c r="I50" i="42"/>
  <c r="G50" i="42"/>
  <c r="F50" i="42"/>
  <c r="H50" i="42" s="1"/>
  <c r="D50" i="42"/>
  <c r="E50" i="42" s="1"/>
  <c r="L50" i="42" s="1"/>
  <c r="C50" i="42"/>
  <c r="J49" i="42"/>
  <c r="K49" i="42" s="1"/>
  <c r="I49" i="42"/>
  <c r="G49" i="42"/>
  <c r="F49" i="42"/>
  <c r="H49" i="42" s="1"/>
  <c r="D49" i="42"/>
  <c r="E49" i="42" s="1"/>
  <c r="L49" i="42" s="1"/>
  <c r="C49" i="42"/>
  <c r="J48" i="42"/>
  <c r="K48" i="42" s="1"/>
  <c r="I48" i="42"/>
  <c r="G48" i="42"/>
  <c r="F48" i="42"/>
  <c r="H48" i="42" s="1"/>
  <c r="D48" i="42"/>
  <c r="E48" i="42" s="1"/>
  <c r="L48" i="42" s="1"/>
  <c r="C48" i="42"/>
  <c r="J47" i="42"/>
  <c r="K47" i="42" s="1"/>
  <c r="I47" i="42"/>
  <c r="G47" i="42"/>
  <c r="F47" i="42"/>
  <c r="H47" i="42" s="1"/>
  <c r="D47" i="42"/>
  <c r="E47" i="42" s="1"/>
  <c r="L47" i="42" s="1"/>
  <c r="C47" i="42"/>
  <c r="J46" i="42"/>
  <c r="K46" i="42" s="1"/>
  <c r="I46" i="42"/>
  <c r="G46" i="42"/>
  <c r="F46" i="42"/>
  <c r="H46" i="42" s="1"/>
  <c r="D46" i="42"/>
  <c r="E46" i="42" s="1"/>
  <c r="L46" i="42" s="1"/>
  <c r="C46" i="42"/>
  <c r="J45" i="42"/>
  <c r="K45" i="42" s="1"/>
  <c r="I45" i="42"/>
  <c r="G45" i="42"/>
  <c r="F45" i="42"/>
  <c r="H45" i="42" s="1"/>
  <c r="D45" i="42"/>
  <c r="E45" i="42" s="1"/>
  <c r="L45" i="42" s="1"/>
  <c r="C45" i="42"/>
  <c r="J44" i="42"/>
  <c r="K44" i="42" s="1"/>
  <c r="I44" i="42"/>
  <c r="G44" i="42"/>
  <c r="F44" i="42"/>
  <c r="H44" i="42" s="1"/>
  <c r="D44" i="42"/>
  <c r="E44" i="42" s="1"/>
  <c r="L44" i="42" s="1"/>
  <c r="C44" i="42"/>
  <c r="J43" i="42"/>
  <c r="K43" i="42" s="1"/>
  <c r="I43" i="42"/>
  <c r="G43" i="42"/>
  <c r="F43" i="42"/>
  <c r="H43" i="42" s="1"/>
  <c r="D43" i="42"/>
  <c r="E43" i="42" s="1"/>
  <c r="L43" i="42" s="1"/>
  <c r="C43" i="42"/>
  <c r="J42" i="42"/>
  <c r="K42" i="42" s="1"/>
  <c r="I42" i="42"/>
  <c r="G42" i="42"/>
  <c r="F42" i="42"/>
  <c r="H42" i="42" s="1"/>
  <c r="D42" i="42"/>
  <c r="E42" i="42" s="1"/>
  <c r="L42" i="42" s="1"/>
  <c r="C42" i="42"/>
  <c r="J41" i="42"/>
  <c r="K41" i="42" s="1"/>
  <c r="I41" i="42"/>
  <c r="G41" i="42"/>
  <c r="F41" i="42"/>
  <c r="H41" i="42" s="1"/>
  <c r="D41" i="42"/>
  <c r="E41" i="42" s="1"/>
  <c r="L41" i="42" s="1"/>
  <c r="C41" i="42"/>
  <c r="J40" i="42"/>
  <c r="K40" i="42" s="1"/>
  <c r="I40" i="42"/>
  <c r="G40" i="42"/>
  <c r="F40" i="42"/>
  <c r="H40" i="42" s="1"/>
  <c r="D40" i="42"/>
  <c r="E40" i="42" s="1"/>
  <c r="L40" i="42" s="1"/>
  <c r="C40" i="42"/>
  <c r="J39" i="42"/>
  <c r="K39" i="42" s="1"/>
  <c r="I39" i="42"/>
  <c r="G39" i="42"/>
  <c r="F39" i="42"/>
  <c r="H39" i="42" s="1"/>
  <c r="D39" i="42"/>
  <c r="E39" i="42" s="1"/>
  <c r="L39" i="42" s="1"/>
  <c r="C39" i="42"/>
  <c r="J38" i="42"/>
  <c r="K38" i="42" s="1"/>
  <c r="I38" i="42"/>
  <c r="G38" i="42"/>
  <c r="F38" i="42"/>
  <c r="H38" i="42" s="1"/>
  <c r="D38" i="42"/>
  <c r="E38" i="42" s="1"/>
  <c r="L38" i="42" s="1"/>
  <c r="C38" i="42"/>
  <c r="J37" i="42"/>
  <c r="K37" i="42" s="1"/>
  <c r="I37" i="42"/>
  <c r="G37" i="42"/>
  <c r="F37" i="42"/>
  <c r="H37" i="42" s="1"/>
  <c r="D37" i="42"/>
  <c r="E37" i="42" s="1"/>
  <c r="L37" i="42" s="1"/>
  <c r="C37" i="42"/>
  <c r="J36" i="42"/>
  <c r="K36" i="42" s="1"/>
  <c r="I36" i="42"/>
  <c r="G36" i="42"/>
  <c r="F36" i="42"/>
  <c r="H36" i="42" s="1"/>
  <c r="D36" i="42"/>
  <c r="E36" i="42" s="1"/>
  <c r="L36" i="42" s="1"/>
  <c r="C36" i="42"/>
  <c r="J35" i="42"/>
  <c r="K35" i="42" s="1"/>
  <c r="I35" i="42"/>
  <c r="G35" i="42"/>
  <c r="F35" i="42"/>
  <c r="H35" i="42" s="1"/>
  <c r="D35" i="42"/>
  <c r="E35" i="42" s="1"/>
  <c r="L35" i="42" s="1"/>
  <c r="C35" i="42"/>
  <c r="J34" i="42"/>
  <c r="K34" i="42" s="1"/>
  <c r="I34" i="42"/>
  <c r="G34" i="42"/>
  <c r="F34" i="42"/>
  <c r="H34" i="42" s="1"/>
  <c r="D34" i="42"/>
  <c r="E34" i="42" s="1"/>
  <c r="L34" i="42" s="1"/>
  <c r="C34" i="42"/>
  <c r="J33" i="42"/>
  <c r="K33" i="42" s="1"/>
  <c r="I33" i="42"/>
  <c r="G33" i="42"/>
  <c r="F33" i="42"/>
  <c r="H33" i="42" s="1"/>
  <c r="D33" i="42"/>
  <c r="E33" i="42" s="1"/>
  <c r="L33" i="42" s="1"/>
  <c r="C33" i="42"/>
  <c r="J32" i="42"/>
  <c r="K32" i="42" s="1"/>
  <c r="I32" i="42"/>
  <c r="G32" i="42"/>
  <c r="F32" i="42"/>
  <c r="H32" i="42" s="1"/>
  <c r="D32" i="42"/>
  <c r="E32" i="42" s="1"/>
  <c r="L32" i="42" s="1"/>
  <c r="C32" i="42"/>
  <c r="J31" i="42"/>
  <c r="K31" i="42" s="1"/>
  <c r="I31" i="42"/>
  <c r="G31" i="42"/>
  <c r="F31" i="42"/>
  <c r="H31" i="42" s="1"/>
  <c r="D31" i="42"/>
  <c r="E31" i="42" s="1"/>
  <c r="L31" i="42" s="1"/>
  <c r="C31" i="42"/>
  <c r="J30" i="42"/>
  <c r="K30" i="42" s="1"/>
  <c r="I30" i="42"/>
  <c r="G30" i="42"/>
  <c r="F30" i="42"/>
  <c r="H30" i="42" s="1"/>
  <c r="D30" i="42"/>
  <c r="E30" i="42" s="1"/>
  <c r="L30" i="42" s="1"/>
  <c r="C30" i="42"/>
  <c r="J29" i="42"/>
  <c r="K29" i="42" s="1"/>
  <c r="I29" i="42"/>
  <c r="G29" i="42"/>
  <c r="F29" i="42"/>
  <c r="H29" i="42" s="1"/>
  <c r="D29" i="42"/>
  <c r="E29" i="42" s="1"/>
  <c r="L29" i="42" s="1"/>
  <c r="C29" i="42"/>
  <c r="J28" i="42"/>
  <c r="K28" i="42" s="1"/>
  <c r="I28" i="42"/>
  <c r="G28" i="42"/>
  <c r="F28" i="42"/>
  <c r="H28" i="42" s="1"/>
  <c r="D28" i="42"/>
  <c r="E28" i="42" s="1"/>
  <c r="L28" i="42" s="1"/>
  <c r="C28" i="42"/>
  <c r="J27" i="42"/>
  <c r="K27" i="42" s="1"/>
  <c r="I27" i="42"/>
  <c r="G27" i="42"/>
  <c r="F27" i="42"/>
  <c r="H27" i="42" s="1"/>
  <c r="D27" i="42"/>
  <c r="E27" i="42" s="1"/>
  <c r="L27" i="42" s="1"/>
  <c r="C27" i="42"/>
  <c r="J26" i="42"/>
  <c r="K26" i="42" s="1"/>
  <c r="I26" i="42"/>
  <c r="G26" i="42"/>
  <c r="F26" i="42"/>
  <c r="H26" i="42" s="1"/>
  <c r="D26" i="42"/>
  <c r="E26" i="42" s="1"/>
  <c r="L26" i="42" s="1"/>
  <c r="C26" i="42"/>
  <c r="J25" i="42"/>
  <c r="K25" i="42" s="1"/>
  <c r="I25" i="42"/>
  <c r="G25" i="42"/>
  <c r="F25" i="42"/>
  <c r="H25" i="42" s="1"/>
  <c r="D25" i="42"/>
  <c r="E25" i="42" s="1"/>
  <c r="L25" i="42" s="1"/>
  <c r="C25" i="42"/>
  <c r="J24" i="42"/>
  <c r="K24" i="42" s="1"/>
  <c r="I24" i="42"/>
  <c r="G24" i="42"/>
  <c r="F24" i="42"/>
  <c r="H24" i="42" s="1"/>
  <c r="D24" i="42"/>
  <c r="E24" i="42" s="1"/>
  <c r="L24" i="42" s="1"/>
  <c r="C24" i="42"/>
  <c r="J23" i="42"/>
  <c r="K23" i="42" s="1"/>
  <c r="I23" i="42"/>
  <c r="G23" i="42"/>
  <c r="F23" i="42"/>
  <c r="H23" i="42" s="1"/>
  <c r="D23" i="42"/>
  <c r="E23" i="42" s="1"/>
  <c r="L23" i="42" s="1"/>
  <c r="C23" i="42"/>
  <c r="J22" i="42"/>
  <c r="K22" i="42" s="1"/>
  <c r="I22" i="42"/>
  <c r="G22" i="42"/>
  <c r="F22" i="42"/>
  <c r="H22" i="42" s="1"/>
  <c r="D22" i="42"/>
  <c r="E22" i="42" s="1"/>
  <c r="L22" i="42" s="1"/>
  <c r="C22" i="42"/>
  <c r="J21" i="42"/>
  <c r="K21" i="42" s="1"/>
  <c r="I21" i="42"/>
  <c r="G21" i="42"/>
  <c r="F21" i="42"/>
  <c r="H21" i="42" s="1"/>
  <c r="D21" i="42"/>
  <c r="E21" i="42" s="1"/>
  <c r="L21" i="42" s="1"/>
  <c r="C21" i="42"/>
  <c r="J20" i="42"/>
  <c r="K20" i="42" s="1"/>
  <c r="I20" i="42"/>
  <c r="G20" i="42"/>
  <c r="F20" i="42"/>
  <c r="H20" i="42" s="1"/>
  <c r="D20" i="42"/>
  <c r="E20" i="42" s="1"/>
  <c r="L20" i="42" s="1"/>
  <c r="C20" i="42"/>
  <c r="J19" i="42"/>
  <c r="K19" i="42" s="1"/>
  <c r="I19" i="42"/>
  <c r="G19" i="42"/>
  <c r="F19" i="42"/>
  <c r="H19" i="42" s="1"/>
  <c r="D19" i="42"/>
  <c r="E19" i="42" s="1"/>
  <c r="L19" i="42" s="1"/>
  <c r="C19" i="42"/>
  <c r="J18" i="42"/>
  <c r="K18" i="42" s="1"/>
  <c r="I18" i="42"/>
  <c r="G18" i="42"/>
  <c r="F18" i="42"/>
  <c r="H18" i="42" s="1"/>
  <c r="D18" i="42"/>
  <c r="E18" i="42" s="1"/>
  <c r="L18" i="42" s="1"/>
  <c r="C18" i="42"/>
  <c r="J17" i="42"/>
  <c r="K17" i="42" s="1"/>
  <c r="I17" i="42"/>
  <c r="G17" i="42"/>
  <c r="F17" i="42"/>
  <c r="H17" i="42" s="1"/>
  <c r="D17" i="42"/>
  <c r="E17" i="42" s="1"/>
  <c r="L17" i="42" s="1"/>
  <c r="C17" i="42"/>
  <c r="J42" i="41"/>
  <c r="E42" i="41"/>
  <c r="M41" i="41"/>
  <c r="N41" i="41" s="1"/>
  <c r="I41" i="41"/>
  <c r="G40" i="41"/>
  <c r="M40" i="41" s="1"/>
  <c r="N40" i="41" s="1"/>
  <c r="M39" i="41"/>
  <c r="N39" i="41" s="1"/>
  <c r="H39" i="41"/>
  <c r="H40" i="41" s="1"/>
  <c r="J37" i="41"/>
  <c r="H37" i="41"/>
  <c r="G37" i="41"/>
  <c r="M36" i="41"/>
  <c r="M35" i="41" s="1"/>
  <c r="H36" i="41"/>
  <c r="I36" i="41" s="1"/>
  <c r="G36" i="41"/>
  <c r="G35" i="41" s="1"/>
  <c r="N35" i="41"/>
  <c r="H34" i="41"/>
  <c r="G32" i="41"/>
  <c r="M32" i="41" s="1"/>
  <c r="G31" i="41"/>
  <c r="M31" i="41" s="1"/>
  <c r="N31" i="41" s="1"/>
  <c r="G30" i="41"/>
  <c r="M30" i="41" s="1"/>
  <c r="N30" i="41" s="1"/>
  <c r="M29" i="41"/>
  <c r="N29" i="41" s="1"/>
  <c r="G29" i="41"/>
  <c r="G28" i="41"/>
  <c r="M28" i="41" s="1"/>
  <c r="N28" i="41" s="1"/>
  <c r="G27" i="41"/>
  <c r="M27" i="41" s="1"/>
  <c r="N27" i="41" s="1"/>
  <c r="I26" i="41"/>
  <c r="H26" i="41"/>
  <c r="G26" i="41"/>
  <c r="M26" i="41" s="1"/>
  <c r="N26" i="41" s="1"/>
  <c r="G25" i="41"/>
  <c r="M25" i="41" s="1"/>
  <c r="N25" i="41" s="1"/>
  <c r="G24" i="41"/>
  <c r="M24" i="41" s="1"/>
  <c r="N24" i="41" s="1"/>
  <c r="M23" i="41"/>
  <c r="N23" i="41" s="1"/>
  <c r="G23" i="41"/>
  <c r="G22" i="41"/>
  <c r="M22" i="41" s="1"/>
  <c r="N22" i="41" s="1"/>
  <c r="G19" i="41"/>
  <c r="M18" i="41"/>
  <c r="N18" i="41" s="1"/>
  <c r="I18" i="41"/>
  <c r="G18" i="41"/>
  <c r="J15" i="41"/>
  <c r="I15" i="41"/>
  <c r="H15" i="41"/>
  <c r="G15" i="41"/>
  <c r="G14" i="41"/>
  <c r="M14" i="41" s="1"/>
  <c r="M13" i="41"/>
  <c r="N13" i="41" s="1"/>
  <c r="J12" i="41"/>
  <c r="I12" i="41"/>
  <c r="H12" i="41"/>
  <c r="G11" i="41"/>
  <c r="G10" i="41"/>
  <c r="M10" i="41" s="1"/>
  <c r="N10" i="41" s="1"/>
  <c r="M9" i="41"/>
  <c r="N9" i="41" s="1"/>
  <c r="G9" i="41"/>
  <c r="G8" i="41"/>
  <c r="M8" i="41" s="1"/>
  <c r="N8" i="41" s="1"/>
  <c r="M7" i="41"/>
  <c r="N7" i="41" s="1"/>
  <c r="G7" i="41"/>
  <c r="L61" i="42" l="1"/>
  <c r="L63" i="42"/>
  <c r="L65" i="42"/>
  <c r="L67" i="42"/>
  <c r="L78" i="42"/>
  <c r="L86" i="42"/>
  <c r="L89" i="42"/>
  <c r="L100" i="42"/>
  <c r="L106" i="42"/>
  <c r="L111" i="42"/>
  <c r="L73" i="42"/>
  <c r="L81" i="42"/>
  <c r="L87" i="42"/>
  <c r="L95" i="42"/>
  <c r="L121" i="42"/>
  <c r="J36" i="41"/>
  <c r="J35" i="41" s="1"/>
  <c r="I35" i="41"/>
  <c r="M15" i="41"/>
  <c r="N14" i="41"/>
  <c r="N15" i="41" s="1"/>
  <c r="I40" i="41"/>
  <c r="I42" i="41" s="1"/>
  <c r="H42" i="41"/>
  <c r="G12" i="41"/>
  <c r="I39" i="41"/>
  <c r="D28" i="6" l="1"/>
  <c r="D30" i="6" s="1"/>
  <c r="B34" i="6"/>
  <c r="B33" i="6"/>
  <c r="D29" i="6"/>
  <c r="D26" i="6"/>
</calcChain>
</file>

<file path=xl/sharedStrings.xml><?xml version="1.0" encoding="utf-8"?>
<sst xmlns="http://schemas.openxmlformats.org/spreadsheetml/2006/main" count="511" uniqueCount="261">
  <si>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</si>
  <si>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</si>
  <si>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</si>
  <si>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</si>
  <si>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</si>
  <si>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</si>
  <si>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</si>
  <si>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</si>
  <si>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</si>
  <si>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</si>
  <si>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</si>
  <si>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</si>
  <si>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</si>
  <si>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</si>
  <si>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</si>
  <si>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INDICADORES DE PRODUCCION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</si>
  <si>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</si>
  <si>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</si>
  <si>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</si>
  <si>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</si>
  <si>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</si>
  <si>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</si>
  <si>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</si>
  <si>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</si>
  <si>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</si>
  <si>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</si>
  <si>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</si>
  <si>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</si>
  <si>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</si>
  <si>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</si>
  <si>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</si>
  <si>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</si>
  <si>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</si>
  <si>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</si>
  <si>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</si>
  <si>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</si>
  <si>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</si>
  <si>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</si>
  <si>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</si>
  <si>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</si>
  <si>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</si>
  <si>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</si>
  <si>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</si>
  <si>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</si>
  <si>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</si>
  <si>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</si>
  <si>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</si>
  <si>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</si>
  <si>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</si>
  <si>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</si>
  <si>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</si>
  <si>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</si>
  <si>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</si>
  <si>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</si>
  <si>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MINISTERIO DE HACIENDA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</si>
  <si>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</si>
  <si>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</si>
  <si>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</si>
  <si>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</si>
  <si>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</si>
  <si>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</si>
  <si>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</si>
  <si>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</si>
  <si>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</si>
  <si>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</si>
  <si>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</si>
  <si>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</si>
  <si>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</si>
  <si>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</si>
  <si>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</si>
  <si>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</si>
  <si>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Expedientes Ingresados de Otras Reparticiones</t>
  </si>
  <si>
    <t>H30659</t>
  </si>
  <si>
    <t>Expedientes Enviados a otros Organismos</t>
  </si>
  <si>
    <t>Dictamenes Emitidos en el Periodo</t>
  </si>
  <si>
    <t>H30667</t>
  </si>
  <si>
    <t>Consultas por asistencia jurídica en el Periodo</t>
  </si>
  <si>
    <t>C.JU.O. : 1.06.02</t>
  </si>
  <si>
    <t>H00026</t>
  </si>
  <si>
    <t>Expediente sobre Modificaciones de la partida de Personal Intervenidas</t>
  </si>
  <si>
    <t>Decretos y/o Resoluciones Informadas y Expedientes Intervenidos s/Presupuesto</t>
  </si>
  <si>
    <t>Decretos y/o Resoluciones Emitidas y Expedientes Intervenidos s/ Coparticipación Municipal</t>
  </si>
  <si>
    <t>Resultados Alcanzados</t>
  </si>
  <si>
    <t>Primer Trimestre</t>
  </si>
  <si>
    <t>-----</t>
  </si>
  <si>
    <t>DIRECCION GRAL. DE ADMINISTRACIÓN</t>
  </si>
  <si>
    <t>Segundo Trimestre</t>
  </si>
  <si>
    <t>Decretos y/o Resoluciones Informadas.</t>
  </si>
  <si>
    <t>Tercer Trimestre</t>
  </si>
  <si>
    <t xml:space="preserve">Ley Nº 7314 - Responsabilidad Fiscal - Art. 44 y 45 y  Anexo 30 - Art. 27º </t>
  </si>
  <si>
    <t xml:space="preserve">Cuarto Trimestre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</si>
  <si>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</si>
  <si>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</si>
  <si>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</si>
  <si>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</si>
  <si>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</si>
  <si>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</si>
  <si>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</si>
  <si>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</si>
  <si>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</si>
  <si>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</si>
  <si>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</si>
  <si>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</si>
  <si>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</si>
  <si>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</si>
  <si>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</si>
  <si>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</si>
  <si>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</si>
  <si>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</si>
  <si>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</si>
  <si>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</si>
  <si>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</si>
  <si>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</si>
  <si>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</si>
  <si>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</si>
  <si>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</si>
  <si>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</si>
  <si>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</si>
  <si>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</si>
  <si>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</si>
  <si>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</si>
  <si>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</si>
  <si>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</si>
  <si>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</si>
  <si>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</si>
  <si>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</si>
  <si>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</si>
  <si>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</si>
  <si>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</si>
  <si>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</si>
  <si>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</si>
  <si>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</si>
  <si>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</si>
  <si>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</si>
  <si>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</si>
  <si>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</si>
  <si>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</si>
  <si>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</si>
  <si>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</si>
  <si>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</si>
  <si>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</si>
  <si>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</si>
  <si>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</si>
  <si>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</si>
  <si>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</si>
  <si>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</si>
  <si>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</si>
  <si>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>DIRECCION GENERAL DE PRESUPUESTO</t>
  </si>
  <si>
    <t>Ministerio de Hacienda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</si>
  <si>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</si>
  <si>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</si>
  <si>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</si>
  <si>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</si>
  <si>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2017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</si>
  <si>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</si>
  <si>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</si>
  <si>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</si>
  <si>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</si>
  <si>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</si>
  <si>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</si>
  <si>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DIRECCIÓN GENERAL DE RENTAS</t>
  </si>
  <si>
    <t>INTELIGENCIA FISCAL</t>
  </si>
  <si>
    <t>FISCALIZACIÓN PERMANENTE</t>
  </si>
  <si>
    <t>FISCALIZACIÓN EXTERNA</t>
  </si>
  <si>
    <t>SELLOS Y TASA DE JUSTICIA</t>
  </si>
  <si>
    <t>PATRIMONIALES GESTIÓN INTERNA</t>
  </si>
  <si>
    <t>PATRIMONIALES ATENCIÓN CONTRIBUYENTES</t>
  </si>
  <si>
    <t>CONTACT CENTER</t>
  </si>
  <si>
    <t>AGENTE DE RETENCIÓN, PERCEPCIÓN E INFORMACIÓN</t>
  </si>
  <si>
    <t>ACTIVIDADES ECONÓMICAS – ATENCIÓN CONTRIBUYENTE</t>
  </si>
  <si>
    <t>DETERMINACIÓN DE OFICIO</t>
  </si>
  <si>
    <t>GRANDES CONTRIBUYENTES</t>
  </si>
  <si>
    <t>RECEPTORIA CORRALITOS</t>
  </si>
  <si>
    <t>RECEPTORIA RODEO DE LA CRUZ</t>
  </si>
  <si>
    <t>RECEPTORIA MAIPÚ</t>
  </si>
  <si>
    <t>RECEPTORIA LUJAN DE CUYO</t>
  </si>
  <si>
    <t>RECEPTORIA LAS HERAS</t>
  </si>
  <si>
    <t>RECEPTORIA LAVALLE</t>
  </si>
  <si>
    <t>RECEPTORIA GODOY CRUZ</t>
  </si>
  <si>
    <t>RECEPTORIA CONSEJO PROFESIONAL</t>
  </si>
  <si>
    <t>RECEPTORIA VILLA ATUEL</t>
  </si>
  <si>
    <t>-</t>
  </si>
  <si>
    <t>RECEPTORIA MALARGÜE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</si>
  <si>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</si>
  <si>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</si>
  <si>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</si>
  <si>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</si>
  <si>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</si>
  <si>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</si>
  <si>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</si>
  <si>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</si>
  <si>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</si>
  <si>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</si>
  <si>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</si>
  <si>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</si>
  <si>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DELEGACIÓN CAPITAL FEDERAL</t>
  </si>
  <si>
    <t>GESTIÓN DE COBRANZAS</t>
  </si>
  <si>
    <t>DIRECCIÓN GENERAL DE CATASTRO</t>
  </si>
  <si>
    <t>MENSURA</t>
  </si>
  <si>
    <t>JURÍDICO</t>
  </si>
  <si>
    <t>ECONÓMICO</t>
  </si>
  <si>
    <t>DELEGACIÓN ZONA SUR</t>
  </si>
  <si>
    <t>FISCALIZACIÓN</t>
  </si>
  <si>
    <t>DELEGACIÓN VALLE DE UCO</t>
  </si>
  <si>
    <t>CARTOGRAFÍA</t>
  </si>
  <si>
    <t>IDEM</t>
  </si>
  <si>
    <t>DEPÓSITO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</si>
  <si>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</si>
  <si>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</si>
  <si>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</si>
  <si>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</si>
  <si>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</si>
  <si>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</si>
  <si>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</si>
  <si>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ASISTENCIA TÉCNICA Y NORMATIVA</t>
  </si>
  <si>
    <t>ASUNTOS LEGALES</t>
  </si>
  <si>
    <t>PROCESOS UNIVERSALES</t>
  </si>
  <si>
    <t>RECURSOS DE REVOCATORIA</t>
  </si>
  <si>
    <t>RECURSOS JERÁRQUICOS</t>
  </si>
  <si>
    <t>DIRECCIÓN TECNOLOGÍAS DE LA INFORMACIÓN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</si>
  <si>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</si>
  <si>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</si>
  <si>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</si>
  <si>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</si>
  <si>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</si>
  <si>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</si>
  <si>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</si>
  <si>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</si>
  <si>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</si>
  <si>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ADMINISTRACIÓN GENERAL</t>
  </si>
  <si>
    <t>DESPACHO</t>
  </si>
  <si>
    <t>PLANIFICACIÓN ESTRATÉGICA</t>
  </si>
  <si>
    <t>COMUNICACIÓN Y PRENSA</t>
  </si>
  <si>
    <t>GESTIÓN DE CALIDAD</t>
  </si>
  <si>
    <t>CONSEJO DE LOTEO</t>
  </si>
  <si>
    <t>ÁREA</t>
  </si>
  <si>
    <t>PROMEDIO DE RATIO</t>
  </si>
  <si>
    <t>RECEPTORIA JUNÍN</t>
  </si>
  <si>
    <t>FÍSICO</t>
  </si>
  <si>
    <t>DIRECCIÓN GENERAL DE REGALÍAS</t>
  </si>
  <si>
    <t>TESORERÍA</t>
  </si>
  <si>
    <t>GESTIÓN ADMINISTRATIVA</t>
  </si>
  <si>
    <t>OTRAS ÁREAS</t>
  </si>
  <si>
    <t>Confeccionó</t>
  </si>
  <si>
    <t>Supervisó</t>
  </si>
  <si>
    <t xml:space="preserve">Revisó </t>
  </si>
  <si>
    <t>Aprobó</t>
  </si>
  <si>
    <t>Fecha de Aprobación</t>
  </si>
  <si>
    <t>Edgardo Sosa</t>
  </si>
  <si>
    <t>CPN Raul Abel Mercado</t>
  </si>
  <si>
    <t>CPN Rodolfo Quiroga</t>
  </si>
  <si>
    <t>CPN. Fernando Orellano</t>
  </si>
  <si>
    <t>CUADRO DE INDICADORES Y METAS  - META ANUAL y  3er TRIMESTRE 2017</t>
  </si>
  <si>
    <t>MINISTERIO DE HACIENDA Y FINANZAS</t>
  </si>
  <si>
    <r>
      <t>LRF LEY Nº 7.314 - ANEXO 30 - ART. 44 Y 45  - 3</t>
    </r>
    <r>
      <rPr>
        <b/>
        <vertAlign val="superscript"/>
        <sz val="16"/>
        <color indexed="8"/>
        <rFont val="Calibri"/>
        <family val="2"/>
      </rPr>
      <t>er</t>
    </r>
    <r>
      <rPr>
        <b/>
        <sz val="16"/>
        <color indexed="8"/>
        <rFont val="Calibri"/>
        <family val="2"/>
      </rPr>
      <t xml:space="preserve"> TRIMESTRE 2017</t>
    </r>
  </si>
  <si>
    <t>RESOLUCIÓN INTERNA ATM Nº 143/16 Y 164/17- INDICADORES DE GESTIÓN</t>
  </si>
  <si>
    <t>JULIO</t>
  </si>
  <si>
    <t>AGOSTO</t>
  </si>
  <si>
    <t>SEPTIEMBRE</t>
  </si>
  <si>
    <t>DOI</t>
  </si>
  <si>
    <t>C.J.U.O. 1 - 06 - 10 - 3º TRIMESTE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</si>
</sst>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_-* #,##0\ _€_-;\-* #,##0\ _€_-;_-* &quot;-&quot;\ _€_-;_-@_-"/>
    <numFmt numFmtId="171" formatCode="#,##0_ ;\-#,##0\ "/>
    <numFmt numFmtId="172" formatCode="#,##0.00\ _€"/>
    <numFmt numFmtId="173" formatCode="dd/mm/yy"/>
  </numFmts>
  <fonts count="6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1"/>
      <name val="Microsoft Sans Serif"/>
      <family val="2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sz val="10"/>
      <name val="Calibri"/>
      <family val="2"/>
    </font>
    <font>
      <sz val="10"/>
      <color indexed="8"/>
      <name val="Calibri"/>
      <family val="2"/>
    </font>
    <font>
      <b/>
      <sz val="18"/>
      <color indexed="8"/>
      <name val="Calibri"/>
      <family val="2"/>
    </font>
    <font>
      <b/>
      <sz val="22"/>
      <color indexed="8"/>
      <name val="Calibri"/>
      <family val="2"/>
    </font>
    <font>
      <b/>
      <sz val="16"/>
      <color indexed="8"/>
      <name val="Calibri"/>
      <family val="2"/>
    </font>
    <font>
      <b/>
      <vertAlign val="superscript"/>
      <sz val="16"/>
      <color indexed="8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0"/>
      <color indexed="8"/>
      <name val="Calibri"/>
      <family val="2"/>
    </font>
    <font>
      <b/>
      <sz val="10"/>
      <color indexed="9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i/>
      <sz val="10"/>
      <color indexed="8"/>
      <name val="Calibri"/>
      <family val="2"/>
    </font>
    <font>
      <b/>
      <sz val="7"/>
      <name val="Arial"/>
      <family val="2"/>
    </font>
    <font>
      <i/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15"/>
        <bgColor indexed="35"/>
      </patternFill>
    </fill>
    <fill>
      <patternFill patternType="solid">
        <fgColor indexed="9"/>
        <bgColor indexed="26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71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4" borderId="0" applyNumberFormat="0" applyBorder="0" applyAlignment="0" applyProtection="0"/>
    <xf numFmtId="0" fontId="23" fillId="16" borderId="1" applyNumberFormat="0" applyAlignment="0" applyProtection="0"/>
    <xf numFmtId="0" fontId="24" fillId="17" borderId="2" applyNumberFormat="0" applyAlignment="0" applyProtection="0"/>
    <xf numFmtId="0" fontId="2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7" fillId="7" borderId="1" applyNumberFormat="0" applyAlignment="0" applyProtection="0"/>
    <xf numFmtId="0" fontId="28" fillId="3" borderId="0" applyNumberFormat="0" applyBorder="0" applyAlignment="0" applyProtection="0"/>
    <xf numFmtId="165" fontId="11" fillId="0" borderId="0" applyFont="0" applyFill="0" applyBorder="0" applyAlignment="0" applyProtection="0"/>
    <xf numFmtId="0" fontId="29" fillId="22" borderId="0" applyNumberFormat="0" applyBorder="0" applyAlignment="0" applyProtection="0"/>
    <xf numFmtId="0" fontId="11" fillId="23" borderId="4" applyNumberFormat="0" applyFont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26" fillId="0" borderId="8" applyNumberFormat="0" applyFill="0" applyAlignment="0" applyProtection="0"/>
    <xf numFmtId="0" fontId="36" fillId="0" borderId="9" applyNumberFormat="0" applyFill="0" applyAlignment="0" applyProtection="0"/>
    <xf numFmtId="0" fontId="16" fillId="0" borderId="0"/>
    <xf numFmtId="165" fontId="16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20" fillId="0" borderId="0"/>
    <xf numFmtId="9" fontId="20" fillId="0" borderId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11" fillId="0" borderId="0"/>
    <xf numFmtId="0" fontId="11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47" fillId="0" borderId="0"/>
    <xf numFmtId="9" fontId="11" fillId="0" borderId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49">
    <xf numFmtId="0" fontId="0" fillId="0" borderId="0" xfId="0"/>
    <xf numFmtId="0" fontId="15" fillId="0" borderId="0" xfId="0" applyFont="1"/>
    <xf numFmtId="0" fontId="16" fillId="0" borderId="0" xfId="0" applyFont="1"/>
    <xf numFmtId="1" fontId="18" fillId="24" borderId="11" xfId="32" applyNumberFormat="1" applyFont="1" applyFill="1" applyBorder="1" applyAlignment="1">
      <alignment horizontal="center" vertical="center"/>
    </xf>
    <xf numFmtId="0" fontId="12" fillId="24" borderId="14" xfId="0" applyFont="1" applyFill="1" applyBorder="1"/>
    <xf numFmtId="1" fontId="18" fillId="24" borderId="15" xfId="32" applyNumberFormat="1" applyFont="1" applyFill="1" applyBorder="1" applyAlignment="1">
      <alignment horizontal="center" vertical="center"/>
    </xf>
    <xf numFmtId="0" fontId="18" fillId="24" borderId="16" xfId="0" applyFont="1" applyFill="1" applyBorder="1" applyAlignment="1">
      <alignment horizontal="center" vertical="center" wrapText="1"/>
    </xf>
    <xf numFmtId="0" fontId="15" fillId="0" borderId="0" xfId="0" applyFont="1" applyBorder="1"/>
    <xf numFmtId="0" fontId="19" fillId="0" borderId="17" xfId="0" applyFont="1" applyBorder="1" applyAlignment="1"/>
    <xf numFmtId="0" fontId="19" fillId="0" borderId="11" xfId="0" applyFont="1" applyBorder="1"/>
    <xf numFmtId="0" fontId="19" fillId="0" borderId="0" xfId="0" applyFont="1"/>
    <xf numFmtId="0" fontId="19" fillId="0" borderId="17" xfId="0" applyFont="1" applyFill="1" applyBorder="1" applyAlignment="1"/>
    <xf numFmtId="0" fontId="19" fillId="0" borderId="0" xfId="0" applyFont="1" applyFill="1"/>
    <xf numFmtId="0" fontId="19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19" fillId="26" borderId="15" xfId="0" applyFont="1" applyFill="1" applyBorder="1"/>
    <xf numFmtId="1" fontId="19" fillId="26" borderId="15" xfId="0" applyNumberFormat="1" applyFont="1" applyFill="1" applyBorder="1"/>
    <xf numFmtId="0" fontId="16" fillId="26" borderId="15" xfId="0" applyFont="1" applyFill="1" applyBorder="1"/>
    <xf numFmtId="0" fontId="16" fillId="26" borderId="16" xfId="0" applyFont="1" applyFill="1" applyBorder="1"/>
    <xf numFmtId="0" fontId="19" fillId="0" borderId="24" xfId="0" applyFont="1" applyBorder="1"/>
    <xf numFmtId="0" fontId="19" fillId="0" borderId="25" xfId="0" applyFont="1" applyBorder="1"/>
    <xf numFmtId="0" fontId="19" fillId="26" borderId="26" xfId="0" applyFont="1" applyFill="1" applyBorder="1"/>
    <xf numFmtId="0" fontId="19" fillId="0" borderId="11" xfId="0" applyFont="1" applyFill="1" applyBorder="1"/>
    <xf numFmtId="0" fontId="19" fillId="0" borderId="20" xfId="0" applyFont="1" applyBorder="1"/>
    <xf numFmtId="0" fontId="19" fillId="0" borderId="27" xfId="0" applyFont="1" applyBorder="1"/>
    <xf numFmtId="0" fontId="16" fillId="26" borderId="30" xfId="0" applyFont="1" applyFill="1" applyBorder="1"/>
    <xf numFmtId="0" fontId="15" fillId="0" borderId="0" xfId="0" applyFont="1" applyBorder="1" applyAlignment="1"/>
    <xf numFmtId="0" fontId="15" fillId="0" borderId="32" xfId="0" applyFont="1" applyBorder="1"/>
    <xf numFmtId="0" fontId="13" fillId="0" borderId="0" xfId="0" applyFont="1" applyBorder="1" applyAlignment="1">
      <alignment horizontal="center"/>
    </xf>
    <xf numFmtId="0" fontId="13" fillId="0" borderId="31" xfId="0" applyFont="1" applyBorder="1" applyAlignment="1">
      <alignment vertical="center"/>
    </xf>
    <xf numFmtId="0" fontId="19" fillId="0" borderId="17" xfId="0" applyFont="1" applyBorder="1"/>
    <xf numFmtId="0" fontId="19" fillId="0" borderId="34" xfId="0" applyFont="1" applyBorder="1" applyAlignment="1"/>
    <xf numFmtId="0" fontId="19" fillId="0" borderId="29" xfId="0" applyFont="1" applyBorder="1"/>
    <xf numFmtId="0" fontId="19" fillId="0" borderId="35" xfId="0" applyFont="1" applyBorder="1"/>
    <xf numFmtId="0" fontId="19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6" fillId="26" borderId="23" xfId="0" applyFont="1" applyFill="1" applyBorder="1"/>
    <xf numFmtId="0" fontId="12" fillId="25" borderId="37" xfId="0" applyFont="1" applyFill="1" applyBorder="1"/>
    <xf numFmtId="0" fontId="12" fillId="25" borderId="38" xfId="0" applyFont="1" applyFill="1" applyBorder="1"/>
    <xf numFmtId="0" fontId="16" fillId="26" borderId="26" xfId="0" applyFont="1" applyFill="1" applyBorder="1"/>
    <xf numFmtId="0" fontId="18" fillId="25" borderId="43" xfId="0" applyFont="1" applyFill="1" applyBorder="1" applyAlignment="1"/>
    <xf numFmtId="0" fontId="19" fillId="25" borderId="37" xfId="0" applyFont="1" applyFill="1" applyBorder="1"/>
    <xf numFmtId="0" fontId="18" fillId="25" borderId="44" xfId="0" applyFont="1" applyFill="1" applyBorder="1"/>
    <xf numFmtId="0" fontId="19" fillId="25" borderId="45" xfId="0" applyFont="1" applyFill="1" applyBorder="1"/>
    <xf numFmtId="0" fontId="19" fillId="25" borderId="39" xfId="0" applyFont="1" applyFill="1" applyBorder="1"/>
    <xf numFmtId="0" fontId="19" fillId="0" borderId="34" xfId="0" applyFont="1" applyBorder="1"/>
    <xf numFmtId="0" fontId="19" fillId="0" borderId="19" xfId="0" applyFont="1" applyBorder="1"/>
    <xf numFmtId="0" fontId="19" fillId="0" borderId="12" xfId="0" applyFont="1" applyFill="1" applyBorder="1"/>
    <xf numFmtId="0" fontId="19" fillId="0" borderId="12" xfId="0" applyFont="1" applyBorder="1"/>
    <xf numFmtId="0" fontId="19" fillId="0" borderId="21" xfId="0" applyFont="1" applyBorder="1"/>
    <xf numFmtId="0" fontId="18" fillId="25" borderId="43" xfId="0" applyFont="1" applyFill="1" applyBorder="1"/>
    <xf numFmtId="0" fontId="19" fillId="0" borderId="34" xfId="0" applyFont="1" applyFill="1" applyBorder="1"/>
    <xf numFmtId="3" fontId="19" fillId="26" borderId="10" xfId="0" applyNumberFormat="1" applyFont="1" applyFill="1" applyBorder="1"/>
    <xf numFmtId="3" fontId="19" fillId="26" borderId="29" xfId="0" applyNumberFormat="1" applyFont="1" applyFill="1" applyBorder="1"/>
    <xf numFmtId="3" fontId="19" fillId="0" borderId="29" xfId="0" applyNumberFormat="1" applyFont="1" applyFill="1" applyBorder="1"/>
    <xf numFmtId="0" fontId="19" fillId="0" borderId="24" xfId="0" applyFont="1" applyFill="1" applyBorder="1"/>
    <xf numFmtId="3" fontId="19" fillId="26" borderId="48" xfId="0" applyNumberFormat="1" applyFont="1" applyFill="1" applyBorder="1"/>
    <xf numFmtId="3" fontId="19" fillId="26" borderId="25" xfId="0" applyNumberFormat="1" applyFont="1" applyFill="1" applyBorder="1"/>
    <xf numFmtId="3" fontId="19" fillId="0" borderId="25" xfId="0" applyNumberFormat="1" applyFont="1" applyFill="1" applyBorder="1"/>
    <xf numFmtId="0" fontId="19" fillId="0" borderId="49" xfId="0" applyFont="1" applyFill="1" applyBorder="1"/>
    <xf numFmtId="0" fontId="19" fillId="0" borderId="50" xfId="0" applyFont="1" applyBorder="1"/>
    <xf numFmtId="0" fontId="19" fillId="0" borderId="42" xfId="0" applyFont="1" applyBorder="1"/>
    <xf numFmtId="4" fontId="16" fillId="0" borderId="0" xfId="0" applyNumberFormat="1" applyFont="1"/>
    <xf numFmtId="0" fontId="18" fillId="24" borderId="52" xfId="0" applyFont="1" applyFill="1" applyBorder="1" applyAlignment="1">
      <alignment horizontal="center" vertical="center" wrapText="1"/>
    </xf>
    <xf numFmtId="0" fontId="0" fillId="0" borderId="53" xfId="0" applyBorder="1" applyAlignment="1"/>
    <xf numFmtId="0" fontId="0" fillId="0" borderId="54" xfId="0" applyBorder="1" applyAlignment="1"/>
    <xf numFmtId="0" fontId="0" fillId="0" borderId="54" xfId="0" applyBorder="1"/>
    <xf numFmtId="0" fontId="0" fillId="0" borderId="51" xfId="0" applyBorder="1"/>
    <xf numFmtId="0" fontId="15" fillId="0" borderId="31" xfId="0" applyFont="1" applyBorder="1"/>
    <xf numFmtId="0" fontId="0" fillId="0" borderId="55" xfId="0" applyBorder="1"/>
    <xf numFmtId="0" fontId="0" fillId="0" borderId="31" xfId="0" applyBorder="1"/>
    <xf numFmtId="0" fontId="13" fillId="0" borderId="0" xfId="0" applyFont="1" applyBorder="1" applyAlignment="1"/>
    <xf numFmtId="0" fontId="18" fillId="24" borderId="10" xfId="0" applyFont="1" applyFill="1" applyBorder="1" applyAlignment="1">
      <alignment horizontal="center" vertical="center" wrapText="1"/>
    </xf>
    <xf numFmtId="0" fontId="18" fillId="24" borderId="11" xfId="0" applyFont="1" applyFill="1" applyBorder="1" applyAlignment="1">
      <alignment horizontal="center" vertical="center" wrapText="1"/>
    </xf>
    <xf numFmtId="0" fontId="18" fillId="24" borderId="12" xfId="0" applyFont="1" applyFill="1" applyBorder="1" applyAlignment="1">
      <alignment horizontal="center" vertical="center" wrapText="1"/>
    </xf>
    <xf numFmtId="1" fontId="18" fillId="24" borderId="56" xfId="32" applyNumberFormat="1" applyFont="1" applyFill="1" applyBorder="1" applyAlignment="1">
      <alignment horizontal="center" vertical="center"/>
    </xf>
    <xf numFmtId="0" fontId="18" fillId="24" borderId="60" xfId="0" applyFont="1" applyFill="1" applyBorder="1" applyAlignment="1">
      <alignment horizontal="center"/>
    </xf>
    <xf numFmtId="0" fontId="19" fillId="0" borderId="61" xfId="0" applyFont="1" applyFill="1" applyBorder="1"/>
    <xf numFmtId="1" fontId="19" fillId="0" borderId="56" xfId="0" applyNumberFormat="1" applyFont="1" applyFill="1" applyBorder="1"/>
    <xf numFmtId="0" fontId="19" fillId="0" borderId="56" xfId="0" applyFont="1" applyFill="1" applyBorder="1"/>
    <xf numFmtId="0" fontId="19" fillId="0" borderId="63" xfId="0" applyFont="1" applyFill="1" applyBorder="1"/>
    <xf numFmtId="0" fontId="0" fillId="25" borderId="61" xfId="0" applyFill="1" applyBorder="1"/>
    <xf numFmtId="0" fontId="0" fillId="25" borderId="56" xfId="0" applyFill="1" applyBorder="1"/>
    <xf numFmtId="0" fontId="16" fillId="0" borderId="56" xfId="0" applyFont="1" applyFill="1" applyBorder="1"/>
    <xf numFmtId="3" fontId="16" fillId="0" borderId="56" xfId="0" applyNumberFormat="1" applyFont="1" applyFill="1" applyBorder="1"/>
    <xf numFmtId="0" fontId="16" fillId="0" borderId="66" xfId="0" applyFont="1" applyFill="1" applyBorder="1"/>
    <xf numFmtId="3" fontId="16" fillId="0" borderId="61" xfId="0" applyNumberFormat="1" applyFont="1" applyFill="1" applyBorder="1"/>
    <xf numFmtId="3" fontId="16" fillId="0" borderId="63" xfId="0" applyNumberFormat="1" applyFont="1" applyFill="1" applyBorder="1"/>
    <xf numFmtId="0" fontId="16" fillId="0" borderId="61" xfId="0" applyFont="1" applyFill="1" applyBorder="1"/>
    <xf numFmtId="0" fontId="16" fillId="0" borderId="54" xfId="0" applyFont="1" applyFill="1" applyBorder="1"/>
    <xf numFmtId="0" fontId="13" fillId="0" borderId="67" xfId="0" applyFont="1" applyBorder="1" applyAlignment="1"/>
    <xf numFmtId="0" fontId="13" fillId="0" borderId="13" xfId="0" applyFont="1" applyBorder="1" applyAlignment="1"/>
    <xf numFmtId="0" fontId="15" fillId="0" borderId="13" xfId="0" applyFont="1" applyBorder="1" applyAlignment="1"/>
    <xf numFmtId="0" fontId="15" fillId="0" borderId="13" xfId="0" applyFont="1" applyBorder="1"/>
    <xf numFmtId="0" fontId="15" fillId="0" borderId="59" xfId="0" applyFont="1" applyBorder="1"/>
    <xf numFmtId="0" fontId="19" fillId="25" borderId="38" xfId="0" applyFont="1" applyFill="1" applyBorder="1"/>
    <xf numFmtId="3" fontId="19" fillId="0" borderId="15" xfId="0" applyNumberFormat="1" applyFont="1" applyFill="1" applyBorder="1"/>
    <xf numFmtId="3" fontId="19" fillId="0" borderId="23" xfId="0" applyNumberFormat="1" applyFont="1" applyFill="1" applyBorder="1"/>
    <xf numFmtId="3" fontId="19" fillId="0" borderId="26" xfId="0" applyNumberFormat="1" applyFont="1" applyFill="1" applyBorder="1"/>
    <xf numFmtId="3" fontId="19" fillId="26" borderId="36" xfId="0" applyNumberFormat="1" applyFont="1" applyFill="1" applyBorder="1"/>
    <xf numFmtId="3" fontId="19" fillId="26" borderId="11" xfId="0" applyNumberFormat="1" applyFont="1" applyFill="1" applyBorder="1"/>
    <xf numFmtId="3" fontId="19" fillId="26" borderId="28" xfId="0" applyNumberFormat="1" applyFont="1" applyFill="1" applyBorder="1"/>
    <xf numFmtId="3" fontId="19" fillId="0" borderId="11" xfId="0" applyNumberFormat="1" applyFont="1" applyFill="1" applyBorder="1"/>
    <xf numFmtId="3" fontId="19" fillId="26" borderId="33" xfId="0" applyNumberFormat="1" applyFont="1" applyFill="1" applyBorder="1"/>
    <xf numFmtId="3" fontId="19" fillId="25" borderId="45" xfId="0" applyNumberFormat="1" applyFont="1" applyFill="1" applyBorder="1"/>
    <xf numFmtId="3" fontId="19" fillId="25" borderId="46" xfId="0" applyNumberFormat="1" applyFont="1" applyFill="1" applyBorder="1"/>
    <xf numFmtId="3" fontId="18" fillId="25" borderId="46" xfId="0" applyNumberFormat="1" applyFont="1" applyFill="1" applyBorder="1"/>
    <xf numFmtId="3" fontId="18" fillId="25" borderId="45" xfId="0" applyNumberFormat="1" applyFont="1" applyFill="1" applyBorder="1"/>
    <xf numFmtId="3" fontId="19" fillId="25" borderId="40" xfId="0" applyNumberFormat="1" applyFont="1" applyFill="1" applyBorder="1"/>
    <xf numFmtId="3" fontId="19" fillId="0" borderId="36" xfId="0" applyNumberFormat="1" applyFont="1" applyBorder="1"/>
    <xf numFmtId="3" fontId="18" fillId="25" borderId="36" xfId="0" applyNumberFormat="1" applyFont="1" applyFill="1" applyBorder="1"/>
    <xf numFmtId="3" fontId="18" fillId="25" borderId="29" xfId="0" applyNumberFormat="1" applyFont="1" applyFill="1" applyBorder="1"/>
    <xf numFmtId="3" fontId="19" fillId="25" borderId="23" xfId="0" applyNumberFormat="1" applyFont="1" applyFill="1" applyBorder="1"/>
    <xf numFmtId="3" fontId="19" fillId="0" borderId="28" xfId="0" applyNumberFormat="1" applyFont="1" applyBorder="1"/>
    <xf numFmtId="3" fontId="18" fillId="25" borderId="28" xfId="0" applyNumberFormat="1" applyFont="1" applyFill="1" applyBorder="1"/>
    <xf numFmtId="3" fontId="18" fillId="25" borderId="11" xfId="0" applyNumberFormat="1" applyFont="1" applyFill="1" applyBorder="1"/>
    <xf numFmtId="3" fontId="19" fillId="25" borderId="15" xfId="0" applyNumberFormat="1" applyFont="1" applyFill="1" applyBorder="1"/>
    <xf numFmtId="3" fontId="19" fillId="26" borderId="12" xfId="0" applyNumberFormat="1" applyFont="1" applyFill="1" applyBorder="1"/>
    <xf numFmtId="3" fontId="19" fillId="0" borderId="12" xfId="0" applyNumberFormat="1" applyFont="1" applyFill="1" applyBorder="1"/>
    <xf numFmtId="3" fontId="19" fillId="0" borderId="16" xfId="0" applyNumberFormat="1" applyFont="1" applyFill="1" applyBorder="1"/>
    <xf numFmtId="3" fontId="19" fillId="25" borderId="37" xfId="0" applyNumberFormat="1" applyFont="1" applyFill="1" applyBorder="1"/>
    <xf numFmtId="3" fontId="18" fillId="25" borderId="37" xfId="0" applyNumberFormat="1" applyFont="1" applyFill="1" applyBorder="1"/>
    <xf numFmtId="3" fontId="18" fillId="25" borderId="38" xfId="0" applyNumberFormat="1" applyFont="1" applyFill="1" applyBorder="1"/>
    <xf numFmtId="3" fontId="19" fillId="26" borderId="50" xfId="0" applyNumberFormat="1" applyFont="1" applyFill="1" applyBorder="1"/>
    <xf numFmtId="3" fontId="19" fillId="26" borderId="51" xfId="0" applyNumberFormat="1" applyFont="1" applyFill="1" applyBorder="1"/>
    <xf numFmtId="3" fontId="19" fillId="0" borderId="50" xfId="0" applyNumberFormat="1" applyFont="1" applyFill="1" applyBorder="1"/>
    <xf numFmtId="3" fontId="19" fillId="0" borderId="30" xfId="0" applyNumberFormat="1" applyFont="1" applyFill="1" applyBorder="1"/>
    <xf numFmtId="0" fontId="17" fillId="0" borderId="0" xfId="53" applyFont="1" applyAlignment="1">
      <alignment horizontal="left" vertical="center"/>
    </xf>
    <xf numFmtId="0" fontId="11" fillId="0" borderId="0" xfId="53" applyAlignment="1">
      <alignment horizontal="center" vertical="center"/>
    </xf>
    <xf numFmtId="0" fontId="12" fillId="0" borderId="0" xfId="53" applyFont="1" applyAlignment="1">
      <alignment horizontal="center" vertical="center"/>
    </xf>
    <xf numFmtId="0" fontId="13" fillId="0" borderId="0" xfId="53" applyFont="1" applyAlignment="1">
      <alignment horizontal="left" vertical="center"/>
    </xf>
    <xf numFmtId="0" fontId="15" fillId="0" borderId="0" xfId="53" applyFont="1" applyAlignment="1">
      <alignment horizontal="center" vertical="center"/>
    </xf>
    <xf numFmtId="0" fontId="13" fillId="0" borderId="0" xfId="53" applyFont="1" applyBorder="1" applyAlignment="1">
      <alignment horizontal="left" vertical="center"/>
    </xf>
    <xf numFmtId="0" fontId="11" fillId="0" borderId="13" xfId="53" applyBorder="1"/>
    <xf numFmtId="0" fontId="18" fillId="24" borderId="11" xfId="53" applyFont="1" applyFill="1" applyBorder="1" applyAlignment="1">
      <alignment horizontal="center" vertical="center"/>
    </xf>
    <xf numFmtId="0" fontId="18" fillId="24" borderId="20" xfId="53" applyFont="1" applyFill="1" applyBorder="1" applyAlignment="1">
      <alignment horizontal="center" vertical="center" wrapText="1"/>
    </xf>
    <xf numFmtId="0" fontId="18" fillId="24" borderId="21" xfId="53" applyFont="1" applyFill="1" applyBorder="1" applyAlignment="1">
      <alignment horizontal="center" vertical="center" wrapText="1"/>
    </xf>
    <xf numFmtId="0" fontId="18" fillId="24" borderId="52" xfId="53" applyFont="1" applyFill="1" applyBorder="1" applyAlignment="1">
      <alignment horizontal="center" vertical="center" wrapText="1"/>
    </xf>
    <xf numFmtId="0" fontId="19" fillId="0" borderId="17" xfId="53" applyFont="1" applyBorder="1" applyAlignment="1">
      <alignment horizontal="left" vertical="center"/>
    </xf>
    <xf numFmtId="0" fontId="19" fillId="0" borderId="11" xfId="53" applyFont="1" applyBorder="1" applyAlignment="1">
      <alignment horizontal="center" vertical="center"/>
    </xf>
    <xf numFmtId="0" fontId="19" fillId="0" borderId="11" xfId="53" quotePrefix="1" applyFont="1" applyBorder="1" applyAlignment="1">
      <alignment horizontal="center" vertical="center" wrapText="1"/>
    </xf>
    <xf numFmtId="0" fontId="18" fillId="0" borderId="18" xfId="53" applyFont="1" applyBorder="1" applyAlignment="1">
      <alignment horizontal="center" vertical="center"/>
    </xf>
    <xf numFmtId="0" fontId="19" fillId="26" borderId="11" xfId="53" applyFont="1" applyFill="1" applyBorder="1" applyAlignment="1">
      <alignment horizontal="right" vertical="center"/>
    </xf>
    <xf numFmtId="0" fontId="19" fillId="28" borderId="15" xfId="53" applyFont="1" applyFill="1" applyBorder="1" applyAlignment="1">
      <alignment horizontal="center" vertical="center"/>
    </xf>
    <xf numFmtId="0" fontId="19" fillId="26" borderId="11" xfId="53" quotePrefix="1" applyFont="1" applyFill="1" applyBorder="1" applyAlignment="1">
      <alignment horizontal="right" vertical="center" wrapText="1"/>
    </xf>
    <xf numFmtId="0" fontId="19" fillId="28" borderId="15" xfId="53" quotePrefix="1" applyFont="1" applyFill="1" applyBorder="1" applyAlignment="1">
      <alignment horizontal="center" vertical="center" wrapText="1"/>
    </xf>
    <xf numFmtId="0" fontId="18" fillId="0" borderId="18" xfId="53" quotePrefix="1" applyFont="1" applyBorder="1" applyAlignment="1">
      <alignment horizontal="center" vertical="center" wrapText="1"/>
    </xf>
    <xf numFmtId="0" fontId="19" fillId="26" borderId="11" xfId="53" applyFont="1" applyFill="1" applyBorder="1" applyAlignment="1">
      <alignment horizontal="right" vertical="center" wrapText="1"/>
    </xf>
    <xf numFmtId="0" fontId="19" fillId="28" borderId="15" xfId="53" applyFont="1" applyFill="1" applyBorder="1" applyAlignment="1">
      <alignment horizontal="center" vertical="center" wrapText="1"/>
    </xf>
    <xf numFmtId="3" fontId="19" fillId="0" borderId="11" xfId="55" quotePrefix="1" applyNumberFormat="1" applyFont="1" applyBorder="1" applyAlignment="1">
      <alignment horizontal="right" vertical="center" wrapText="1"/>
    </xf>
    <xf numFmtId="3" fontId="19" fillId="0" borderId="11" xfId="55" applyNumberFormat="1" applyFont="1" applyBorder="1" applyAlignment="1">
      <alignment horizontal="right" vertical="center"/>
    </xf>
    <xf numFmtId="4" fontId="19" fillId="26" borderId="11" xfId="55" applyNumberFormat="1" applyFont="1" applyFill="1" applyBorder="1" applyAlignment="1">
      <alignment horizontal="right" vertical="center"/>
    </xf>
    <xf numFmtId="4" fontId="19" fillId="28" borderId="15" xfId="55" applyNumberFormat="1" applyFont="1" applyFill="1" applyBorder="1" applyAlignment="1">
      <alignment horizontal="right" vertical="center"/>
    </xf>
    <xf numFmtId="3" fontId="18" fillId="0" borderId="18" xfId="53" applyNumberFormat="1" applyFont="1" applyBorder="1" applyAlignment="1">
      <alignment horizontal="center" vertical="center"/>
    </xf>
    <xf numFmtId="3" fontId="19" fillId="0" borderId="11" xfId="53" quotePrefix="1" applyNumberFormat="1" applyFont="1" applyBorder="1" applyAlignment="1">
      <alignment horizontal="right" vertical="center" wrapText="1"/>
    </xf>
    <xf numFmtId="3" fontId="19" fillId="0" borderId="11" xfId="53" applyNumberFormat="1" applyFont="1" applyBorder="1" applyAlignment="1">
      <alignment horizontal="right" vertical="center"/>
    </xf>
    <xf numFmtId="3" fontId="19" fillId="26" borderId="11" xfId="53" applyNumberFormat="1" applyFont="1" applyFill="1" applyBorder="1" applyAlignment="1">
      <alignment horizontal="right" vertical="center"/>
    </xf>
    <xf numFmtId="3" fontId="19" fillId="28" borderId="15" xfId="53" applyNumberFormat="1" applyFont="1" applyFill="1" applyBorder="1" applyAlignment="1">
      <alignment horizontal="right" vertical="center"/>
    </xf>
    <xf numFmtId="167" fontId="19" fillId="26" borderId="11" xfId="53" applyNumberFormat="1" applyFont="1" applyFill="1" applyBorder="1" applyAlignment="1">
      <alignment horizontal="right" vertical="center" wrapText="1"/>
    </xf>
    <xf numFmtId="166" fontId="19" fillId="26" borderId="11" xfId="53" quotePrefix="1" applyNumberFormat="1" applyFont="1" applyFill="1" applyBorder="1" applyAlignment="1">
      <alignment horizontal="right" vertical="center" wrapText="1"/>
    </xf>
    <xf numFmtId="167" fontId="19" fillId="28" borderId="15" xfId="53" quotePrefix="1" applyNumberFormat="1" applyFont="1" applyFill="1" applyBorder="1" applyAlignment="1">
      <alignment horizontal="right" vertical="center" wrapText="1"/>
    </xf>
    <xf numFmtId="166" fontId="18" fillId="0" borderId="18" xfId="53" applyNumberFormat="1" applyFont="1" applyBorder="1" applyAlignment="1">
      <alignment horizontal="right" vertical="center"/>
    </xf>
    <xf numFmtId="0" fontId="19" fillId="26" borderId="12" xfId="53" applyFont="1" applyFill="1" applyBorder="1" applyAlignment="1">
      <alignment horizontal="right" vertical="center"/>
    </xf>
    <xf numFmtId="0" fontId="19" fillId="26" borderId="12" xfId="53" applyFont="1" applyFill="1" applyBorder="1" applyAlignment="1">
      <alignment horizontal="center" vertical="center"/>
    </xf>
    <xf numFmtId="0" fontId="19" fillId="28" borderId="16" xfId="53" applyFont="1" applyFill="1" applyBorder="1" applyAlignment="1">
      <alignment horizontal="center" vertical="center"/>
    </xf>
    <xf numFmtId="0" fontId="18" fillId="25" borderId="17" xfId="53" applyFont="1" applyFill="1" applyBorder="1" applyAlignment="1">
      <alignment horizontal="left" vertical="center"/>
    </xf>
    <xf numFmtId="0" fontId="19" fillId="25" borderId="11" xfId="53" applyFont="1" applyFill="1" applyBorder="1" applyAlignment="1">
      <alignment horizontal="center" vertical="center"/>
    </xf>
    <xf numFmtId="0" fontId="19" fillId="25" borderId="22" xfId="53" applyFont="1" applyFill="1" applyBorder="1" applyAlignment="1">
      <alignment horizontal="center" vertical="center"/>
    </xf>
    <xf numFmtId="0" fontId="19" fillId="25" borderId="10" xfId="53" applyFont="1" applyFill="1" applyBorder="1" applyAlignment="1">
      <alignment horizontal="center" vertical="center"/>
    </xf>
    <xf numFmtId="0" fontId="19" fillId="25" borderId="14" xfId="53" applyFont="1" applyFill="1" applyBorder="1" applyAlignment="1">
      <alignment horizontal="center" vertical="center"/>
    </xf>
    <xf numFmtId="0" fontId="18" fillId="25" borderId="18" xfId="53" applyFont="1" applyFill="1" applyBorder="1" applyAlignment="1">
      <alignment horizontal="center" vertical="center"/>
    </xf>
    <xf numFmtId="0" fontId="18" fillId="0" borderId="17" xfId="53" applyFont="1" applyBorder="1" applyAlignment="1">
      <alignment horizontal="left" vertical="center"/>
    </xf>
    <xf numFmtId="0" fontId="19" fillId="28" borderId="17" xfId="53" applyFont="1" applyFill="1" applyBorder="1" applyAlignment="1">
      <alignment horizontal="center" vertical="center"/>
    </xf>
    <xf numFmtId="0" fontId="19" fillId="26" borderId="28" xfId="53" applyFont="1" applyFill="1" applyBorder="1" applyAlignment="1">
      <alignment horizontal="center" vertical="center"/>
    </xf>
    <xf numFmtId="0" fontId="19" fillId="26" borderId="11" xfId="53" applyFont="1" applyFill="1" applyBorder="1" applyAlignment="1">
      <alignment horizontal="center" vertical="center"/>
    </xf>
    <xf numFmtId="0" fontId="19" fillId="25" borderId="17" xfId="53" applyFont="1" applyFill="1" applyBorder="1" applyAlignment="1">
      <alignment horizontal="center" vertical="center"/>
    </xf>
    <xf numFmtId="0" fontId="19" fillId="25" borderId="28" xfId="53" applyFont="1" applyFill="1" applyBorder="1" applyAlignment="1">
      <alignment horizontal="center" vertical="center"/>
    </xf>
    <xf numFmtId="0" fontId="19" fillId="25" borderId="18" xfId="53" applyFont="1" applyFill="1" applyBorder="1" applyAlignment="1">
      <alignment horizontal="center" vertical="center"/>
    </xf>
    <xf numFmtId="0" fontId="19" fillId="0" borderId="20" xfId="53" applyFont="1" applyBorder="1" applyAlignment="1">
      <alignment horizontal="center" vertical="center"/>
    </xf>
    <xf numFmtId="0" fontId="19" fillId="26" borderId="0" xfId="53" applyFont="1" applyFill="1" applyBorder="1" applyAlignment="1">
      <alignment horizontal="center" vertical="center"/>
    </xf>
    <xf numFmtId="0" fontId="19" fillId="0" borderId="19" xfId="53" applyFont="1" applyBorder="1" applyAlignment="1">
      <alignment horizontal="left" vertical="center"/>
    </xf>
    <xf numFmtId="0" fontId="19" fillId="0" borderId="12" xfId="53" applyFont="1" applyBorder="1" applyAlignment="1">
      <alignment horizontal="center" vertical="center"/>
    </xf>
    <xf numFmtId="0" fontId="19" fillId="0" borderId="21" xfId="53" applyFont="1" applyBorder="1" applyAlignment="1">
      <alignment horizontal="center" vertical="center"/>
    </xf>
    <xf numFmtId="0" fontId="19" fillId="28" borderId="19" xfId="53" applyFont="1" applyFill="1" applyBorder="1" applyAlignment="1">
      <alignment horizontal="center" vertical="center"/>
    </xf>
    <xf numFmtId="0" fontId="19" fillId="26" borderId="47" xfId="53" applyFont="1" applyFill="1" applyBorder="1" applyAlignment="1">
      <alignment horizontal="center" vertical="center"/>
    </xf>
    <xf numFmtId="0" fontId="18" fillId="0" borderId="52" xfId="53" applyFont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/>
    <xf numFmtId="0" fontId="38" fillId="0" borderId="0" xfId="0" applyFont="1" applyAlignment="1">
      <alignment vertical="center"/>
    </xf>
    <xf numFmtId="0" fontId="40" fillId="0" borderId="0" xfId="0" applyFont="1" applyAlignment="1"/>
    <xf numFmtId="0" fontId="41" fillId="0" borderId="0" xfId="0" applyFont="1" applyAlignment="1"/>
    <xf numFmtId="0" fontId="41" fillId="0" borderId="0" xfId="0" applyFont="1"/>
    <xf numFmtId="0" fontId="40" fillId="24" borderId="50" xfId="0" applyFont="1" applyFill="1" applyBorder="1" applyAlignment="1">
      <alignment horizontal="center" vertical="center" wrapText="1"/>
    </xf>
    <xf numFmtId="0" fontId="40" fillId="24" borderId="40" xfId="0" applyFont="1" applyFill="1" applyBorder="1" applyAlignment="1">
      <alignment horizontal="center" vertical="center" wrapText="1"/>
    </xf>
    <xf numFmtId="0" fontId="37" fillId="0" borderId="34" xfId="0" applyFont="1" applyBorder="1" applyAlignment="1"/>
    <xf numFmtId="0" fontId="37" fillId="0" borderId="29" xfId="0" applyFont="1" applyBorder="1" applyAlignment="1">
      <alignment horizontal="center"/>
    </xf>
    <xf numFmtId="1" fontId="37" fillId="0" borderId="29" xfId="0" applyNumberFormat="1" applyFont="1" applyBorder="1"/>
    <xf numFmtId="1" fontId="37" fillId="26" borderId="29" xfId="0" applyNumberFormat="1" applyFont="1" applyFill="1" applyBorder="1"/>
    <xf numFmtId="1" fontId="37" fillId="0" borderId="29" xfId="0" applyNumberFormat="1" applyFont="1" applyFill="1" applyBorder="1"/>
    <xf numFmtId="0" fontId="42" fillId="0" borderId="0" xfId="0" applyFont="1"/>
    <xf numFmtId="0" fontId="37" fillId="0" borderId="17" xfId="0" applyFont="1" applyBorder="1" applyAlignment="1"/>
    <xf numFmtId="0" fontId="37" fillId="0" borderId="11" xfId="0" applyFont="1" applyBorder="1" applyAlignment="1">
      <alignment horizontal="center"/>
    </xf>
    <xf numFmtId="1" fontId="37" fillId="0" borderId="11" xfId="0" applyNumberFormat="1" applyFont="1" applyBorder="1"/>
    <xf numFmtId="1" fontId="37" fillId="26" borderId="11" xfId="0" applyNumberFormat="1" applyFont="1" applyFill="1" applyBorder="1"/>
    <xf numFmtId="1" fontId="37" fillId="0" borderId="11" xfId="0" applyNumberFormat="1" applyFont="1" applyFill="1" applyBorder="1"/>
    <xf numFmtId="0" fontId="37" fillId="0" borderId="17" xfId="0" applyFont="1" applyFill="1" applyBorder="1" applyAlignment="1"/>
    <xf numFmtId="1" fontId="43" fillId="0" borderId="11" xfId="0" applyNumberFormat="1" applyFont="1" applyBorder="1"/>
    <xf numFmtId="0" fontId="41" fillId="0" borderId="0" xfId="0" applyFont="1" applyFill="1"/>
    <xf numFmtId="0" fontId="37" fillId="0" borderId="19" xfId="0" applyFont="1" applyFill="1" applyBorder="1"/>
    <xf numFmtId="0" fontId="37" fillId="0" borderId="12" xfId="0" applyFont="1" applyBorder="1"/>
    <xf numFmtId="0" fontId="37" fillId="26" borderId="12" xfId="0" applyFont="1" applyFill="1" applyBorder="1"/>
    <xf numFmtId="0" fontId="37" fillId="0" borderId="12" xfId="0" applyFont="1" applyFill="1" applyBorder="1"/>
    <xf numFmtId="0" fontId="19" fillId="28" borderId="26" xfId="53" applyFont="1" applyFill="1" applyBorder="1" applyAlignment="1">
      <alignment horizontal="center" vertical="center"/>
    </xf>
    <xf numFmtId="0" fontId="19" fillId="28" borderId="23" xfId="53" applyFont="1" applyFill="1" applyBorder="1" applyAlignment="1">
      <alignment horizontal="center" vertical="center"/>
    </xf>
    <xf numFmtId="0" fontId="19" fillId="0" borderId="20" xfId="53" quotePrefix="1" applyFont="1" applyBorder="1" applyAlignment="1">
      <alignment horizontal="center" vertical="center" wrapText="1"/>
    </xf>
    <xf numFmtId="1" fontId="42" fillId="0" borderId="0" xfId="0" applyNumberFormat="1" applyFont="1"/>
    <xf numFmtId="0" fontId="19" fillId="0" borderId="68" xfId="53" applyFont="1" applyBorder="1" applyAlignment="1">
      <alignment horizontal="center" vertical="center"/>
    </xf>
    <xf numFmtId="0" fontId="19" fillId="0" borderId="69" xfId="53" applyFont="1" applyBorder="1" applyAlignment="1">
      <alignment horizontal="center" vertical="center"/>
    </xf>
    <xf numFmtId="0" fontId="19" fillId="0" borderId="17" xfId="53" applyFont="1" applyBorder="1" applyAlignment="1">
      <alignment horizontal="right" vertical="center"/>
    </xf>
    <xf numFmtId="0" fontId="19" fillId="0" borderId="69" xfId="53" quotePrefix="1" applyFont="1" applyBorder="1" applyAlignment="1">
      <alignment horizontal="center" vertical="center" wrapText="1"/>
    </xf>
    <xf numFmtId="0" fontId="19" fillId="0" borderId="17" xfId="53" quotePrefix="1" applyFont="1" applyBorder="1" applyAlignment="1">
      <alignment horizontal="right" vertical="center" wrapText="1"/>
    </xf>
    <xf numFmtId="3" fontId="19" fillId="0" borderId="20" xfId="55" applyNumberFormat="1" applyFont="1" applyBorder="1" applyAlignment="1">
      <alignment horizontal="right" vertical="center"/>
    </xf>
    <xf numFmtId="3" fontId="19" fillId="0" borderId="70" xfId="53" applyNumberFormat="1" applyFont="1" applyBorder="1" applyAlignment="1">
      <alignment horizontal="center" vertical="center"/>
    </xf>
    <xf numFmtId="4" fontId="19" fillId="0" borderId="70" xfId="53" applyNumberFormat="1" applyFont="1" applyBorder="1" applyAlignment="1">
      <alignment horizontal="center" vertical="center"/>
    </xf>
    <xf numFmtId="3" fontId="19" fillId="0" borderId="20" xfId="53" applyNumberFormat="1" applyFont="1" applyBorder="1" applyAlignment="1">
      <alignment horizontal="right" vertical="center"/>
    </xf>
    <xf numFmtId="3" fontId="19" fillId="0" borderId="69" xfId="53" applyNumberFormat="1" applyFont="1" applyBorder="1" applyAlignment="1">
      <alignment horizontal="center" vertical="center"/>
    </xf>
    <xf numFmtId="3" fontId="19" fillId="0" borderId="17" xfId="53" applyNumberFormat="1" applyFont="1" applyBorder="1" applyAlignment="1">
      <alignment horizontal="right" vertical="center"/>
    </xf>
    <xf numFmtId="166" fontId="19" fillId="0" borderId="20" xfId="53" quotePrefix="1" applyNumberFormat="1" applyFont="1" applyBorder="1" applyAlignment="1">
      <alignment horizontal="right" vertical="center" wrapText="1"/>
    </xf>
    <xf numFmtId="166" fontId="19" fillId="0" borderId="69" xfId="53" applyNumberFormat="1" applyFont="1" applyBorder="1" applyAlignment="1">
      <alignment horizontal="right" vertical="center"/>
    </xf>
    <xf numFmtId="167" fontId="19" fillId="0" borderId="69" xfId="53" applyNumberFormat="1" applyFont="1" applyBorder="1" applyAlignment="1">
      <alignment horizontal="right" vertical="center"/>
    </xf>
    <xf numFmtId="166" fontId="19" fillId="0" borderId="17" xfId="53" applyNumberFormat="1" applyFont="1" applyBorder="1" applyAlignment="1">
      <alignment horizontal="right" vertical="center" wrapText="1"/>
    </xf>
    <xf numFmtId="0" fontId="19" fillId="0" borderId="71" xfId="53" applyFont="1" applyBorder="1" applyAlignment="1">
      <alignment horizontal="center" vertical="center"/>
    </xf>
    <xf numFmtId="0" fontId="19" fillId="0" borderId="19" xfId="53" applyFont="1" applyBorder="1" applyAlignment="1">
      <alignment horizontal="center" vertical="center"/>
    </xf>
    <xf numFmtId="0" fontId="19" fillId="26" borderId="25" xfId="53" applyFont="1" applyFill="1" applyBorder="1" applyAlignment="1">
      <alignment horizontal="center" vertical="center"/>
    </xf>
    <xf numFmtId="0" fontId="19" fillId="28" borderId="18" xfId="53" applyFont="1" applyFill="1" applyBorder="1" applyAlignment="1">
      <alignment horizontal="center" vertical="center"/>
    </xf>
    <xf numFmtId="0" fontId="19" fillId="26" borderId="29" xfId="53" applyFont="1" applyFill="1" applyBorder="1" applyAlignment="1">
      <alignment horizontal="center" vertical="center"/>
    </xf>
    <xf numFmtId="0" fontId="11" fillId="0" borderId="0" xfId="53"/>
    <xf numFmtId="0" fontId="48" fillId="0" borderId="0" xfId="53" applyFont="1"/>
    <xf numFmtId="0" fontId="48" fillId="0" borderId="0" xfId="53" applyFont="1" applyAlignment="1">
      <alignment horizontal="center" vertical="center"/>
    </xf>
    <xf numFmtId="0" fontId="49" fillId="0" borderId="0" xfId="53" applyFont="1" applyFill="1" applyAlignment="1">
      <alignment vertical="center"/>
    </xf>
    <xf numFmtId="0" fontId="49" fillId="0" borderId="0" xfId="53" applyFont="1" applyAlignment="1">
      <alignment horizontal="center" vertical="center"/>
    </xf>
    <xf numFmtId="10" fontId="49" fillId="0" borderId="0" xfId="53" applyNumberFormat="1" applyFont="1" applyAlignment="1">
      <alignment horizontal="center" vertical="center"/>
    </xf>
    <xf numFmtId="0" fontId="50" fillId="0" borderId="0" xfId="53" applyFont="1" applyAlignment="1">
      <alignment vertical="center" wrapText="1"/>
    </xf>
    <xf numFmtId="0" fontId="52" fillId="0" borderId="0" xfId="53" applyFont="1" applyAlignment="1">
      <alignment vertical="center"/>
    </xf>
    <xf numFmtId="0" fontId="49" fillId="0" borderId="0" xfId="53" applyFont="1" applyFill="1" applyAlignment="1">
      <alignment horizontal="center" vertical="center"/>
    </xf>
    <xf numFmtId="10" fontId="56" fillId="29" borderId="73" xfId="53" applyNumberFormat="1" applyFont="1" applyFill="1" applyBorder="1" applyAlignment="1">
      <alignment horizontal="center" vertical="center" wrapText="1"/>
    </xf>
    <xf numFmtId="0" fontId="48" fillId="0" borderId="0" xfId="53" applyFont="1" applyFill="1" applyBorder="1" applyAlignment="1">
      <alignment horizontal="center" vertical="center"/>
    </xf>
    <xf numFmtId="0" fontId="55" fillId="0" borderId="0" xfId="53" applyFont="1" applyFill="1" applyBorder="1" applyAlignment="1">
      <alignment horizontal="center" vertical="center"/>
    </xf>
    <xf numFmtId="10" fontId="55" fillId="0" borderId="0" xfId="53" applyNumberFormat="1" applyFont="1" applyFill="1" applyBorder="1" applyAlignment="1">
      <alignment horizontal="center" vertical="center" wrapText="1"/>
    </xf>
    <xf numFmtId="0" fontId="56" fillId="30" borderId="0" xfId="53" applyFont="1" applyFill="1" applyBorder="1" applyAlignment="1">
      <alignment horizontal="center" vertical="center"/>
    </xf>
    <xf numFmtId="0" fontId="54" fillId="30" borderId="0" xfId="53" applyFont="1" applyFill="1" applyBorder="1" applyAlignment="1">
      <alignment horizontal="center" vertical="center"/>
    </xf>
    <xf numFmtId="10" fontId="55" fillId="30" borderId="0" xfId="53" applyNumberFormat="1" applyFont="1" applyFill="1" applyBorder="1" applyAlignment="1">
      <alignment horizontal="center" vertical="center" wrapText="1"/>
    </xf>
    <xf numFmtId="0" fontId="49" fillId="31" borderId="73" xfId="53" applyFont="1" applyFill="1" applyBorder="1" applyAlignment="1">
      <alignment horizontal="left" vertical="center" wrapText="1"/>
    </xf>
    <xf numFmtId="0" fontId="49" fillId="0" borderId="73" xfId="53" applyFont="1" applyBorder="1" applyAlignment="1">
      <alignment horizontal="left" vertical="center" wrapText="1"/>
    </xf>
    <xf numFmtId="0" fontId="49" fillId="0" borderId="73" xfId="53" applyFont="1" applyFill="1" applyBorder="1" applyAlignment="1">
      <alignment horizontal="left" vertical="center" wrapText="1"/>
    </xf>
    <xf numFmtId="0" fontId="49" fillId="33" borderId="73" xfId="53" applyFont="1" applyFill="1" applyBorder="1" applyAlignment="1">
      <alignment horizontal="left" vertical="center" wrapText="1"/>
    </xf>
    <xf numFmtId="0" fontId="49" fillId="0" borderId="0" xfId="53" applyFont="1" applyBorder="1" applyAlignment="1">
      <alignment horizontal="center" vertical="center" wrapText="1"/>
    </xf>
    <xf numFmtId="0" fontId="49" fillId="0" borderId="0" xfId="53" applyNumberFormat="1" applyFont="1" applyBorder="1" applyAlignment="1">
      <alignment horizontal="center" vertical="center"/>
    </xf>
    <xf numFmtId="0" fontId="56" fillId="30" borderId="0" xfId="53" applyFont="1" applyFill="1" applyBorder="1" applyAlignment="1">
      <alignment horizontal="center" vertical="center" wrapText="1"/>
    </xf>
    <xf numFmtId="0" fontId="55" fillId="30" borderId="0" xfId="53" applyNumberFormat="1" applyFont="1" applyFill="1" applyBorder="1" applyAlignment="1">
      <alignment horizontal="center" vertical="center"/>
    </xf>
    <xf numFmtId="0" fontId="55" fillId="30" borderId="0" xfId="53" applyNumberFormat="1" applyFont="1" applyFill="1" applyBorder="1" applyAlignment="1">
      <alignment horizontal="center" vertical="center" wrapText="1"/>
    </xf>
    <xf numFmtId="0" fontId="49" fillId="0" borderId="0" xfId="53" applyFont="1" applyFill="1" applyBorder="1" applyAlignment="1">
      <alignment horizontal="center" vertical="center" wrapText="1"/>
    </xf>
    <xf numFmtId="0" fontId="49" fillId="0" borderId="0" xfId="53" applyNumberFormat="1" applyFont="1" applyFill="1" applyBorder="1" applyAlignment="1">
      <alignment horizontal="center" vertical="center"/>
    </xf>
    <xf numFmtId="0" fontId="49" fillId="0" borderId="0" xfId="59" applyNumberFormat="1" applyFont="1" applyFill="1" applyBorder="1" applyAlignment="1" applyProtection="1">
      <alignment horizontal="center" vertical="center"/>
    </xf>
    <xf numFmtId="0" fontId="48" fillId="0" borderId="0" xfId="59" applyNumberFormat="1" applyFont="1" applyFill="1" applyBorder="1" applyAlignment="1" applyProtection="1">
      <alignment horizontal="center" vertical="center"/>
    </xf>
    <xf numFmtId="0" fontId="49" fillId="0" borderId="0" xfId="53" applyNumberFormat="1" applyFont="1" applyFill="1" applyAlignment="1">
      <alignment vertical="center"/>
    </xf>
    <xf numFmtId="0" fontId="36" fillId="30" borderId="0" xfId="53" applyFont="1" applyFill="1" applyBorder="1" applyAlignment="1">
      <alignment horizontal="center" vertical="center" wrapText="1"/>
    </xf>
    <xf numFmtId="0" fontId="57" fillId="30" borderId="0" xfId="53" applyNumberFormat="1" applyFont="1" applyFill="1" applyBorder="1" applyAlignment="1">
      <alignment horizontal="center" vertical="center"/>
    </xf>
    <xf numFmtId="0" fontId="58" fillId="30" borderId="0" xfId="59" applyNumberFormat="1" applyFont="1" applyFill="1" applyBorder="1" applyAlignment="1" applyProtection="1">
      <alignment horizontal="center" vertical="center"/>
    </xf>
    <xf numFmtId="0" fontId="49" fillId="0" borderId="0" xfId="53" applyFont="1" applyAlignment="1">
      <alignment horizontal="center" vertical="center" wrapText="1"/>
    </xf>
    <xf numFmtId="0" fontId="49" fillId="0" borderId="0" xfId="53" applyNumberFormat="1" applyFont="1" applyAlignment="1">
      <alignment horizontal="center" vertical="center"/>
    </xf>
    <xf numFmtId="0" fontId="48" fillId="0" borderId="73" xfId="53" applyFont="1" applyFill="1" applyBorder="1" applyAlignment="1">
      <alignment horizontal="left" vertical="center" wrapText="1"/>
    </xf>
    <xf numFmtId="0" fontId="49" fillId="30" borderId="0" xfId="59" applyNumberFormat="1" applyFont="1" applyFill="1" applyBorder="1" applyAlignment="1" applyProtection="1">
      <alignment horizontal="center" vertical="center"/>
    </xf>
    <xf numFmtId="0" fontId="49" fillId="0" borderId="0" xfId="53" applyFont="1" applyFill="1" applyBorder="1" applyAlignment="1">
      <alignment vertical="center"/>
    </xf>
    <xf numFmtId="0" fontId="11" fillId="0" borderId="0" xfId="53" applyFill="1"/>
    <xf numFmtId="0" fontId="49" fillId="33" borderId="0" xfId="53" applyFont="1" applyFill="1" applyBorder="1" applyAlignment="1">
      <alignment horizontal="center" vertical="center" wrapText="1"/>
    </xf>
    <xf numFmtId="0" fontId="49" fillId="33" borderId="0" xfId="53" applyNumberFormat="1" applyFont="1" applyFill="1" applyBorder="1" applyAlignment="1">
      <alignment horizontal="center" vertical="center"/>
    </xf>
    <xf numFmtId="0" fontId="49" fillId="33" borderId="0" xfId="59" applyNumberFormat="1" applyFont="1" applyFill="1" applyBorder="1" applyAlignment="1" applyProtection="1">
      <alignment horizontal="center" vertical="center"/>
    </xf>
    <xf numFmtId="0" fontId="49" fillId="0" borderId="0" xfId="53" applyFont="1" applyFill="1" applyAlignment="1">
      <alignment horizontal="center" vertical="center" wrapText="1"/>
    </xf>
    <xf numFmtId="0" fontId="49" fillId="0" borderId="0" xfId="53" applyNumberFormat="1" applyFont="1" applyFill="1" applyAlignment="1">
      <alignment horizontal="center" vertical="center"/>
    </xf>
    <xf numFmtId="0" fontId="49" fillId="33" borderId="0" xfId="53" applyFont="1" applyFill="1" applyBorder="1" applyAlignment="1">
      <alignment vertical="center"/>
    </xf>
    <xf numFmtId="10" fontId="11" fillId="0" borderId="0" xfId="53" applyNumberFormat="1"/>
    <xf numFmtId="10" fontId="11" fillId="0" borderId="0" xfId="53" applyNumberFormat="1" applyAlignment="1">
      <alignment horizontal="center" vertical="center"/>
    </xf>
    <xf numFmtId="1" fontId="18" fillId="24" borderId="65" xfId="54" applyNumberFormat="1" applyFont="1" applyFill="1" applyBorder="1" applyAlignment="1">
      <alignment horizontal="center" vertical="center"/>
    </xf>
    <xf numFmtId="1" fontId="18" fillId="24" borderId="72" xfId="54" applyNumberFormat="1" applyFont="1" applyFill="1" applyBorder="1" applyAlignment="1">
      <alignment horizontal="center" vertical="center"/>
    </xf>
    <xf numFmtId="0" fontId="18" fillId="24" borderId="74" xfId="53" applyFont="1" applyFill="1" applyBorder="1" applyAlignment="1">
      <alignment horizontal="center" vertical="center" wrapText="1"/>
    </xf>
    <xf numFmtId="0" fontId="18" fillId="24" borderId="44" xfId="53" applyFont="1" applyFill="1" applyBorder="1" applyAlignment="1">
      <alignment horizontal="center" vertical="center" wrapText="1"/>
    </xf>
    <xf numFmtId="0" fontId="18" fillId="24" borderId="45" xfId="53" applyFont="1" applyFill="1" applyBorder="1" applyAlignment="1">
      <alignment horizontal="center" vertical="center" wrapText="1"/>
    </xf>
    <xf numFmtId="0" fontId="18" fillId="24" borderId="40" xfId="53" applyFont="1" applyFill="1" applyBorder="1" applyAlignment="1">
      <alignment horizontal="center" vertical="center" wrapText="1"/>
    </xf>
    <xf numFmtId="0" fontId="19" fillId="0" borderId="11" xfId="53" applyFont="1" applyBorder="1" applyAlignment="1">
      <alignment horizontal="center" vertical="center" wrapText="1"/>
    </xf>
    <xf numFmtId="0" fontId="19" fillId="0" borderId="20" xfId="53" applyFont="1" applyBorder="1" applyAlignment="1">
      <alignment horizontal="center" vertical="center" wrapText="1"/>
    </xf>
    <xf numFmtId="0" fontId="19" fillId="0" borderId="22" xfId="53" quotePrefix="1" applyFont="1" applyBorder="1" applyAlignment="1">
      <alignment horizontal="right" vertical="center" wrapText="1"/>
    </xf>
    <xf numFmtId="0" fontId="19" fillId="26" borderId="10" xfId="53" quotePrefix="1" applyFont="1" applyFill="1" applyBorder="1" applyAlignment="1">
      <alignment horizontal="right" vertical="center" wrapText="1"/>
    </xf>
    <xf numFmtId="0" fontId="19" fillId="28" borderId="14" xfId="53" quotePrefix="1" applyFont="1" applyFill="1" applyBorder="1" applyAlignment="1">
      <alignment horizontal="center" vertical="center" wrapText="1"/>
    </xf>
    <xf numFmtId="4" fontId="19" fillId="0" borderId="17" xfId="55" applyNumberFormat="1" applyFont="1" applyBorder="1" applyAlignment="1">
      <alignment horizontal="right" vertical="center"/>
    </xf>
    <xf numFmtId="0" fontId="19" fillId="25" borderId="61" xfId="53" applyFont="1" applyFill="1" applyBorder="1" applyAlignment="1">
      <alignment horizontal="center" vertical="center"/>
    </xf>
    <xf numFmtId="0" fontId="19" fillId="25" borderId="56" xfId="53" applyFont="1" applyFill="1" applyBorder="1" applyAlignment="1">
      <alignment horizontal="center" vertical="center"/>
    </xf>
    <xf numFmtId="0" fontId="59" fillId="0" borderId="0" xfId="53" applyFont="1" applyAlignment="1">
      <alignment horizontal="center"/>
    </xf>
    <xf numFmtId="0" fontId="59" fillId="30" borderId="0" xfId="53" applyFont="1" applyFill="1" applyAlignment="1">
      <alignment horizontal="center"/>
    </xf>
    <xf numFmtId="1" fontId="60" fillId="0" borderId="73" xfId="53" applyNumberFormat="1" applyFont="1" applyFill="1" applyBorder="1" applyAlignment="1">
      <alignment horizontal="center"/>
    </xf>
    <xf numFmtId="0" fontId="61" fillId="0" borderId="0" xfId="53" applyFont="1" applyFill="1" applyAlignment="1">
      <alignment horizontal="center" vertical="center"/>
    </xf>
    <xf numFmtId="1" fontId="60" fillId="0" borderId="73" xfId="53" applyNumberFormat="1" applyFont="1" applyFill="1" applyBorder="1" applyAlignment="1">
      <alignment horizontal="center" vertical="center"/>
    </xf>
    <xf numFmtId="0" fontId="62" fillId="0" borderId="77" xfId="53" applyFont="1" applyBorder="1" applyAlignment="1">
      <alignment horizontal="left" vertical="center" wrapText="1"/>
    </xf>
    <xf numFmtId="173" fontId="62" fillId="0" borderId="78" xfId="53" applyNumberFormat="1" applyFont="1" applyBorder="1" applyAlignment="1">
      <alignment horizontal="center" vertical="center" wrapText="1"/>
    </xf>
    <xf numFmtId="0" fontId="63" fillId="0" borderId="0" xfId="53" applyFont="1" applyAlignment="1">
      <alignment horizontal="center"/>
    </xf>
    <xf numFmtId="0" fontId="38" fillId="0" borderId="0" xfId="0" applyFont="1" applyAlignment="1"/>
    <xf numFmtId="0" fontId="2" fillId="0" borderId="0" xfId="68"/>
    <xf numFmtId="0" fontId="45" fillId="25" borderId="11" xfId="68" applyFont="1" applyFill="1" applyBorder="1" applyAlignment="1">
      <alignment horizontal="center" vertical="center" wrapText="1"/>
    </xf>
    <xf numFmtId="0" fontId="45" fillId="25" borderId="15" xfId="68" applyFont="1" applyFill="1" applyBorder="1" applyAlignment="1">
      <alignment horizontal="center" vertical="center" wrapText="1"/>
    </xf>
    <xf numFmtId="0" fontId="44" fillId="0" borderId="11" xfId="68" applyFont="1" applyFill="1" applyBorder="1"/>
    <xf numFmtId="0" fontId="45" fillId="0" borderId="11" xfId="68" applyFont="1" applyFill="1" applyBorder="1" applyAlignment="1">
      <alignment horizontal="center"/>
    </xf>
    <xf numFmtId="3" fontId="45" fillId="0" borderId="11" xfId="68" applyNumberFormat="1" applyFont="1" applyFill="1" applyBorder="1" applyAlignment="1">
      <alignment horizontal="center"/>
    </xf>
    <xf numFmtId="170" fontId="45" fillId="0" borderId="11" xfId="68" applyNumberFormat="1" applyFont="1" applyFill="1" applyBorder="1" applyAlignment="1">
      <alignment horizontal="center"/>
    </xf>
    <xf numFmtId="171" fontId="45" fillId="0" borderId="0" xfId="68" applyNumberFormat="1" applyFont="1" applyAlignment="1">
      <alignment horizontal="center"/>
    </xf>
    <xf numFmtId="171" fontId="45" fillId="0" borderId="11" xfId="68" applyNumberFormat="1" applyFont="1" applyFill="1" applyBorder="1" applyAlignment="1">
      <alignment horizontal="center"/>
    </xf>
    <xf numFmtId="168" fontId="45" fillId="0" borderId="11" xfId="68" applyNumberFormat="1" applyFont="1" applyFill="1" applyBorder="1" applyAlignment="1">
      <alignment horizontal="center"/>
    </xf>
    <xf numFmtId="168" fontId="45" fillId="0" borderId="11" xfId="68" applyNumberFormat="1" applyFont="1" applyBorder="1" applyAlignment="1"/>
    <xf numFmtId="168" fontId="45" fillId="0" borderId="0" xfId="68" applyNumberFormat="1" applyFont="1" applyFill="1" applyBorder="1" applyAlignment="1">
      <alignment horizontal="center"/>
    </xf>
    <xf numFmtId="0" fontId="2" fillId="0" borderId="0" xfId="68" applyBorder="1"/>
    <xf numFmtId="168" fontId="45" fillId="0" borderId="0" xfId="68" applyNumberFormat="1" applyFont="1" applyAlignment="1">
      <alignment horizontal="center"/>
    </xf>
    <xf numFmtId="168" fontId="45" fillId="0" borderId="11" xfId="68" applyNumberFormat="1" applyFont="1" applyBorder="1" applyAlignment="1">
      <alignment horizontal="center"/>
    </xf>
    <xf numFmtId="0" fontId="46" fillId="27" borderId="11" xfId="68" applyFont="1" applyFill="1" applyBorder="1"/>
    <xf numFmtId="0" fontId="45" fillId="27" borderId="11" xfId="68" applyFont="1" applyFill="1" applyBorder="1" applyAlignment="1">
      <alignment horizontal="center"/>
    </xf>
    <xf numFmtId="3" fontId="45" fillId="27" borderId="11" xfId="68" applyNumberFormat="1" applyFont="1" applyFill="1" applyBorder="1" applyAlignment="1">
      <alignment horizontal="center"/>
    </xf>
    <xf numFmtId="0" fontId="44" fillId="27" borderId="11" xfId="68" applyFont="1" applyFill="1" applyBorder="1" applyAlignment="1">
      <alignment horizontal="center"/>
    </xf>
    <xf numFmtId="172" fontId="45" fillId="0" borderId="11" xfId="68" applyNumberFormat="1" applyFont="1" applyFill="1" applyBorder="1" applyAlignment="1">
      <alignment horizontal="center"/>
    </xf>
    <xf numFmtId="171" fontId="44" fillId="27" borderId="11" xfId="68" applyNumberFormat="1" applyFont="1" applyFill="1" applyBorder="1" applyAlignment="1">
      <alignment horizontal="center"/>
    </xf>
    <xf numFmtId="4" fontId="45" fillId="0" borderId="11" xfId="68" applyNumberFormat="1" applyFont="1" applyFill="1" applyBorder="1" applyAlignment="1">
      <alignment horizontal="center"/>
    </xf>
    <xf numFmtId="169" fontId="45" fillId="0" borderId="11" xfId="68" applyNumberFormat="1" applyFont="1" applyFill="1" applyBorder="1" applyAlignment="1">
      <alignment horizontal="center"/>
    </xf>
    <xf numFmtId="0" fontId="45" fillId="0" borderId="11" xfId="68" applyNumberFormat="1" applyFont="1" applyFill="1" applyBorder="1" applyAlignment="1">
      <alignment horizontal="center"/>
    </xf>
    <xf numFmtId="1" fontId="45" fillId="0" borderId="11" xfId="68" applyNumberFormat="1" applyFont="1" applyFill="1" applyBorder="1" applyAlignment="1">
      <alignment horizontal="center"/>
    </xf>
    <xf numFmtId="0" fontId="44" fillId="0" borderId="11" xfId="68" applyFont="1" applyFill="1" applyBorder="1" applyAlignment="1">
      <alignment horizontal="center"/>
    </xf>
    <xf numFmtId="3" fontId="44" fillId="0" borderId="11" xfId="68" applyNumberFormat="1" applyFont="1" applyFill="1" applyBorder="1" applyAlignment="1">
      <alignment horizontal="center"/>
    </xf>
    <xf numFmtId="168" fontId="44" fillId="0" borderId="11" xfId="68" applyNumberFormat="1" applyFont="1" applyFill="1" applyBorder="1" applyAlignment="1">
      <alignment horizontal="center"/>
    </xf>
    <xf numFmtId="168" fontId="44" fillId="0" borderId="11" xfId="68" applyNumberFormat="1" applyFont="1" applyFill="1" applyBorder="1" applyAlignment="1"/>
    <xf numFmtId="168" fontId="45" fillId="0" borderId="11" xfId="68" applyNumberFormat="1" applyFont="1" applyFill="1" applyBorder="1" applyAlignment="1"/>
    <xf numFmtId="3" fontId="2" fillId="0" borderId="0" xfId="68" applyNumberFormat="1"/>
    <xf numFmtId="0" fontId="45" fillId="27" borderId="11" xfId="68" applyFont="1" applyFill="1" applyBorder="1"/>
    <xf numFmtId="170" fontId="45" fillId="27" borderId="11" xfId="68" applyNumberFormat="1" applyFont="1" applyFill="1" applyBorder="1" applyAlignment="1">
      <alignment horizontal="center"/>
    </xf>
    <xf numFmtId="168" fontId="45" fillId="27" borderId="11" xfId="68" applyNumberFormat="1" applyFont="1" applyFill="1" applyBorder="1" applyAlignment="1">
      <alignment horizontal="center"/>
    </xf>
    <xf numFmtId="0" fontId="45" fillId="27" borderId="20" xfId="68" applyFont="1" applyFill="1" applyBorder="1" applyAlignment="1">
      <alignment horizontal="center"/>
    </xf>
    <xf numFmtId="0" fontId="44" fillId="0" borderId="11" xfId="68" applyNumberFormat="1" applyFont="1" applyFill="1" applyBorder="1" applyAlignment="1">
      <alignment horizontal="center"/>
    </xf>
    <xf numFmtId="3" fontId="44" fillId="0" borderId="20" xfId="68" applyNumberFormat="1" applyFont="1" applyFill="1" applyBorder="1" applyAlignment="1">
      <alignment horizontal="center"/>
    </xf>
    <xf numFmtId="3" fontId="45" fillId="27" borderId="20" xfId="68" applyNumberFormat="1" applyFont="1" applyFill="1" applyBorder="1" applyAlignment="1">
      <alignment horizontal="center"/>
    </xf>
    <xf numFmtId="3" fontId="45" fillId="0" borderId="20" xfId="68" applyNumberFormat="1" applyFont="1" applyFill="1" applyBorder="1" applyAlignment="1">
      <alignment horizontal="center"/>
    </xf>
    <xf numFmtId="9" fontId="45" fillId="0" borderId="11" xfId="69" applyFont="1" applyFill="1" applyBorder="1" applyAlignment="1">
      <alignment horizontal="center"/>
    </xf>
    <xf numFmtId="9" fontId="45" fillId="0" borderId="11" xfId="69" applyNumberFormat="1" applyFont="1" applyFill="1" applyBorder="1" applyAlignment="1">
      <alignment horizontal="center"/>
    </xf>
    <xf numFmtId="168" fontId="2" fillId="0" borderId="0" xfId="68" applyNumberFormat="1"/>
    <xf numFmtId="2" fontId="49" fillId="31" borderId="73" xfId="53" applyNumberFormat="1" applyFont="1" applyFill="1" applyBorder="1" applyAlignment="1">
      <alignment horizontal="center" vertical="center"/>
    </xf>
    <xf numFmtId="2" fontId="48" fillId="31" borderId="73" xfId="53" applyNumberFormat="1" applyFont="1" applyFill="1" applyBorder="1" applyAlignment="1">
      <alignment horizontal="center" vertical="center"/>
    </xf>
    <xf numFmtId="2" fontId="48" fillId="32" borderId="73" xfId="53" applyNumberFormat="1" applyFont="1" applyFill="1" applyBorder="1" applyAlignment="1">
      <alignment horizontal="center" vertical="center"/>
    </xf>
    <xf numFmtId="2" fontId="49" fillId="0" borderId="73" xfId="53" applyNumberFormat="1" applyFont="1" applyBorder="1" applyAlignment="1">
      <alignment horizontal="center" vertical="center"/>
    </xf>
    <xf numFmtId="2" fontId="49" fillId="0" borderId="73" xfId="58" applyNumberFormat="1" applyFont="1" applyFill="1" applyBorder="1" applyAlignment="1">
      <alignment horizontal="center" vertical="center"/>
    </xf>
    <xf numFmtId="2" fontId="48" fillId="0" borderId="73" xfId="53" applyNumberFormat="1" applyFont="1" applyFill="1" applyBorder="1" applyAlignment="1">
      <alignment horizontal="center" vertical="center"/>
    </xf>
    <xf numFmtId="2" fontId="49" fillId="0" borderId="73" xfId="58" applyNumberFormat="1" applyFont="1" applyBorder="1" applyAlignment="1">
      <alignment horizontal="center" vertical="center"/>
    </xf>
    <xf numFmtId="2" fontId="49" fillId="31" borderId="73" xfId="59" applyNumberFormat="1" applyFont="1" applyFill="1" applyBorder="1" applyAlignment="1" applyProtection="1">
      <alignment horizontal="center" vertical="center"/>
    </xf>
    <xf numFmtId="2" fontId="49" fillId="0" borderId="73" xfId="59" applyNumberFormat="1" applyFont="1" applyFill="1" applyBorder="1" applyAlignment="1" applyProtection="1">
      <alignment horizontal="center" vertical="center"/>
    </xf>
    <xf numFmtId="2" fontId="49" fillId="0" borderId="73" xfId="53" applyNumberFormat="1" applyFont="1" applyFill="1" applyBorder="1" applyAlignment="1">
      <alignment horizontal="center" vertical="center"/>
    </xf>
    <xf numFmtId="2" fontId="48" fillId="0" borderId="73" xfId="59" applyNumberFormat="1" applyFont="1" applyFill="1" applyBorder="1" applyAlignment="1" applyProtection="1">
      <alignment horizontal="center" vertical="center"/>
    </xf>
    <xf numFmtId="2" fontId="48" fillId="31" borderId="73" xfId="59" applyNumberFormat="1" applyFont="1" applyFill="1" applyBorder="1" applyAlignment="1" applyProtection="1">
      <alignment horizontal="center" vertical="center"/>
    </xf>
    <xf numFmtId="2" fontId="48" fillId="33" borderId="73" xfId="59" applyNumberFormat="1" applyFont="1" applyFill="1" applyBorder="1" applyAlignment="1" applyProtection="1">
      <alignment horizontal="center" vertical="center"/>
    </xf>
    <xf numFmtId="2" fontId="49" fillId="33" borderId="73" xfId="53" applyNumberFormat="1" applyFont="1" applyFill="1" applyBorder="1" applyAlignment="1">
      <alignment horizontal="center" vertical="center"/>
    </xf>
    <xf numFmtId="2" fontId="49" fillId="33" borderId="73" xfId="59" applyNumberFormat="1" applyFont="1" applyFill="1" applyBorder="1" applyAlignment="1" applyProtection="1">
      <alignment horizontal="center" vertical="center"/>
    </xf>
    <xf numFmtId="2" fontId="49" fillId="0" borderId="0" xfId="53" applyNumberFormat="1" applyFont="1" applyFill="1" applyAlignment="1">
      <alignment vertical="center"/>
    </xf>
    <xf numFmtId="2" fontId="49" fillId="0" borderId="0" xfId="53" applyNumberFormat="1" applyFont="1" applyFill="1" applyAlignment="1">
      <alignment horizontal="center" vertical="center"/>
    </xf>
    <xf numFmtId="2" fontId="49" fillId="0" borderId="0" xfId="59" applyNumberFormat="1" applyFont="1" applyFill="1" applyBorder="1" applyAlignment="1" applyProtection="1">
      <alignment horizontal="center" vertical="center"/>
    </xf>
    <xf numFmtId="0" fontId="62" fillId="0" borderId="75" xfId="53" applyFont="1" applyBorder="1" applyAlignment="1">
      <alignment horizontal="center" vertical="center" wrapText="1"/>
    </xf>
    <xf numFmtId="0" fontId="62" fillId="0" borderId="76" xfId="53" applyFont="1" applyBorder="1" applyAlignment="1">
      <alignment horizontal="center" vertical="center" wrapText="1"/>
    </xf>
    <xf numFmtId="0" fontId="63" fillId="0" borderId="0" xfId="53" applyFont="1" applyAlignment="1">
      <alignment horizontal="center" vertical="center"/>
    </xf>
    <xf numFmtId="0" fontId="11" fillId="0" borderId="0" xfId="53" applyAlignment="1">
      <alignment vertical="center"/>
    </xf>
    <xf numFmtId="0" fontId="13" fillId="0" borderId="0" xfId="53" applyFont="1" applyAlignment="1">
      <alignment horizontal="center" vertical="center"/>
    </xf>
    <xf numFmtId="0" fontId="18" fillId="24" borderId="12" xfId="53" applyFont="1" applyFill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8" fillId="24" borderId="10" xfId="0" applyFont="1" applyFill="1" applyBorder="1" applyAlignment="1">
      <alignment horizontal="center"/>
    </xf>
    <xf numFmtId="0" fontId="18" fillId="24" borderId="14" xfId="0" applyFont="1" applyFill="1" applyBorder="1" applyAlignment="1">
      <alignment horizontal="center"/>
    </xf>
    <xf numFmtId="0" fontId="13" fillId="0" borderId="31" xfId="0" applyFont="1" applyBorder="1" applyAlignment="1"/>
    <xf numFmtId="0" fontId="13" fillId="0" borderId="0" xfId="0" applyFont="1" applyBorder="1" applyAlignment="1"/>
    <xf numFmtId="0" fontId="18" fillId="24" borderId="22" xfId="0" applyFont="1" applyFill="1" applyBorder="1" applyAlignment="1">
      <alignment horizontal="center" vertical="center"/>
    </xf>
    <xf numFmtId="0" fontId="18" fillId="24" borderId="17" xfId="0" applyFont="1" applyFill="1" applyBorder="1" applyAlignment="1">
      <alignment horizontal="center" vertical="center"/>
    </xf>
    <xf numFmtId="0" fontId="18" fillId="24" borderId="19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1" xfId="0" applyFont="1" applyFill="1" applyBorder="1" applyAlignment="1">
      <alignment horizontal="center" vertical="center" wrapText="1"/>
    </xf>
    <xf numFmtId="0" fontId="18" fillId="24" borderId="12" xfId="0" applyFont="1" applyFill="1" applyBorder="1" applyAlignment="1">
      <alignment horizontal="center" vertical="center" wrapText="1"/>
    </xf>
    <xf numFmtId="1" fontId="18" fillId="24" borderId="20" xfId="32" applyNumberFormat="1" applyFont="1" applyFill="1" applyBorder="1" applyAlignment="1">
      <alignment horizontal="center" vertical="center"/>
    </xf>
    <xf numFmtId="1" fontId="18" fillId="24" borderId="56" xfId="32" applyNumberFormat="1" applyFont="1" applyFill="1" applyBorder="1" applyAlignment="1">
      <alignment horizontal="center" vertical="center"/>
    </xf>
    <xf numFmtId="1" fontId="18" fillId="24" borderId="18" xfId="32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/>
    <xf numFmtId="0" fontId="38" fillId="24" borderId="22" xfId="0" applyFont="1" applyFill="1" applyBorder="1" applyAlignment="1">
      <alignment horizontal="center" vertical="center"/>
    </xf>
    <xf numFmtId="0" fontId="38" fillId="24" borderId="17" xfId="0" applyFont="1" applyFill="1" applyBorder="1" applyAlignment="1">
      <alignment horizontal="center" vertical="center"/>
    </xf>
    <xf numFmtId="0" fontId="38" fillId="24" borderId="19" xfId="0" applyFont="1" applyFill="1" applyBorder="1" applyAlignment="1">
      <alignment horizontal="center" vertical="center"/>
    </xf>
    <xf numFmtId="0" fontId="38" fillId="24" borderId="64" xfId="0" applyFont="1" applyFill="1" applyBorder="1" applyAlignment="1">
      <alignment horizontal="center" vertical="center" wrapText="1"/>
    </xf>
    <xf numFmtId="0" fontId="38" fillId="24" borderId="28" xfId="0" applyFont="1" applyFill="1" applyBorder="1" applyAlignment="1">
      <alignment horizontal="center" vertical="center" wrapText="1"/>
    </xf>
    <xf numFmtId="0" fontId="38" fillId="24" borderId="47" xfId="0" applyFont="1" applyFill="1" applyBorder="1" applyAlignment="1">
      <alignment horizontal="center" vertical="center" wrapText="1"/>
    </xf>
    <xf numFmtId="0" fontId="40" fillId="24" borderId="41" xfId="0" applyFont="1" applyFill="1" applyBorder="1" applyAlignment="1">
      <alignment horizontal="center" vertical="center" wrapText="1"/>
    </xf>
    <xf numFmtId="0" fontId="40" fillId="24" borderId="11" xfId="0" applyFont="1" applyFill="1" applyBorder="1" applyAlignment="1">
      <alignment horizontal="center" vertical="center" wrapText="1"/>
    </xf>
    <xf numFmtId="0" fontId="40" fillId="24" borderId="12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2" fontId="38" fillId="24" borderId="43" xfId="32" quotePrefix="1" applyNumberFormat="1" applyFont="1" applyFill="1" applyBorder="1" applyAlignment="1">
      <alignment horizontal="center" vertical="center"/>
    </xf>
    <xf numFmtId="0" fontId="18" fillId="0" borderId="57" xfId="53" applyFont="1" applyBorder="1" applyAlignment="1">
      <alignment horizontal="center" vertical="center" wrapText="1"/>
    </xf>
    <xf numFmtId="0" fontId="18" fillId="0" borderId="60" xfId="53" applyFont="1" applyBorder="1" applyAlignment="1">
      <alignment horizontal="center" vertical="center" wrapText="1"/>
    </xf>
    <xf numFmtId="0" fontId="18" fillId="0" borderId="0" xfId="53" applyFont="1" applyBorder="1" applyAlignment="1">
      <alignment horizontal="center" vertical="center" wrapText="1"/>
    </xf>
    <xf numFmtId="0" fontId="18" fillId="0" borderId="62" xfId="53" applyFont="1" applyBorder="1" applyAlignment="1">
      <alignment horizontal="center" vertical="center" wrapText="1"/>
    </xf>
    <xf numFmtId="0" fontId="18" fillId="0" borderId="58" xfId="53" applyFont="1" applyBorder="1" applyAlignment="1">
      <alignment horizontal="center" vertical="center" wrapText="1"/>
    </xf>
    <xf numFmtId="0" fontId="18" fillId="0" borderId="56" xfId="53" applyFont="1" applyBorder="1" applyAlignment="1">
      <alignment horizontal="center" vertical="center" wrapText="1"/>
    </xf>
    <xf numFmtId="0" fontId="18" fillId="0" borderId="18" xfId="53" applyFont="1" applyBorder="1" applyAlignment="1">
      <alignment horizontal="center" vertical="center" wrapText="1"/>
    </xf>
    <xf numFmtId="0" fontId="13" fillId="0" borderId="0" xfId="53" applyFont="1" applyAlignment="1">
      <alignment horizontal="center" vertical="center"/>
    </xf>
    <xf numFmtId="0" fontId="18" fillId="24" borderId="22" xfId="53" applyFont="1" applyFill="1" applyBorder="1" applyAlignment="1">
      <alignment horizontal="center" vertical="center" wrapText="1"/>
    </xf>
    <xf numFmtId="0" fontId="18" fillId="24" borderId="17" xfId="53" applyFont="1" applyFill="1" applyBorder="1" applyAlignment="1">
      <alignment horizontal="center" vertical="center" wrapText="1"/>
    </xf>
    <xf numFmtId="0" fontId="18" fillId="24" borderId="19" xfId="53" applyFont="1" applyFill="1" applyBorder="1" applyAlignment="1">
      <alignment horizontal="center" vertical="center" wrapText="1"/>
    </xf>
    <xf numFmtId="0" fontId="18" fillId="24" borderId="10" xfId="53" applyFont="1" applyFill="1" applyBorder="1" applyAlignment="1">
      <alignment horizontal="center" vertical="center" wrapText="1"/>
    </xf>
    <xf numFmtId="0" fontId="18" fillId="24" borderId="11" xfId="53" applyFont="1" applyFill="1" applyBorder="1" applyAlignment="1">
      <alignment horizontal="center" vertical="center" wrapText="1"/>
    </xf>
    <xf numFmtId="0" fontId="18" fillId="24" borderId="12" xfId="53" applyFont="1" applyFill="1" applyBorder="1" applyAlignment="1">
      <alignment horizontal="center" vertical="center" wrapText="1"/>
    </xf>
    <xf numFmtId="1" fontId="18" fillId="24" borderId="37" xfId="54" applyNumberFormat="1" applyFont="1" applyFill="1" applyBorder="1" applyAlignment="1">
      <alignment horizontal="center" vertical="center"/>
    </xf>
    <xf numFmtId="1" fontId="18" fillId="24" borderId="38" xfId="54" applyNumberFormat="1" applyFont="1" applyFill="1" applyBorder="1" applyAlignment="1">
      <alignment horizontal="center" vertical="center"/>
    </xf>
    <xf numFmtId="1" fontId="18" fillId="24" borderId="67" xfId="54" applyNumberFormat="1" applyFont="1" applyFill="1" applyBorder="1" applyAlignment="1">
      <alignment horizontal="center" vertical="center"/>
    </xf>
    <xf numFmtId="1" fontId="18" fillId="24" borderId="13" xfId="54" applyNumberFormat="1" applyFont="1" applyFill="1" applyBorder="1" applyAlignment="1">
      <alignment horizontal="center" vertical="center"/>
    </xf>
    <xf numFmtId="1" fontId="18" fillId="24" borderId="59" xfId="54" applyNumberFormat="1" applyFont="1" applyFill="1" applyBorder="1" applyAlignment="1">
      <alignment horizontal="center" vertical="center"/>
    </xf>
    <xf numFmtId="0" fontId="44" fillId="25" borderId="25" xfId="68" applyFont="1" applyFill="1" applyBorder="1" applyAlignment="1">
      <alignment horizontal="center" vertical="center"/>
    </xf>
    <xf numFmtId="0" fontId="44" fillId="25" borderId="29" xfId="68" applyFont="1" applyFill="1" applyBorder="1" applyAlignment="1">
      <alignment horizontal="center" vertical="center"/>
    </xf>
    <xf numFmtId="0" fontId="44" fillId="25" borderId="17" xfId="68" applyFont="1" applyFill="1" applyBorder="1" applyAlignment="1">
      <alignment horizontal="center" vertical="center" wrapText="1"/>
    </xf>
    <xf numFmtId="0" fontId="44" fillId="25" borderId="17" xfId="68" applyFont="1" applyFill="1" applyBorder="1" applyAlignment="1"/>
    <xf numFmtId="0" fontId="44" fillId="25" borderId="11" xfId="68" applyFont="1" applyFill="1" applyBorder="1" applyAlignment="1"/>
    <xf numFmtId="0" fontId="44" fillId="25" borderId="11" xfId="68" applyFont="1" applyFill="1" applyBorder="1" applyAlignment="1">
      <alignment horizontal="center" vertical="center"/>
    </xf>
    <xf numFmtId="0" fontId="44" fillId="25" borderId="11" xfId="68" applyFont="1" applyFill="1" applyBorder="1" applyAlignment="1">
      <alignment horizontal="left" vertical="center"/>
    </xf>
    <xf numFmtId="0" fontId="44" fillId="25" borderId="11" xfId="68" applyFont="1" applyFill="1" applyBorder="1" applyAlignment="1">
      <alignment wrapText="1"/>
    </xf>
    <xf numFmtId="0" fontId="44" fillId="25" borderId="17" xfId="68" applyFont="1" applyFill="1" applyBorder="1" applyAlignment="1">
      <alignment wrapText="1"/>
    </xf>
    <xf numFmtId="0" fontId="45" fillId="25" borderId="29" xfId="68" applyFont="1" applyFill="1" applyBorder="1" applyAlignment="1">
      <alignment horizontal="center" vertical="center" wrapText="1"/>
    </xf>
    <xf numFmtId="0" fontId="45" fillId="25" borderId="11" xfId="68" applyFont="1" applyFill="1" applyBorder="1" applyAlignment="1"/>
    <xf numFmtId="0" fontId="45" fillId="25" borderId="11" xfId="68" applyFont="1" applyFill="1" applyBorder="1" applyAlignment="1">
      <alignment wrapText="1"/>
    </xf>
    <xf numFmtId="0" fontId="45" fillId="25" borderId="17" xfId="68" applyFont="1" applyFill="1" applyBorder="1" applyAlignment="1">
      <alignment horizontal="center" vertical="center" wrapText="1"/>
    </xf>
    <xf numFmtId="0" fontId="45" fillId="25" borderId="17" xfId="68" applyFont="1" applyFill="1" applyBorder="1" applyAlignment="1">
      <alignment wrapText="1"/>
    </xf>
    <xf numFmtId="0" fontId="45" fillId="25" borderId="19" xfId="68" applyFont="1" applyFill="1" applyBorder="1" applyAlignment="1">
      <alignment wrapText="1"/>
    </xf>
    <xf numFmtId="0" fontId="44" fillId="25" borderId="27" xfId="68" applyFont="1" applyFill="1" applyBorder="1" applyAlignment="1">
      <alignment horizontal="center" vertical="center"/>
    </xf>
    <xf numFmtId="0" fontId="44" fillId="25" borderId="63" xfId="68" applyFont="1" applyFill="1" applyBorder="1" applyAlignment="1">
      <alignment horizontal="center" vertical="center"/>
    </xf>
    <xf numFmtId="0" fontId="44" fillId="25" borderId="35" xfId="68" applyFont="1" applyFill="1" applyBorder="1" applyAlignment="1">
      <alignment horizontal="center" vertical="center"/>
    </xf>
    <xf numFmtId="0" fontId="44" fillId="25" borderId="61" xfId="68" applyFont="1" applyFill="1" applyBorder="1" applyAlignment="1">
      <alignment horizontal="center" vertical="center"/>
    </xf>
    <xf numFmtId="0" fontId="51" fillId="0" borderId="0" xfId="53" applyFont="1" applyBorder="1" applyAlignment="1">
      <alignment horizontal="center" vertical="center" wrapText="1"/>
    </xf>
    <xf numFmtId="0" fontId="52" fillId="0" borderId="0" xfId="53" applyFont="1" applyBorder="1" applyAlignment="1">
      <alignment horizontal="center" vertical="center" wrapText="1"/>
    </xf>
    <xf numFmtId="0" fontId="52" fillId="29" borderId="73" xfId="53" applyFont="1" applyFill="1" applyBorder="1" applyAlignment="1">
      <alignment horizontal="center" vertical="center" wrapText="1"/>
    </xf>
    <xf numFmtId="10" fontId="54" fillId="29" borderId="73" xfId="53" applyNumberFormat="1" applyFont="1" applyFill="1" applyBorder="1" applyAlignment="1">
      <alignment horizontal="center" vertical="center" wrapText="1"/>
    </xf>
    <xf numFmtId="10" fontId="55" fillId="29" borderId="73" xfId="53" applyNumberFormat="1" applyFont="1" applyFill="1" applyBorder="1" applyAlignment="1">
      <alignment horizontal="center" vertical="center" wrapText="1"/>
    </xf>
    <xf numFmtId="0" fontId="1" fillId="0" borderId="0" xfId="70"/>
  </cellXfs>
  <cellStyles count="7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2" xfId="43"/>
    <cellStyle name="Normal 2 2" xfId="53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104775</xdr:rowOff>
    </xdr:from>
    <xdr:to>
      <xdr:col>1</xdr:col>
      <xdr:colOff>2705100</xdr:colOff>
      <xdr:row>5</xdr:row>
      <xdr:rowOff>85725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04775"/>
          <a:ext cx="2686050" cy="790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topLeftCell="A13" zoomScaleNormal="75" zoomScaleSheetLayoutView="100" workbookViewId="0">
      <selection activeCell="A19" sqref="A19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375" t="s">
        <v>89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7"/>
      <c r="O1" s="71"/>
    </row>
    <row r="2" spans="1:15" s="1" customFormat="1" ht="15" customHeight="1" x14ac:dyDescent="0.25">
      <c r="A2" s="93"/>
      <c r="B2" s="94"/>
      <c r="C2" s="95"/>
      <c r="D2" s="96"/>
      <c r="E2" s="96"/>
      <c r="F2" s="96"/>
      <c r="G2" s="96"/>
      <c r="H2" s="96"/>
      <c r="I2" s="96"/>
      <c r="J2" s="96"/>
      <c r="K2" s="97"/>
      <c r="L2" s="7"/>
      <c r="M2" s="7"/>
      <c r="N2" s="7"/>
      <c r="O2" s="71"/>
    </row>
    <row r="3" spans="1:15" s="1" customFormat="1" ht="15" customHeight="1" x14ac:dyDescent="0.25">
      <c r="A3" s="380" t="s">
        <v>150</v>
      </c>
      <c r="B3" s="381"/>
      <c r="C3" s="381"/>
      <c r="D3" s="29"/>
      <c r="E3" s="29"/>
      <c r="F3" s="7"/>
      <c r="G3" s="7"/>
      <c r="H3" s="7"/>
      <c r="I3" s="7"/>
      <c r="J3" s="7"/>
      <c r="K3" s="28"/>
      <c r="L3" s="7"/>
      <c r="M3" s="7"/>
      <c r="N3" s="7"/>
      <c r="O3" s="71"/>
    </row>
    <row r="4" spans="1:15" s="1" customFormat="1" ht="15" customHeight="1" x14ac:dyDescent="0.25">
      <c r="A4" s="30" t="s">
        <v>253</v>
      </c>
      <c r="B4" s="74"/>
      <c r="C4" s="27"/>
      <c r="D4" s="7"/>
      <c r="E4" s="7"/>
      <c r="F4" s="7"/>
      <c r="G4" s="7"/>
      <c r="H4" s="7"/>
      <c r="I4" s="7"/>
      <c r="J4" s="7"/>
      <c r="K4" s="28"/>
      <c r="L4" s="7"/>
      <c r="M4" s="7"/>
      <c r="N4" s="7"/>
      <c r="O4" s="71"/>
    </row>
    <row r="5" spans="1:15" s="1" customFormat="1" ht="15" customHeight="1" x14ac:dyDescent="0.25">
      <c r="A5" s="30" t="s">
        <v>85</v>
      </c>
      <c r="B5" s="74"/>
      <c r="C5" s="27"/>
      <c r="D5" s="7"/>
      <c r="E5" s="7"/>
      <c r="F5" s="7"/>
      <c r="G5" s="7"/>
      <c r="H5" s="7"/>
      <c r="I5" s="7"/>
      <c r="J5" s="7"/>
      <c r="K5" s="28"/>
      <c r="L5" s="7"/>
      <c r="M5" s="7"/>
      <c r="N5" s="7"/>
      <c r="O5" s="71"/>
    </row>
    <row r="6" spans="1:15" s="1" customFormat="1" ht="15" customHeight="1" x14ac:dyDescent="0.25">
      <c r="A6" s="30"/>
      <c r="B6" s="74"/>
      <c r="C6" s="27"/>
      <c r="D6" s="7"/>
      <c r="E6" s="7"/>
      <c r="F6" s="7"/>
      <c r="G6" s="7"/>
      <c r="H6" s="7"/>
      <c r="I6" s="7"/>
      <c r="J6" s="7"/>
      <c r="K6" s="28"/>
      <c r="L6" s="7"/>
      <c r="M6" s="7"/>
      <c r="N6" s="7"/>
      <c r="O6" s="71"/>
    </row>
    <row r="7" spans="1:15" s="1" customFormat="1" ht="15" customHeight="1" x14ac:dyDescent="0.25">
      <c r="A7" s="30" t="s">
        <v>252</v>
      </c>
      <c r="B7" s="74"/>
      <c r="C7" s="27"/>
      <c r="D7" s="7"/>
      <c r="E7" s="7"/>
      <c r="F7" s="7"/>
      <c r="G7" s="7"/>
      <c r="H7" s="7"/>
      <c r="I7" s="7"/>
      <c r="J7" s="7"/>
      <c r="K7" s="28"/>
      <c r="L7" s="7"/>
      <c r="M7" s="7"/>
      <c r="N7" s="7"/>
      <c r="O7" s="71"/>
    </row>
    <row r="8" spans="1:15" ht="13.5" thickBot="1" x14ac:dyDescent="0.25">
      <c r="A8" s="67"/>
      <c r="B8" s="68"/>
      <c r="C8" s="68"/>
      <c r="D8" s="69"/>
      <c r="E8" s="69"/>
      <c r="F8" s="69"/>
      <c r="G8" s="69"/>
      <c r="H8" s="69"/>
      <c r="I8" s="69"/>
      <c r="J8" s="69"/>
      <c r="K8" s="72"/>
      <c r="L8" s="69"/>
      <c r="M8" s="69"/>
      <c r="N8" s="70"/>
    </row>
    <row r="9" spans="1:15" x14ac:dyDescent="0.2">
      <c r="A9" s="382" t="s">
        <v>3</v>
      </c>
      <c r="B9" s="385" t="s">
        <v>0</v>
      </c>
      <c r="C9" s="385" t="s">
        <v>1</v>
      </c>
      <c r="D9" s="75"/>
      <c r="E9" s="75"/>
      <c r="F9" s="378"/>
      <c r="G9" s="378"/>
      <c r="H9" s="378"/>
      <c r="I9" s="378"/>
      <c r="J9" s="378"/>
      <c r="K9" s="379"/>
      <c r="L9" s="79"/>
      <c r="M9" s="4"/>
      <c r="N9" s="4"/>
      <c r="O9" s="73"/>
    </row>
    <row r="10" spans="1:15" x14ac:dyDescent="0.2">
      <c r="A10" s="383"/>
      <c r="B10" s="386"/>
      <c r="C10" s="386"/>
      <c r="D10" s="76"/>
      <c r="E10" s="76">
        <v>2006</v>
      </c>
      <c r="F10" s="3">
        <v>2016</v>
      </c>
      <c r="G10" s="3">
        <v>2017</v>
      </c>
      <c r="H10" s="388">
        <v>2017</v>
      </c>
      <c r="I10" s="389"/>
      <c r="J10" s="389"/>
      <c r="K10" s="390"/>
      <c r="L10" s="78">
        <v>2015</v>
      </c>
      <c r="M10" s="5">
        <v>2016</v>
      </c>
      <c r="N10" s="5"/>
      <c r="O10" s="73"/>
    </row>
    <row r="11" spans="1:15" ht="33.75" customHeight="1" thickBot="1" x14ac:dyDescent="0.25">
      <c r="A11" s="384"/>
      <c r="B11" s="387"/>
      <c r="C11" s="387"/>
      <c r="D11" s="77"/>
      <c r="E11" s="77" t="s">
        <v>82</v>
      </c>
      <c r="F11" s="77" t="s">
        <v>82</v>
      </c>
      <c r="G11" s="77" t="s">
        <v>2</v>
      </c>
      <c r="H11" s="77" t="s">
        <v>83</v>
      </c>
      <c r="I11" s="77" t="s">
        <v>86</v>
      </c>
      <c r="J11" s="77" t="s">
        <v>88</v>
      </c>
      <c r="K11" s="6" t="s">
        <v>91</v>
      </c>
      <c r="L11" s="66" t="s">
        <v>2</v>
      </c>
      <c r="M11" s="6" t="s">
        <v>2</v>
      </c>
      <c r="N11" s="6"/>
    </row>
    <row r="12" spans="1:15" ht="13.5" thickBot="1" x14ac:dyDescent="0.25">
      <c r="A12" s="43" t="s">
        <v>55</v>
      </c>
      <c r="B12" s="44"/>
      <c r="C12" s="44"/>
      <c r="D12" s="44"/>
      <c r="E12" s="44"/>
      <c r="F12" s="44"/>
      <c r="G12" s="44"/>
      <c r="H12" s="44"/>
      <c r="I12" s="44"/>
      <c r="J12" s="44"/>
      <c r="K12" s="98"/>
      <c r="L12" s="36"/>
      <c r="M12" s="37"/>
      <c r="N12" s="37"/>
    </row>
    <row r="13" spans="1:15" s="10" customFormat="1" ht="12" x14ac:dyDescent="0.2">
      <c r="A13" s="32" t="s">
        <v>56</v>
      </c>
      <c r="B13" s="33" t="s">
        <v>5</v>
      </c>
      <c r="C13" s="33" t="s">
        <v>57</v>
      </c>
      <c r="D13" s="33"/>
      <c r="E13" s="34"/>
      <c r="F13" s="56">
        <v>0</v>
      </c>
      <c r="G13" s="102">
        <v>0</v>
      </c>
      <c r="H13" s="102">
        <v>0</v>
      </c>
      <c r="I13" s="56">
        <v>0</v>
      </c>
      <c r="J13" s="57">
        <v>0</v>
      </c>
      <c r="K13" s="100"/>
      <c r="L13" s="80"/>
      <c r="M13" s="35"/>
      <c r="N13" s="35"/>
    </row>
    <row r="14" spans="1:15" s="10" customFormat="1" ht="12" x14ac:dyDescent="0.2">
      <c r="A14" s="8" t="s">
        <v>96</v>
      </c>
      <c r="B14" s="9" t="s">
        <v>5</v>
      </c>
      <c r="C14" s="9" t="s">
        <v>57</v>
      </c>
      <c r="D14" s="9"/>
      <c r="E14" s="24"/>
      <c r="F14" s="103">
        <v>269</v>
      </c>
      <c r="G14" s="102">
        <v>280</v>
      </c>
      <c r="H14" s="104">
        <v>60</v>
      </c>
      <c r="I14" s="103">
        <v>65</v>
      </c>
      <c r="J14" s="105">
        <v>50</v>
      </c>
      <c r="K14" s="99"/>
      <c r="L14" s="81"/>
      <c r="M14" s="17"/>
      <c r="N14" s="17"/>
    </row>
    <row r="15" spans="1:15" s="10" customFormat="1" ht="12" x14ac:dyDescent="0.2">
      <c r="A15" s="8" t="s">
        <v>97</v>
      </c>
      <c r="B15" s="9" t="s">
        <v>5</v>
      </c>
      <c r="C15" s="9" t="s">
        <v>57</v>
      </c>
      <c r="D15" s="9"/>
      <c r="E15" s="24"/>
      <c r="F15" s="103">
        <v>833</v>
      </c>
      <c r="G15" s="102">
        <v>850</v>
      </c>
      <c r="H15" s="104">
        <v>205</v>
      </c>
      <c r="I15" s="103">
        <v>122</v>
      </c>
      <c r="J15" s="105">
        <v>161</v>
      </c>
      <c r="K15" s="99"/>
      <c r="L15" s="81"/>
      <c r="M15" s="17"/>
      <c r="N15" s="17"/>
    </row>
    <row r="16" spans="1:15" s="10" customFormat="1" ht="12" x14ac:dyDescent="0.2">
      <c r="A16" s="11" t="s">
        <v>58</v>
      </c>
      <c r="B16" s="9" t="s">
        <v>5</v>
      </c>
      <c r="C16" s="9" t="s">
        <v>57</v>
      </c>
      <c r="D16" s="9"/>
      <c r="E16" s="24"/>
      <c r="F16" s="103">
        <v>105</v>
      </c>
      <c r="G16" s="102">
        <v>100</v>
      </c>
      <c r="H16" s="104">
        <v>15</v>
      </c>
      <c r="I16" s="103">
        <v>12</v>
      </c>
      <c r="J16" s="105">
        <v>24</v>
      </c>
      <c r="K16" s="99"/>
      <c r="L16" s="82"/>
      <c r="M16" s="16"/>
      <c r="N16" s="16"/>
    </row>
    <row r="17" spans="1:16" s="10" customFormat="1" ht="12" x14ac:dyDescent="0.2">
      <c r="A17" s="11" t="s">
        <v>59</v>
      </c>
      <c r="B17" s="9" t="s">
        <v>5</v>
      </c>
      <c r="C17" s="9" t="s">
        <v>57</v>
      </c>
      <c r="D17" s="9"/>
      <c r="E17" s="24"/>
      <c r="F17" s="103">
        <v>155</v>
      </c>
      <c r="G17" s="102">
        <v>160</v>
      </c>
      <c r="H17" s="104">
        <v>27</v>
      </c>
      <c r="I17" s="103">
        <v>21</v>
      </c>
      <c r="J17" s="105">
        <v>26</v>
      </c>
      <c r="K17" s="99"/>
      <c r="L17" s="82"/>
      <c r="M17" s="16"/>
      <c r="N17" s="16"/>
      <c r="P17" s="12"/>
    </row>
    <row r="18" spans="1:16" s="10" customFormat="1" ht="12" x14ac:dyDescent="0.2">
      <c r="A18" s="8" t="s">
        <v>60</v>
      </c>
      <c r="B18" s="9" t="s">
        <v>5</v>
      </c>
      <c r="C18" s="9" t="s">
        <v>57</v>
      </c>
      <c r="D18" s="9">
        <v>642</v>
      </c>
      <c r="E18" s="24"/>
      <c r="F18" s="103">
        <v>913</v>
      </c>
      <c r="G18" s="102">
        <v>950</v>
      </c>
      <c r="H18" s="104">
        <v>235</v>
      </c>
      <c r="I18" s="103">
        <v>212</v>
      </c>
      <c r="J18" s="105">
        <v>230</v>
      </c>
      <c r="K18" s="99"/>
      <c r="L18" s="81"/>
      <c r="M18" s="16"/>
      <c r="N18" s="16"/>
    </row>
    <row r="19" spans="1:16" s="10" customFormat="1" ht="12" x14ac:dyDescent="0.2">
      <c r="A19" s="8" t="s">
        <v>61</v>
      </c>
      <c r="B19" s="9" t="s">
        <v>5</v>
      </c>
      <c r="C19" s="9" t="s">
        <v>57</v>
      </c>
      <c r="D19" s="9">
        <v>44</v>
      </c>
      <c r="E19" s="24"/>
      <c r="F19" s="103">
        <v>72</v>
      </c>
      <c r="G19" s="102">
        <v>85</v>
      </c>
      <c r="H19" s="104">
        <v>21</v>
      </c>
      <c r="I19" s="103">
        <v>16</v>
      </c>
      <c r="J19" s="105">
        <v>11</v>
      </c>
      <c r="K19" s="99"/>
      <c r="L19" s="82"/>
      <c r="M19" s="16"/>
      <c r="N19" s="16"/>
    </row>
    <row r="20" spans="1:16" s="13" customFormat="1" ht="12" x14ac:dyDescent="0.2">
      <c r="A20" s="20" t="s">
        <v>62</v>
      </c>
      <c r="B20" s="21" t="s">
        <v>5</v>
      </c>
      <c r="C20" s="21" t="s">
        <v>57</v>
      </c>
      <c r="D20" s="21"/>
      <c r="E20" s="25"/>
      <c r="F20" s="103">
        <v>31</v>
      </c>
      <c r="G20" s="102">
        <v>30</v>
      </c>
      <c r="H20" s="106">
        <v>9</v>
      </c>
      <c r="I20" s="60">
        <v>11</v>
      </c>
      <c r="J20" s="61">
        <v>10</v>
      </c>
      <c r="K20" s="101"/>
      <c r="L20" s="83"/>
      <c r="M20" s="22"/>
      <c r="N20" s="22"/>
      <c r="O20" s="10"/>
    </row>
    <row r="21" spans="1:16" s="13" customFormat="1" ht="12" x14ac:dyDescent="0.2">
      <c r="A21" s="31" t="s">
        <v>93</v>
      </c>
      <c r="B21" s="9" t="s">
        <v>5</v>
      </c>
      <c r="C21" s="9" t="s">
        <v>57</v>
      </c>
      <c r="D21" s="9"/>
      <c r="E21" s="24"/>
      <c r="F21" s="103">
        <v>25</v>
      </c>
      <c r="G21" s="102">
        <v>30</v>
      </c>
      <c r="H21" s="104">
        <v>17</v>
      </c>
      <c r="I21" s="103">
        <v>2</v>
      </c>
      <c r="J21" s="105">
        <v>0</v>
      </c>
      <c r="K21" s="99"/>
      <c r="L21" s="82"/>
      <c r="M21" s="16"/>
      <c r="N21" s="16"/>
      <c r="O21" s="10"/>
    </row>
    <row r="22" spans="1:16" s="13" customFormat="1" ht="12" x14ac:dyDescent="0.2">
      <c r="A22" s="31" t="s">
        <v>94</v>
      </c>
      <c r="B22" s="9" t="s">
        <v>5</v>
      </c>
      <c r="C22" s="9" t="s">
        <v>57</v>
      </c>
      <c r="D22" s="9"/>
      <c r="E22" s="24"/>
      <c r="F22" s="103">
        <v>435</v>
      </c>
      <c r="G22" s="102">
        <v>700</v>
      </c>
      <c r="H22" s="104">
        <v>194</v>
      </c>
      <c r="I22" s="103">
        <v>88</v>
      </c>
      <c r="J22" s="105">
        <v>70</v>
      </c>
      <c r="K22" s="99"/>
      <c r="L22" s="82"/>
      <c r="M22" s="16"/>
      <c r="N22" s="16"/>
      <c r="O22" s="10"/>
    </row>
    <row r="23" spans="1:16" s="13" customFormat="1" thickBot="1" x14ac:dyDescent="0.25">
      <c r="A23" s="20" t="s">
        <v>95</v>
      </c>
      <c r="B23" s="21" t="s">
        <v>5</v>
      </c>
      <c r="C23" s="21" t="s">
        <v>57</v>
      </c>
      <c r="D23" s="21"/>
      <c r="E23" s="25"/>
      <c r="F23" s="60">
        <v>217</v>
      </c>
      <c r="G23" s="102">
        <v>200</v>
      </c>
      <c r="H23" s="106">
        <v>45</v>
      </c>
      <c r="I23" s="60">
        <v>41</v>
      </c>
      <c r="J23" s="61">
        <v>29</v>
      </c>
      <c r="K23" s="101"/>
      <c r="L23" s="83"/>
      <c r="M23" s="22"/>
      <c r="N23" s="22"/>
      <c r="O23" s="10"/>
    </row>
    <row r="24" spans="1:16" ht="13.5" customHeight="1" thickBot="1" x14ac:dyDescent="0.25">
      <c r="A24" s="45" t="s">
        <v>63</v>
      </c>
      <c r="B24" s="46"/>
      <c r="C24" s="46"/>
      <c r="D24" s="46"/>
      <c r="E24" s="47"/>
      <c r="F24" s="107"/>
      <c r="G24" s="108"/>
      <c r="H24" s="109"/>
      <c r="I24" s="110"/>
      <c r="J24" s="110"/>
      <c r="K24" s="111"/>
      <c r="L24" s="36"/>
      <c r="M24" s="38"/>
      <c r="N24" s="38"/>
      <c r="O24" s="10"/>
    </row>
    <row r="25" spans="1:16" hidden="1" x14ac:dyDescent="0.2">
      <c r="A25" s="48"/>
      <c r="B25" s="33"/>
      <c r="C25" s="33"/>
      <c r="D25" s="33">
        <v>7.3</v>
      </c>
      <c r="E25" s="34"/>
      <c r="F25" s="56"/>
      <c r="G25" s="112"/>
      <c r="H25" s="113"/>
      <c r="I25" s="114"/>
      <c r="J25" s="114"/>
      <c r="K25" s="115"/>
      <c r="L25" s="84"/>
      <c r="M25" s="14"/>
      <c r="N25" s="14"/>
      <c r="O25" s="10"/>
    </row>
    <row r="26" spans="1:16" hidden="1" x14ac:dyDescent="0.2">
      <c r="A26" s="31"/>
      <c r="B26" s="9"/>
      <c r="C26" s="9"/>
      <c r="D26" s="9">
        <f>+D25*6</f>
        <v>43.8</v>
      </c>
      <c r="E26" s="24"/>
      <c r="F26" s="103"/>
      <c r="G26" s="116"/>
      <c r="H26" s="117"/>
      <c r="I26" s="118"/>
      <c r="J26" s="118"/>
      <c r="K26" s="119"/>
      <c r="L26" s="85"/>
      <c r="M26" s="15"/>
      <c r="N26" s="15"/>
      <c r="O26" s="10"/>
    </row>
    <row r="27" spans="1:16" hidden="1" x14ac:dyDescent="0.2">
      <c r="A27" s="31"/>
      <c r="B27" s="9"/>
      <c r="C27" s="9"/>
      <c r="D27" s="9">
        <v>642</v>
      </c>
      <c r="E27" s="24"/>
      <c r="F27" s="103"/>
      <c r="G27" s="116"/>
      <c r="H27" s="117"/>
      <c r="I27" s="118"/>
      <c r="J27" s="118"/>
      <c r="K27" s="119"/>
      <c r="L27" s="85"/>
      <c r="M27" s="15"/>
      <c r="N27" s="15"/>
      <c r="O27" s="10"/>
    </row>
    <row r="28" spans="1:16" hidden="1" x14ac:dyDescent="0.2">
      <c r="A28" s="31"/>
      <c r="B28" s="9"/>
      <c r="C28" s="9"/>
      <c r="D28" s="9">
        <f>+D27/6</f>
        <v>107</v>
      </c>
      <c r="E28" s="24"/>
      <c r="F28" s="103"/>
      <c r="G28" s="116"/>
      <c r="H28" s="117"/>
      <c r="I28" s="118"/>
      <c r="J28" s="118"/>
      <c r="K28" s="119"/>
      <c r="L28" s="85"/>
      <c r="M28" s="15"/>
      <c r="N28" s="15"/>
      <c r="O28" s="10"/>
    </row>
    <row r="29" spans="1:16" hidden="1" x14ac:dyDescent="0.2">
      <c r="A29" s="31"/>
      <c r="B29" s="9"/>
      <c r="C29" s="9"/>
      <c r="D29" s="9" t="e">
        <f>+#REF!/D28</f>
        <v>#REF!</v>
      </c>
      <c r="E29" s="24"/>
      <c r="F29" s="103"/>
      <c r="G29" s="116"/>
      <c r="H29" s="117"/>
      <c r="I29" s="118"/>
      <c r="J29" s="118"/>
      <c r="K29" s="119"/>
      <c r="L29" s="85"/>
      <c r="M29" s="15"/>
      <c r="N29" s="15"/>
      <c r="O29" s="10"/>
    </row>
    <row r="30" spans="1:16" hidden="1" x14ac:dyDescent="0.2">
      <c r="A30" s="31"/>
      <c r="B30" s="9"/>
      <c r="C30" s="9"/>
      <c r="D30" s="9">
        <f>+D28*6</f>
        <v>642</v>
      </c>
      <c r="E30" s="24"/>
      <c r="F30" s="103"/>
      <c r="G30" s="116"/>
      <c r="H30" s="117"/>
      <c r="I30" s="118"/>
      <c r="J30" s="118"/>
      <c r="K30" s="119"/>
      <c r="L30" s="85"/>
      <c r="M30" s="15"/>
      <c r="N30" s="15"/>
      <c r="O30" s="10"/>
    </row>
    <row r="31" spans="1:16" hidden="1" x14ac:dyDescent="0.2">
      <c r="A31" s="31"/>
      <c r="B31" s="9"/>
      <c r="C31" s="9"/>
      <c r="D31" s="9"/>
      <c r="E31" s="24"/>
      <c r="F31" s="103"/>
      <c r="G31" s="116"/>
      <c r="H31" s="117"/>
      <c r="I31" s="118"/>
      <c r="J31" s="118"/>
      <c r="K31" s="119"/>
      <c r="L31" s="85"/>
      <c r="M31" s="15"/>
      <c r="N31" s="15"/>
      <c r="O31" s="10"/>
    </row>
    <row r="32" spans="1:16" hidden="1" x14ac:dyDescent="0.2">
      <c r="A32" s="31"/>
      <c r="B32" s="9"/>
      <c r="C32" s="9"/>
      <c r="D32" s="9"/>
      <c r="E32" s="24"/>
      <c r="F32" s="103"/>
      <c r="G32" s="116"/>
      <c r="H32" s="117"/>
      <c r="I32" s="118"/>
      <c r="J32" s="118"/>
      <c r="K32" s="119"/>
      <c r="L32" s="85"/>
      <c r="M32" s="15"/>
      <c r="N32" s="15"/>
      <c r="O32" s="10"/>
    </row>
    <row r="33" spans="1:18" hidden="1" x14ac:dyDescent="0.2">
      <c r="A33" s="31"/>
      <c r="B33" s="9" t="e">
        <f>+#REF!/#REF!</f>
        <v>#REF!</v>
      </c>
      <c r="C33" s="9"/>
      <c r="D33" s="9"/>
      <c r="E33" s="24"/>
      <c r="F33" s="103"/>
      <c r="G33" s="116"/>
      <c r="H33" s="117"/>
      <c r="I33" s="118"/>
      <c r="J33" s="118"/>
      <c r="K33" s="119"/>
      <c r="L33" s="85"/>
      <c r="M33" s="15"/>
      <c r="N33" s="15"/>
      <c r="O33" s="10"/>
    </row>
    <row r="34" spans="1:18" hidden="1" x14ac:dyDescent="0.2">
      <c r="A34" s="31"/>
      <c r="B34" s="9" t="e">
        <f>+#REF!/#REF!</f>
        <v>#REF!</v>
      </c>
      <c r="C34" s="9"/>
      <c r="D34" s="9"/>
      <c r="E34" s="24"/>
      <c r="F34" s="103"/>
      <c r="G34" s="116"/>
      <c r="H34" s="117"/>
      <c r="I34" s="118"/>
      <c r="J34" s="118"/>
      <c r="K34" s="119"/>
      <c r="L34" s="85"/>
      <c r="M34" s="15"/>
      <c r="N34" s="15"/>
      <c r="O34" s="10"/>
    </row>
    <row r="35" spans="1:18" hidden="1" x14ac:dyDescent="0.2">
      <c r="A35" s="31"/>
      <c r="B35" s="9"/>
      <c r="C35" s="9"/>
      <c r="D35" s="9"/>
      <c r="E35" s="24"/>
      <c r="F35" s="103"/>
      <c r="G35" s="116"/>
      <c r="H35" s="117"/>
      <c r="I35" s="118"/>
      <c r="J35" s="118"/>
      <c r="K35" s="119"/>
      <c r="L35" s="85"/>
      <c r="M35" s="15"/>
      <c r="N35" s="15"/>
      <c r="O35" s="10"/>
    </row>
    <row r="36" spans="1:18" s="2" customFormat="1" x14ac:dyDescent="0.2">
      <c r="A36" s="31" t="s">
        <v>64</v>
      </c>
      <c r="B36" s="23" t="s">
        <v>5</v>
      </c>
      <c r="C36" s="23" t="s">
        <v>65</v>
      </c>
      <c r="D36" s="9"/>
      <c r="E36" s="24"/>
      <c r="F36" s="103">
        <v>9740</v>
      </c>
      <c r="G36" s="102">
        <v>10714</v>
      </c>
      <c r="H36" s="103">
        <v>2678</v>
      </c>
      <c r="I36" s="103">
        <v>2812</v>
      </c>
      <c r="J36" s="105">
        <v>2952</v>
      </c>
      <c r="K36" s="99"/>
      <c r="L36" s="86"/>
      <c r="M36" s="18"/>
      <c r="N36" s="18"/>
      <c r="O36" s="10"/>
    </row>
    <row r="37" spans="1:18" s="2" customFormat="1" x14ac:dyDescent="0.2">
      <c r="A37" s="31" t="s">
        <v>66</v>
      </c>
      <c r="B37" s="23" t="s">
        <v>5</v>
      </c>
      <c r="C37" s="23" t="s">
        <v>65</v>
      </c>
      <c r="D37" s="9"/>
      <c r="E37" s="24"/>
      <c r="F37" s="103">
        <v>1075</v>
      </c>
      <c r="G37" s="102">
        <v>1182</v>
      </c>
      <c r="H37" s="103">
        <v>295</v>
      </c>
      <c r="I37" s="103">
        <v>302</v>
      </c>
      <c r="J37" s="105">
        <v>310</v>
      </c>
      <c r="K37" s="99"/>
      <c r="L37" s="87"/>
      <c r="M37" s="18"/>
      <c r="N37" s="18"/>
      <c r="O37" s="10"/>
      <c r="R37" s="65"/>
    </row>
    <row r="38" spans="1:18" s="2" customFormat="1" x14ac:dyDescent="0.2">
      <c r="A38" s="31" t="s">
        <v>67</v>
      </c>
      <c r="B38" s="23" t="s">
        <v>5</v>
      </c>
      <c r="C38" s="23" t="s">
        <v>65</v>
      </c>
      <c r="D38" s="9"/>
      <c r="E38" s="24"/>
      <c r="F38" s="103">
        <v>1080</v>
      </c>
      <c r="G38" s="102">
        <v>1188</v>
      </c>
      <c r="H38" s="103">
        <v>297</v>
      </c>
      <c r="I38" s="103">
        <v>311</v>
      </c>
      <c r="J38" s="105">
        <v>326</v>
      </c>
      <c r="K38" s="99"/>
      <c r="L38" s="86"/>
      <c r="M38" s="18"/>
      <c r="N38" s="18"/>
      <c r="O38" s="10"/>
    </row>
    <row r="39" spans="1:18" s="2" customFormat="1" x14ac:dyDescent="0.2">
      <c r="A39" s="31" t="s">
        <v>68</v>
      </c>
      <c r="B39" s="23" t="s">
        <v>5</v>
      </c>
      <c r="C39" s="23" t="s">
        <v>65</v>
      </c>
      <c r="D39" s="9"/>
      <c r="E39" s="24"/>
      <c r="F39" s="103">
        <v>2100</v>
      </c>
      <c r="G39" s="102">
        <v>2310</v>
      </c>
      <c r="H39" s="103">
        <v>577</v>
      </c>
      <c r="I39" s="103">
        <v>605</v>
      </c>
      <c r="J39" s="105">
        <v>665</v>
      </c>
      <c r="K39" s="99"/>
      <c r="L39" s="86"/>
      <c r="M39" s="18"/>
      <c r="N39" s="18"/>
      <c r="O39" s="10"/>
    </row>
    <row r="40" spans="1:18" s="2" customFormat="1" ht="13.5" thickBot="1" x14ac:dyDescent="0.25">
      <c r="A40" s="49" t="s">
        <v>69</v>
      </c>
      <c r="B40" s="50" t="s">
        <v>5</v>
      </c>
      <c r="C40" s="50" t="s">
        <v>65</v>
      </c>
      <c r="D40" s="51"/>
      <c r="E40" s="52"/>
      <c r="F40" s="103">
        <v>305</v>
      </c>
      <c r="G40" s="102">
        <v>335</v>
      </c>
      <c r="H40" s="103">
        <v>84</v>
      </c>
      <c r="I40" s="120">
        <v>96</v>
      </c>
      <c r="J40" s="121">
        <v>108</v>
      </c>
      <c r="K40" s="122"/>
      <c r="L40" s="88"/>
      <c r="M40" s="19"/>
      <c r="N40" s="19"/>
      <c r="O40" s="10"/>
    </row>
    <row r="41" spans="1:18" ht="13.5" thickBot="1" x14ac:dyDescent="0.25">
      <c r="A41" s="53" t="s">
        <v>70</v>
      </c>
      <c r="B41" s="44"/>
      <c r="C41" s="44"/>
      <c r="D41" s="44"/>
      <c r="E41" s="44"/>
      <c r="F41" s="123"/>
      <c r="G41" s="109"/>
      <c r="H41" s="124"/>
      <c r="I41" s="124"/>
      <c r="J41" s="124"/>
      <c r="K41" s="125"/>
      <c r="L41" s="40"/>
      <c r="M41" s="41"/>
      <c r="N41" s="41"/>
      <c r="O41" s="10"/>
    </row>
    <row r="42" spans="1:18" s="2" customFormat="1" x14ac:dyDescent="0.2">
      <c r="A42" s="54" t="s">
        <v>71</v>
      </c>
      <c r="B42" s="33" t="s">
        <v>5</v>
      </c>
      <c r="C42" s="33" t="s">
        <v>72</v>
      </c>
      <c r="D42" s="33"/>
      <c r="E42" s="34"/>
      <c r="F42" s="56">
        <v>18552</v>
      </c>
      <c r="G42" s="102">
        <v>25064</v>
      </c>
      <c r="H42" s="55">
        <v>4110</v>
      </c>
      <c r="I42" s="56">
        <v>4816</v>
      </c>
      <c r="J42" s="57">
        <v>5651</v>
      </c>
      <c r="K42" s="100"/>
      <c r="L42" s="89"/>
      <c r="M42" s="39"/>
      <c r="N42" s="39"/>
      <c r="O42" s="10"/>
    </row>
    <row r="43" spans="1:18" s="2" customFormat="1" ht="13.5" thickBot="1" x14ac:dyDescent="0.25">
      <c r="A43" s="58" t="s">
        <v>73</v>
      </c>
      <c r="B43" s="21" t="s">
        <v>5</v>
      </c>
      <c r="C43" s="21" t="s">
        <v>72</v>
      </c>
      <c r="D43" s="21"/>
      <c r="E43" s="25"/>
      <c r="F43" s="60">
        <v>19325</v>
      </c>
      <c r="G43" s="106">
        <v>27787</v>
      </c>
      <c r="H43" s="59">
        <v>4859</v>
      </c>
      <c r="I43" s="60">
        <v>5263</v>
      </c>
      <c r="J43" s="61">
        <v>6198</v>
      </c>
      <c r="K43" s="101"/>
      <c r="L43" s="90"/>
      <c r="M43" s="42"/>
      <c r="N43" s="42"/>
      <c r="O43" s="10"/>
    </row>
    <row r="44" spans="1:18" ht="13.5" thickBot="1" x14ac:dyDescent="0.25">
      <c r="A44" s="53" t="s">
        <v>92</v>
      </c>
      <c r="B44" s="44"/>
      <c r="C44" s="44"/>
      <c r="D44" s="44"/>
      <c r="E44" s="44"/>
      <c r="F44" s="123"/>
      <c r="G44" s="109"/>
      <c r="H44" s="124"/>
      <c r="I44" s="124"/>
      <c r="J44" s="124"/>
      <c r="K44" s="125"/>
      <c r="L44" s="40"/>
      <c r="M44" s="41"/>
      <c r="N44" s="41"/>
      <c r="O44" s="10"/>
    </row>
    <row r="45" spans="1:18" s="2" customFormat="1" x14ac:dyDescent="0.2">
      <c r="A45" s="54" t="s">
        <v>74</v>
      </c>
      <c r="B45" s="33" t="s">
        <v>5</v>
      </c>
      <c r="C45" s="33" t="s">
        <v>75</v>
      </c>
      <c r="D45" s="33"/>
      <c r="E45" s="34"/>
      <c r="F45" s="56">
        <v>773</v>
      </c>
      <c r="G45" s="102">
        <v>1000</v>
      </c>
      <c r="H45" s="102">
        <v>250</v>
      </c>
      <c r="I45" s="56">
        <v>465</v>
      </c>
      <c r="J45" s="57">
        <v>660</v>
      </c>
      <c r="K45" s="100"/>
      <c r="L45" s="91"/>
      <c r="M45" s="39"/>
      <c r="N45" s="39"/>
      <c r="O45" s="10"/>
    </row>
    <row r="46" spans="1:18" s="2" customFormat="1" ht="13.5" thickBot="1" x14ac:dyDescent="0.25">
      <c r="A46" s="62" t="s">
        <v>76</v>
      </c>
      <c r="B46" s="63" t="s">
        <v>5</v>
      </c>
      <c r="C46" s="63" t="s">
        <v>75</v>
      </c>
      <c r="D46" s="63"/>
      <c r="E46" s="64"/>
      <c r="F46" s="126">
        <v>1520</v>
      </c>
      <c r="G46" s="102">
        <v>3000</v>
      </c>
      <c r="H46" s="127">
        <v>700</v>
      </c>
      <c r="I46" s="126">
        <v>700</v>
      </c>
      <c r="J46" s="128">
        <v>700</v>
      </c>
      <c r="K46" s="129"/>
      <c r="L46" s="92"/>
      <c r="M46" s="26"/>
      <c r="N46" s="26"/>
      <c r="O46" s="10"/>
    </row>
  </sheetData>
  <mergeCells count="7">
    <mergeCell ref="A1:N1"/>
    <mergeCell ref="F9:K9"/>
    <mergeCell ref="A3:C3"/>
    <mergeCell ref="A9:A11"/>
    <mergeCell ref="B9:B11"/>
    <mergeCell ref="C9:C11"/>
    <mergeCell ref="H10:K10"/>
  </mergeCells>
  <phoneticPr fontId="14" type="noConversion"/>
  <printOptions horizontalCentered="1"/>
  <pageMargins left="3.937007874015748E-2" right="0.19685039370078741" top="0.62992125984251968" bottom="0.7480314960629921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="75" zoomScaleNormal="75" zoomScaleSheetLayoutView="85" workbookViewId="0">
      <selection activeCell="A27" sqref="A27"/>
    </sheetView>
  </sheetViews>
  <sheetFormatPr baseColWidth="10" defaultRowHeight="12.75" x14ac:dyDescent="0.2"/>
  <cols>
    <col min="1" max="1" width="76.7109375" style="194" bestFit="1" customWidth="1"/>
    <col min="2" max="2" width="17" style="194" customWidth="1"/>
    <col min="3" max="3" width="13.5703125" style="194" customWidth="1"/>
    <col min="4" max="4" width="14.7109375" style="194" customWidth="1"/>
    <col min="5" max="5" width="13.5703125" style="194" customWidth="1"/>
    <col min="6" max="6" width="13.140625" style="194" customWidth="1"/>
    <col min="7" max="7" width="14" style="194" customWidth="1"/>
    <col min="8" max="8" width="14.28515625" style="194" customWidth="1"/>
    <col min="9" max="16384" width="11.42578125" style="194"/>
  </cols>
  <sheetData>
    <row r="1" spans="1:10" s="189" customFormat="1" ht="15.75" x14ac:dyDescent="0.25">
      <c r="A1" s="391" t="s">
        <v>89</v>
      </c>
      <c r="B1" s="391"/>
      <c r="C1" s="391"/>
      <c r="D1" s="391"/>
      <c r="E1" s="391"/>
      <c r="F1" s="391"/>
      <c r="G1" s="391"/>
    </row>
    <row r="2" spans="1:10" s="189" customFormat="1" ht="15" customHeight="1" x14ac:dyDescent="0.25">
      <c r="A2" s="308"/>
      <c r="B2" s="308"/>
      <c r="C2" s="190"/>
    </row>
    <row r="3" spans="1:10" s="189" customFormat="1" ht="15" customHeight="1" x14ac:dyDescent="0.25">
      <c r="A3" s="392" t="s">
        <v>77</v>
      </c>
      <c r="B3" s="392"/>
      <c r="C3" s="392"/>
    </row>
    <row r="4" spans="1:10" s="189" customFormat="1" ht="15" customHeight="1" x14ac:dyDescent="0.25">
      <c r="A4" s="191" t="s">
        <v>54</v>
      </c>
      <c r="B4" s="308"/>
      <c r="C4" s="190"/>
    </row>
    <row r="5" spans="1:10" s="189" customFormat="1" ht="15" customHeight="1" x14ac:dyDescent="0.25">
      <c r="A5" s="191" t="s">
        <v>147</v>
      </c>
      <c r="B5" s="308"/>
      <c r="C5" s="190"/>
    </row>
    <row r="6" spans="1:10" s="189" customFormat="1" ht="15" customHeight="1" x14ac:dyDescent="0.25">
      <c r="A6" s="191"/>
      <c r="B6" s="308"/>
      <c r="C6" s="190"/>
    </row>
    <row r="7" spans="1:10" s="189" customFormat="1" ht="15" customHeight="1" x14ac:dyDescent="0.25">
      <c r="A7" s="191" t="s">
        <v>4</v>
      </c>
      <c r="B7" s="308"/>
      <c r="C7" s="190"/>
    </row>
    <row r="8" spans="1:10" ht="15" customHeight="1" thickBot="1" x14ac:dyDescent="0.25">
      <c r="A8" s="191"/>
      <c r="B8" s="192"/>
      <c r="C8" s="193"/>
    </row>
    <row r="9" spans="1:10" ht="13.5" thickBot="1" x14ac:dyDescent="0.25">
      <c r="A9" s="393" t="s">
        <v>3</v>
      </c>
      <c r="B9" s="396" t="s">
        <v>0</v>
      </c>
      <c r="C9" s="399" t="s">
        <v>1</v>
      </c>
      <c r="D9" s="402"/>
      <c r="E9" s="402"/>
      <c r="F9" s="402"/>
      <c r="G9" s="402"/>
      <c r="H9" s="403"/>
    </row>
    <row r="10" spans="1:10" ht="16.5" thickBot="1" x14ac:dyDescent="0.25">
      <c r="A10" s="394"/>
      <c r="B10" s="397"/>
      <c r="C10" s="400"/>
      <c r="D10" s="404" t="s">
        <v>153</v>
      </c>
      <c r="E10" s="402"/>
      <c r="F10" s="402"/>
      <c r="G10" s="402"/>
      <c r="H10" s="403"/>
    </row>
    <row r="11" spans="1:10" ht="26.25" thickBot="1" x14ac:dyDescent="0.25">
      <c r="A11" s="395"/>
      <c r="B11" s="398"/>
      <c r="C11" s="401"/>
      <c r="D11" s="195" t="s">
        <v>2</v>
      </c>
      <c r="E11" s="195" t="s">
        <v>83</v>
      </c>
      <c r="F11" s="195" t="s">
        <v>86</v>
      </c>
      <c r="G11" s="195" t="s">
        <v>88</v>
      </c>
      <c r="H11" s="196" t="s">
        <v>90</v>
      </c>
    </row>
    <row r="12" spans="1:10" s="202" customFormat="1" ht="24.95" customHeight="1" x14ac:dyDescent="0.2">
      <c r="A12" s="197" t="s">
        <v>80</v>
      </c>
      <c r="B12" s="198" t="s">
        <v>5</v>
      </c>
      <c r="C12" s="198" t="s">
        <v>78</v>
      </c>
      <c r="D12" s="199">
        <v>1625.8000000000002</v>
      </c>
      <c r="E12" s="199">
        <v>353</v>
      </c>
      <c r="F12" s="199">
        <v>425</v>
      </c>
      <c r="G12" s="200">
        <v>518</v>
      </c>
      <c r="H12" s="201">
        <v>0</v>
      </c>
      <c r="I12" s="218" t="s">
        <v>149</v>
      </c>
    </row>
    <row r="13" spans="1:10" s="202" customFormat="1" ht="24.95" customHeight="1" x14ac:dyDescent="0.2">
      <c r="A13" s="203" t="s">
        <v>79</v>
      </c>
      <c r="B13" s="204" t="s">
        <v>5</v>
      </c>
      <c r="C13" s="204" t="s">
        <v>78</v>
      </c>
      <c r="D13" s="199">
        <v>748.00000000000011</v>
      </c>
      <c r="E13" s="205">
        <v>151</v>
      </c>
      <c r="F13" s="205">
        <v>375</v>
      </c>
      <c r="G13" s="206">
        <v>410</v>
      </c>
      <c r="H13" s="207">
        <v>0</v>
      </c>
      <c r="I13" s="218" t="s">
        <v>149</v>
      </c>
    </row>
    <row r="14" spans="1:10" s="202" customFormat="1" ht="24.95" customHeight="1" x14ac:dyDescent="0.2">
      <c r="A14" s="203" t="s">
        <v>81</v>
      </c>
      <c r="B14" s="204" t="s">
        <v>5</v>
      </c>
      <c r="C14" s="204" t="s">
        <v>78</v>
      </c>
      <c r="D14" s="199">
        <v>160.60000000000002</v>
      </c>
      <c r="E14" s="205">
        <v>25</v>
      </c>
      <c r="F14" s="205">
        <v>35</v>
      </c>
      <c r="G14" s="206">
        <v>56</v>
      </c>
      <c r="H14" s="207">
        <v>0</v>
      </c>
      <c r="I14" s="218" t="s">
        <v>149</v>
      </c>
    </row>
    <row r="15" spans="1:10" ht="24.95" customHeight="1" x14ac:dyDescent="0.2">
      <c r="A15" s="208" t="s">
        <v>87</v>
      </c>
      <c r="B15" s="204" t="s">
        <v>5</v>
      </c>
      <c r="C15" s="204" t="s">
        <v>78</v>
      </c>
      <c r="D15" s="209">
        <f>SUM(D12:D14)</f>
        <v>2534.4</v>
      </c>
      <c r="E15" s="209">
        <f>SUM(E12:E14)</f>
        <v>529</v>
      </c>
      <c r="F15" s="209">
        <f>SUM(F12:F14)</f>
        <v>835</v>
      </c>
      <c r="G15" s="209">
        <f>SUM(G12:G14)</f>
        <v>984</v>
      </c>
      <c r="H15" s="209">
        <f>SUM(H12:H14)</f>
        <v>0</v>
      </c>
      <c r="I15" s="218" t="s">
        <v>149</v>
      </c>
      <c r="J15" s="210"/>
    </row>
    <row r="16" spans="1:10" ht="24.95" customHeight="1" thickBot="1" x14ac:dyDescent="0.25">
      <c r="A16" s="211"/>
      <c r="B16" s="212"/>
      <c r="C16" s="212"/>
      <c r="D16" s="212"/>
      <c r="E16" s="212"/>
      <c r="F16" s="212"/>
      <c r="G16" s="213"/>
      <c r="H16" s="214"/>
    </row>
  </sheetData>
  <mergeCells count="7">
    <mergeCell ref="A1:G1"/>
    <mergeCell ref="A3:C3"/>
    <mergeCell ref="A9:A11"/>
    <mergeCell ref="B9:B11"/>
    <mergeCell ref="C9:C11"/>
    <mergeCell ref="D9:H9"/>
    <mergeCell ref="D10:H10"/>
  </mergeCells>
  <printOptions horizontalCentered="1"/>
  <pageMargins left="0.7" right="0.7" top="0.75" bottom="0.75" header="0.3" footer="0.3"/>
  <pageSetup paperSize="9" scale="7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workbookViewId="0">
      <selection activeCell="D18" sqref="D18"/>
    </sheetView>
  </sheetViews>
  <sheetFormatPr baseColWidth="10" defaultRowHeight="15" x14ac:dyDescent="0.25"/>
  <cols>
    <col min="1" max="1" width="32.28515625" style="448" customWidth="1"/>
    <col min="2" max="4" width="11.42578125" style="448"/>
    <col min="5" max="9" width="11.5703125" style="448" hidden="1" customWidth="1"/>
    <col min="10" max="10" width="11.42578125" style="448"/>
    <col min="11" max="11" width="14.5703125" style="448" customWidth="1"/>
    <col min="12" max="16384" width="11.42578125" style="448"/>
  </cols>
  <sheetData>
    <row r="1" spans="1:16" ht="15.75" x14ac:dyDescent="0.25">
      <c r="A1" s="412" t="s">
        <v>89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12"/>
    </row>
    <row r="2" spans="1:16" ht="23.25" x14ac:dyDescent="0.25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2"/>
    </row>
    <row r="3" spans="1:16" ht="15.75" x14ac:dyDescent="0.25">
      <c r="A3" s="133" t="s">
        <v>260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373"/>
    </row>
    <row r="4" spans="1:16" ht="15.75" x14ac:dyDescent="0.25">
      <c r="A4" s="133" t="s">
        <v>148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373"/>
    </row>
    <row r="5" spans="1:16" ht="15.75" x14ac:dyDescent="0.25">
      <c r="A5" s="133" t="s">
        <v>146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373"/>
    </row>
    <row r="6" spans="1:16" x14ac:dyDescent="0.25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2"/>
    </row>
    <row r="7" spans="1:16" ht="16.5" thickBot="1" x14ac:dyDescent="0.3">
      <c r="A7" s="135" t="s">
        <v>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</row>
    <row r="8" spans="1:16" ht="15" customHeight="1" thickBot="1" x14ac:dyDescent="0.3">
      <c r="A8" s="413" t="s">
        <v>8</v>
      </c>
      <c r="B8" s="416" t="s">
        <v>9</v>
      </c>
      <c r="C8" s="416" t="s">
        <v>10</v>
      </c>
      <c r="D8" s="416" t="s">
        <v>11</v>
      </c>
      <c r="E8" s="136" t="s">
        <v>12</v>
      </c>
      <c r="F8" s="136"/>
      <c r="G8" s="136"/>
      <c r="H8" s="136"/>
      <c r="I8" s="136"/>
      <c r="J8" s="419"/>
      <c r="K8" s="419"/>
      <c r="L8" s="419"/>
      <c r="M8" s="419"/>
      <c r="N8" s="419"/>
      <c r="O8" s="419"/>
      <c r="P8" s="420"/>
    </row>
    <row r="9" spans="1:16" ht="15.75" thickBot="1" x14ac:dyDescent="0.3">
      <c r="A9" s="414"/>
      <c r="B9" s="417"/>
      <c r="C9" s="417"/>
      <c r="D9" s="417"/>
      <c r="E9" s="137">
        <v>2002</v>
      </c>
      <c r="F9" s="137">
        <v>2003</v>
      </c>
      <c r="G9" s="137">
        <v>2004</v>
      </c>
      <c r="H9" s="137">
        <v>2005</v>
      </c>
      <c r="I9" s="138">
        <v>2006</v>
      </c>
      <c r="J9" s="287">
        <v>2015</v>
      </c>
      <c r="K9" s="287">
        <v>2016</v>
      </c>
      <c r="L9" s="421">
        <v>2017</v>
      </c>
      <c r="M9" s="422"/>
      <c r="N9" s="422"/>
      <c r="O9" s="423"/>
      <c r="P9" s="286"/>
    </row>
    <row r="10" spans="1:16" ht="36.75" thickBot="1" x14ac:dyDescent="0.3">
      <c r="A10" s="415"/>
      <c r="B10" s="418"/>
      <c r="C10" s="418"/>
      <c r="D10" s="418"/>
      <c r="E10" s="374" t="s">
        <v>13</v>
      </c>
      <c r="F10" s="374" t="s">
        <v>13</v>
      </c>
      <c r="G10" s="374" t="s">
        <v>13</v>
      </c>
      <c r="H10" s="374" t="s">
        <v>14</v>
      </c>
      <c r="I10" s="139" t="s">
        <v>82</v>
      </c>
      <c r="J10" s="288" t="s">
        <v>82</v>
      </c>
      <c r="K10" s="288" t="s">
        <v>82</v>
      </c>
      <c r="L10" s="289" t="s">
        <v>83</v>
      </c>
      <c r="M10" s="290" t="s">
        <v>86</v>
      </c>
      <c r="N10" s="290" t="s">
        <v>88</v>
      </c>
      <c r="O10" s="291" t="s">
        <v>91</v>
      </c>
      <c r="P10" s="140"/>
    </row>
    <row r="11" spans="1:16" ht="15.75" thickBot="1" x14ac:dyDescent="0.3">
      <c r="A11" s="405" t="s">
        <v>15</v>
      </c>
      <c r="B11" s="406"/>
      <c r="C11" s="406"/>
      <c r="D11" s="406"/>
      <c r="E11" s="406"/>
      <c r="F11" s="406"/>
      <c r="G11" s="406"/>
      <c r="H11" s="406"/>
      <c r="I11" s="406"/>
      <c r="J11" s="407"/>
      <c r="K11" s="407"/>
      <c r="L11" s="407"/>
      <c r="M11" s="407"/>
      <c r="N11" s="407"/>
      <c r="O11" s="407"/>
      <c r="P11" s="408"/>
    </row>
    <row r="12" spans="1:16" x14ac:dyDescent="0.25">
      <c r="A12" s="141" t="s">
        <v>16</v>
      </c>
      <c r="B12" s="142" t="s">
        <v>5</v>
      </c>
      <c r="C12" s="142" t="s">
        <v>17</v>
      </c>
      <c r="D12" s="142" t="s">
        <v>18</v>
      </c>
      <c r="E12" s="143" t="s">
        <v>19</v>
      </c>
      <c r="F12" s="143" t="s">
        <v>19</v>
      </c>
      <c r="G12" s="143" t="s">
        <v>19</v>
      </c>
      <c r="H12" s="292">
        <v>150</v>
      </c>
      <c r="I12" s="293">
        <v>100</v>
      </c>
      <c r="J12" s="219">
        <v>75</v>
      </c>
      <c r="K12" s="219">
        <v>75</v>
      </c>
      <c r="L12" s="294">
        <v>75</v>
      </c>
      <c r="M12" s="295">
        <v>75</v>
      </c>
      <c r="N12" s="295">
        <v>75</v>
      </c>
      <c r="O12" s="296"/>
      <c r="P12" s="144"/>
    </row>
    <row r="13" spans="1:16" x14ac:dyDescent="0.25">
      <c r="A13" s="141" t="s">
        <v>20</v>
      </c>
      <c r="B13" s="142" t="s">
        <v>5</v>
      </c>
      <c r="C13" s="142" t="s">
        <v>17</v>
      </c>
      <c r="D13" s="142" t="s">
        <v>18</v>
      </c>
      <c r="E13" s="143" t="s">
        <v>19</v>
      </c>
      <c r="F13" s="143" t="s">
        <v>19</v>
      </c>
      <c r="G13" s="143" t="s">
        <v>19</v>
      </c>
      <c r="H13" s="142">
        <v>130</v>
      </c>
      <c r="I13" s="181">
        <v>122</v>
      </c>
      <c r="J13" s="220">
        <v>405</v>
      </c>
      <c r="K13" s="220">
        <v>405</v>
      </c>
      <c r="L13" s="221">
        <v>405</v>
      </c>
      <c r="M13" s="145">
        <v>405</v>
      </c>
      <c r="N13" s="145">
        <v>405</v>
      </c>
      <c r="O13" s="146"/>
      <c r="P13" s="144"/>
    </row>
    <row r="14" spans="1:16" x14ac:dyDescent="0.25">
      <c r="A14" s="141" t="s">
        <v>21</v>
      </c>
      <c r="B14" s="142" t="s">
        <v>5</v>
      </c>
      <c r="C14" s="142" t="s">
        <v>22</v>
      </c>
      <c r="D14" s="142" t="s">
        <v>18</v>
      </c>
      <c r="E14" s="143" t="s">
        <v>19</v>
      </c>
      <c r="F14" s="143" t="s">
        <v>19</v>
      </c>
      <c r="G14" s="143" t="s">
        <v>19</v>
      </c>
      <c r="H14" s="143" t="s">
        <v>19</v>
      </c>
      <c r="I14" s="217" t="s">
        <v>84</v>
      </c>
      <c r="J14" s="222">
        <v>1</v>
      </c>
      <c r="K14" s="222">
        <v>0</v>
      </c>
      <c r="L14" s="223">
        <v>0</v>
      </c>
      <c r="M14" s="147">
        <v>0</v>
      </c>
      <c r="N14" s="147">
        <v>0</v>
      </c>
      <c r="O14" s="148"/>
      <c r="P14" s="149"/>
    </row>
    <row r="15" spans="1:16" x14ac:dyDescent="0.25">
      <c r="A15" s="141" t="s">
        <v>23</v>
      </c>
      <c r="B15" s="142" t="s">
        <v>5</v>
      </c>
      <c r="C15" s="142" t="s">
        <v>22</v>
      </c>
      <c r="D15" s="142" t="s">
        <v>18</v>
      </c>
      <c r="E15" s="143" t="s">
        <v>19</v>
      </c>
      <c r="F15" s="143" t="s">
        <v>19</v>
      </c>
      <c r="G15" s="143" t="s">
        <v>19</v>
      </c>
      <c r="H15" s="143" t="s">
        <v>19</v>
      </c>
      <c r="I15" s="217" t="s">
        <v>84</v>
      </c>
      <c r="J15" s="222">
        <v>0</v>
      </c>
      <c r="K15" s="222">
        <v>0</v>
      </c>
      <c r="L15" s="223">
        <v>0</v>
      </c>
      <c r="M15" s="147">
        <v>0</v>
      </c>
      <c r="N15" s="150">
        <v>0</v>
      </c>
      <c r="O15" s="151"/>
      <c r="P15" s="149"/>
    </row>
    <row r="16" spans="1:16" x14ac:dyDescent="0.25">
      <c r="A16" s="141" t="s">
        <v>23</v>
      </c>
      <c r="B16" s="142" t="s">
        <v>24</v>
      </c>
      <c r="C16" s="142" t="s">
        <v>22</v>
      </c>
      <c r="D16" s="142" t="s">
        <v>18</v>
      </c>
      <c r="E16" s="143" t="s">
        <v>19</v>
      </c>
      <c r="F16" s="143" t="s">
        <v>19</v>
      </c>
      <c r="G16" s="143" t="s">
        <v>19</v>
      </c>
      <c r="H16" s="143" t="s">
        <v>19</v>
      </c>
      <c r="I16" s="217" t="s">
        <v>84</v>
      </c>
      <c r="J16" s="222">
        <v>0</v>
      </c>
      <c r="K16" s="222">
        <v>0</v>
      </c>
      <c r="L16" s="223">
        <v>0</v>
      </c>
      <c r="M16" s="147">
        <v>0</v>
      </c>
      <c r="N16" s="147">
        <v>0</v>
      </c>
      <c r="O16" s="148"/>
      <c r="P16" s="149"/>
    </row>
    <row r="17" spans="1:16" x14ac:dyDescent="0.25">
      <c r="A17" s="141" t="s">
        <v>25</v>
      </c>
      <c r="B17" s="142" t="s">
        <v>24</v>
      </c>
      <c r="C17" s="142" t="s">
        <v>26</v>
      </c>
      <c r="D17" s="142" t="s">
        <v>18</v>
      </c>
      <c r="E17" s="152">
        <v>6026929</v>
      </c>
      <c r="F17" s="152">
        <v>4858726</v>
      </c>
      <c r="G17" s="152">
        <v>4801465</v>
      </c>
      <c r="H17" s="153">
        <v>5760000</v>
      </c>
      <c r="I17" s="224">
        <v>9200000</v>
      </c>
      <c r="J17" s="225">
        <v>5126009.0100000007</v>
      </c>
      <c r="K17" s="226">
        <v>3369154.7</v>
      </c>
      <c r="L17" s="297">
        <v>596895.43000000005</v>
      </c>
      <c r="M17" s="154">
        <v>445330.34</v>
      </c>
      <c r="N17" s="154">
        <v>170678.91</v>
      </c>
      <c r="O17" s="155"/>
      <c r="P17" s="156"/>
    </row>
    <row r="18" spans="1:16" x14ac:dyDescent="0.25">
      <c r="A18" s="141" t="s">
        <v>27</v>
      </c>
      <c r="B18" s="142" t="s">
        <v>24</v>
      </c>
      <c r="C18" s="142" t="s">
        <v>17</v>
      </c>
      <c r="D18" s="142" t="s">
        <v>18</v>
      </c>
      <c r="E18" s="157">
        <v>14280</v>
      </c>
      <c r="F18" s="157">
        <v>14280</v>
      </c>
      <c r="G18" s="157">
        <v>14280</v>
      </c>
      <c r="H18" s="158">
        <v>14280</v>
      </c>
      <c r="I18" s="227">
        <v>14280</v>
      </c>
      <c r="J18" s="228">
        <v>0</v>
      </c>
      <c r="K18" s="228">
        <v>0</v>
      </c>
      <c r="L18" s="229">
        <v>0</v>
      </c>
      <c r="M18" s="159">
        <v>0</v>
      </c>
      <c r="N18" s="159">
        <v>0</v>
      </c>
      <c r="O18" s="160"/>
      <c r="P18" s="156"/>
    </row>
    <row r="19" spans="1:16" x14ac:dyDescent="0.25">
      <c r="A19" s="141" t="s">
        <v>28</v>
      </c>
      <c r="B19" s="142" t="s">
        <v>24</v>
      </c>
      <c r="C19" s="142" t="s">
        <v>22</v>
      </c>
      <c r="D19" s="142" t="s">
        <v>18</v>
      </c>
      <c r="E19" s="157">
        <v>20492</v>
      </c>
      <c r="F19" s="157">
        <v>971505</v>
      </c>
      <c r="G19" s="157">
        <v>3837</v>
      </c>
      <c r="H19" s="143" t="s">
        <v>19</v>
      </c>
      <c r="I19" s="230"/>
      <c r="J19" s="231">
        <v>255981</v>
      </c>
      <c r="K19" s="232">
        <v>137704</v>
      </c>
      <c r="L19" s="233">
        <v>19672</v>
      </c>
      <c r="M19" s="161">
        <v>29508</v>
      </c>
      <c r="N19" s="162">
        <v>39344</v>
      </c>
      <c r="O19" s="163"/>
      <c r="P19" s="164"/>
    </row>
    <row r="20" spans="1:16" ht="15.75" thickBot="1" x14ac:dyDescent="0.3">
      <c r="A20" s="141"/>
      <c r="B20" s="142"/>
      <c r="C20" s="142"/>
      <c r="D20" s="142"/>
      <c r="E20" s="142"/>
      <c r="F20" s="142"/>
      <c r="G20" s="142"/>
      <c r="H20" s="142"/>
      <c r="I20" s="181"/>
      <c r="J20" s="234"/>
      <c r="K20" s="234"/>
      <c r="L20" s="235"/>
      <c r="M20" s="165"/>
      <c r="N20" s="166"/>
      <c r="O20" s="167" t="s">
        <v>149</v>
      </c>
      <c r="P20" s="144"/>
    </row>
    <row r="21" spans="1:16" ht="15.75" thickBot="1" x14ac:dyDescent="0.3">
      <c r="A21" s="409"/>
      <c r="B21" s="410"/>
      <c r="C21" s="410"/>
      <c r="D21" s="410"/>
      <c r="E21" s="410"/>
      <c r="F21" s="410"/>
      <c r="G21" s="410"/>
      <c r="H21" s="410"/>
      <c r="I21" s="410"/>
      <c r="J21" s="407"/>
      <c r="K21" s="407"/>
      <c r="L21" s="407"/>
      <c r="M21" s="407"/>
      <c r="N21" s="407"/>
      <c r="O21" s="407"/>
      <c r="P21" s="411"/>
    </row>
    <row r="22" spans="1:16" x14ac:dyDescent="0.25">
      <c r="A22" s="168" t="s">
        <v>30</v>
      </c>
      <c r="B22" s="169"/>
      <c r="C22" s="169"/>
      <c r="D22" s="169"/>
      <c r="E22" s="169"/>
      <c r="F22" s="169"/>
      <c r="G22" s="169"/>
      <c r="H22" s="169"/>
      <c r="I22" s="169"/>
      <c r="J22" s="298"/>
      <c r="K22" s="298"/>
      <c r="L22" s="170"/>
      <c r="M22" s="171"/>
      <c r="N22" s="171"/>
      <c r="O22" s="172"/>
      <c r="P22" s="173"/>
    </row>
    <row r="23" spans="1:16" x14ac:dyDescent="0.25">
      <c r="A23" s="174" t="s">
        <v>31</v>
      </c>
      <c r="B23" s="142" t="s">
        <v>5</v>
      </c>
      <c r="C23" s="142" t="s">
        <v>32</v>
      </c>
      <c r="D23" s="142" t="s">
        <v>33</v>
      </c>
      <c r="E23" s="142">
        <v>33</v>
      </c>
      <c r="F23" s="142">
        <v>33</v>
      </c>
      <c r="G23" s="142">
        <v>48</v>
      </c>
      <c r="H23" s="142">
        <v>48</v>
      </c>
      <c r="I23" s="142">
        <v>47</v>
      </c>
      <c r="J23" s="181">
        <v>34</v>
      </c>
      <c r="K23" s="215">
        <f>+K24+K28+K29+K31+K35</f>
        <v>33</v>
      </c>
      <c r="L23" s="175">
        <f>+L24+L28+L29+L31</f>
        <v>32</v>
      </c>
      <c r="M23" s="176">
        <f>+M24+M28+M35</f>
        <v>33</v>
      </c>
      <c r="N23" s="236">
        <f>SUM(N25:N28)</f>
        <v>32</v>
      </c>
      <c r="O23" s="215"/>
      <c r="P23" s="144"/>
    </row>
    <row r="24" spans="1:16" x14ac:dyDescent="0.25">
      <c r="A24" s="174" t="s">
        <v>34</v>
      </c>
      <c r="B24" s="142" t="s">
        <v>5</v>
      </c>
      <c r="C24" s="142" t="s">
        <v>32</v>
      </c>
      <c r="D24" s="142" t="s">
        <v>33</v>
      </c>
      <c r="E24" s="142">
        <v>16</v>
      </c>
      <c r="F24" s="142">
        <v>16</v>
      </c>
      <c r="G24" s="142">
        <v>22</v>
      </c>
      <c r="H24" s="142">
        <v>22</v>
      </c>
      <c r="I24" s="142">
        <v>19</v>
      </c>
      <c r="J24" s="181">
        <v>17</v>
      </c>
      <c r="K24" s="146">
        <f>SUM(K25:K27)</f>
        <v>16</v>
      </c>
      <c r="L24" s="175">
        <f>+L25+L26+L27</f>
        <v>16</v>
      </c>
      <c r="M24" s="177">
        <f>+M25+M26+M27</f>
        <v>17</v>
      </c>
      <c r="N24" s="177">
        <v>16</v>
      </c>
      <c r="O24" s="237"/>
      <c r="P24" s="144"/>
    </row>
    <row r="25" spans="1:16" x14ac:dyDescent="0.25">
      <c r="A25" s="141" t="s">
        <v>35</v>
      </c>
      <c r="B25" s="142" t="s">
        <v>5</v>
      </c>
      <c r="C25" s="142" t="s">
        <v>32</v>
      </c>
      <c r="D25" s="142" t="s">
        <v>33</v>
      </c>
      <c r="E25" s="142">
        <v>1</v>
      </c>
      <c r="F25" s="142">
        <v>1</v>
      </c>
      <c r="G25" s="142">
        <v>1</v>
      </c>
      <c r="H25" s="142">
        <v>1</v>
      </c>
      <c r="I25" s="142">
        <v>1</v>
      </c>
      <c r="J25" s="181">
        <v>2</v>
      </c>
      <c r="K25" s="146">
        <v>2</v>
      </c>
      <c r="L25" s="175">
        <v>2</v>
      </c>
      <c r="M25" s="177">
        <v>2</v>
      </c>
      <c r="N25" s="177">
        <v>2</v>
      </c>
      <c r="O25" s="237"/>
      <c r="P25" s="144"/>
    </row>
    <row r="26" spans="1:16" x14ac:dyDescent="0.25">
      <c r="A26" s="141" t="s">
        <v>36</v>
      </c>
      <c r="B26" s="142" t="s">
        <v>5</v>
      </c>
      <c r="C26" s="142" t="s">
        <v>32</v>
      </c>
      <c r="D26" s="142" t="s">
        <v>33</v>
      </c>
      <c r="E26" s="142">
        <v>5</v>
      </c>
      <c r="F26" s="142">
        <v>5</v>
      </c>
      <c r="G26" s="142">
        <v>6</v>
      </c>
      <c r="H26" s="142">
        <v>6</v>
      </c>
      <c r="I26" s="142">
        <v>5</v>
      </c>
      <c r="J26" s="181">
        <v>2</v>
      </c>
      <c r="K26" s="146">
        <v>2</v>
      </c>
      <c r="L26" s="175">
        <v>2</v>
      </c>
      <c r="M26" s="177">
        <v>2</v>
      </c>
      <c r="N26" s="177">
        <v>2</v>
      </c>
      <c r="O26" s="237"/>
      <c r="P26" s="144"/>
    </row>
    <row r="27" spans="1:16" x14ac:dyDescent="0.25">
      <c r="A27" s="141" t="s">
        <v>37</v>
      </c>
      <c r="B27" s="142" t="s">
        <v>5</v>
      </c>
      <c r="C27" s="142" t="s">
        <v>32</v>
      </c>
      <c r="D27" s="142" t="s">
        <v>33</v>
      </c>
      <c r="E27" s="142">
        <v>10</v>
      </c>
      <c r="F27" s="142">
        <v>10</v>
      </c>
      <c r="G27" s="142">
        <v>15</v>
      </c>
      <c r="H27" s="142">
        <v>15</v>
      </c>
      <c r="I27" s="142">
        <v>13</v>
      </c>
      <c r="J27" s="181">
        <v>13</v>
      </c>
      <c r="K27" s="146">
        <v>12</v>
      </c>
      <c r="L27" s="175">
        <v>12</v>
      </c>
      <c r="M27" s="177">
        <v>13</v>
      </c>
      <c r="N27" s="177">
        <v>14</v>
      </c>
      <c r="O27" s="237"/>
      <c r="P27" s="144"/>
    </row>
    <row r="28" spans="1:16" x14ac:dyDescent="0.25">
      <c r="A28" s="174" t="s">
        <v>38</v>
      </c>
      <c r="B28" s="142" t="s">
        <v>5</v>
      </c>
      <c r="C28" s="142" t="s">
        <v>32</v>
      </c>
      <c r="D28" s="142" t="s">
        <v>33</v>
      </c>
      <c r="E28" s="142">
        <v>15</v>
      </c>
      <c r="F28" s="142">
        <v>15</v>
      </c>
      <c r="G28" s="142">
        <v>24</v>
      </c>
      <c r="H28" s="142">
        <v>24</v>
      </c>
      <c r="I28" s="142">
        <v>26</v>
      </c>
      <c r="J28" s="181">
        <v>15</v>
      </c>
      <c r="K28" s="146">
        <v>14</v>
      </c>
      <c r="L28" s="175">
        <v>14</v>
      </c>
      <c r="M28" s="177">
        <v>14</v>
      </c>
      <c r="N28" s="177">
        <v>14</v>
      </c>
      <c r="O28" s="237"/>
      <c r="P28" s="144"/>
    </row>
    <row r="29" spans="1:16" x14ac:dyDescent="0.25">
      <c r="A29" s="141" t="s">
        <v>39</v>
      </c>
      <c r="B29" s="142" t="s">
        <v>5</v>
      </c>
      <c r="C29" s="142" t="s">
        <v>32</v>
      </c>
      <c r="D29" s="142" t="s">
        <v>33</v>
      </c>
      <c r="E29" s="142">
        <v>2</v>
      </c>
      <c r="F29" s="142">
        <v>2</v>
      </c>
      <c r="G29" s="142">
        <v>2</v>
      </c>
      <c r="H29" s="142">
        <v>2</v>
      </c>
      <c r="I29" s="142">
        <v>2</v>
      </c>
      <c r="J29" s="181">
        <v>1</v>
      </c>
      <c r="K29" s="146">
        <v>1</v>
      </c>
      <c r="L29" s="175">
        <v>1</v>
      </c>
      <c r="M29" s="177">
        <v>0</v>
      </c>
      <c r="N29" s="177">
        <v>0</v>
      </c>
      <c r="O29" s="237"/>
      <c r="P29" s="144"/>
    </row>
    <row r="30" spans="1:16" x14ac:dyDescent="0.25">
      <c r="A30" s="141" t="s">
        <v>40</v>
      </c>
      <c r="B30" s="142" t="s">
        <v>5</v>
      </c>
      <c r="C30" s="142" t="s">
        <v>32</v>
      </c>
      <c r="D30" s="142" t="s">
        <v>33</v>
      </c>
      <c r="E30" s="142">
        <v>35</v>
      </c>
      <c r="F30" s="142">
        <v>33</v>
      </c>
      <c r="G30" s="142">
        <v>48</v>
      </c>
      <c r="H30" s="142">
        <v>48</v>
      </c>
      <c r="I30" s="142">
        <v>47</v>
      </c>
      <c r="J30" s="181">
        <v>34</v>
      </c>
      <c r="K30" s="146">
        <f>SUM(K25:K29)</f>
        <v>31</v>
      </c>
      <c r="L30" s="175">
        <f>+L31+L32+L33+L34+L35</f>
        <v>33</v>
      </c>
      <c r="M30" s="177">
        <f>+M31+M32+M33+M34+M35</f>
        <v>33</v>
      </c>
      <c r="N30" s="177">
        <f>SUM(N31:N37)</f>
        <v>32</v>
      </c>
      <c r="O30" s="237"/>
      <c r="P30" s="144"/>
    </row>
    <row r="31" spans="1:16" x14ac:dyDescent="0.25">
      <c r="A31" s="141" t="s">
        <v>41</v>
      </c>
      <c r="B31" s="142" t="s">
        <v>5</v>
      </c>
      <c r="C31" s="142" t="s">
        <v>32</v>
      </c>
      <c r="D31" s="142" t="s">
        <v>33</v>
      </c>
      <c r="E31" s="142">
        <v>1</v>
      </c>
      <c r="F31" s="142">
        <v>1</v>
      </c>
      <c r="G31" s="142">
        <v>1</v>
      </c>
      <c r="H31" s="142">
        <v>1</v>
      </c>
      <c r="I31" s="142">
        <v>1</v>
      </c>
      <c r="J31" s="181">
        <v>1</v>
      </c>
      <c r="K31" s="146">
        <v>1</v>
      </c>
      <c r="L31" s="175">
        <v>1</v>
      </c>
      <c r="M31" s="177">
        <v>1</v>
      </c>
      <c r="N31" s="177">
        <v>1</v>
      </c>
      <c r="O31" s="237"/>
      <c r="P31" s="144"/>
    </row>
    <row r="32" spans="1:16" x14ac:dyDescent="0.25">
      <c r="A32" s="141" t="s">
        <v>42</v>
      </c>
      <c r="B32" s="142" t="s">
        <v>5</v>
      </c>
      <c r="C32" s="142" t="s">
        <v>32</v>
      </c>
      <c r="D32" s="142" t="s">
        <v>33</v>
      </c>
      <c r="E32" s="142">
        <v>6</v>
      </c>
      <c r="F32" s="142">
        <v>6</v>
      </c>
      <c r="G32" s="142">
        <v>28</v>
      </c>
      <c r="H32" s="142">
        <v>30</v>
      </c>
      <c r="I32" s="142">
        <v>30</v>
      </c>
      <c r="J32" s="181">
        <v>24</v>
      </c>
      <c r="K32" s="216">
        <v>23</v>
      </c>
      <c r="L32" s="175">
        <v>26</v>
      </c>
      <c r="M32" s="176">
        <v>25</v>
      </c>
      <c r="N32" s="238">
        <v>25</v>
      </c>
      <c r="O32" s="216"/>
      <c r="P32" s="144"/>
    </row>
    <row r="33" spans="1:16" x14ac:dyDescent="0.25">
      <c r="A33" s="141" t="s">
        <v>43</v>
      </c>
      <c r="B33" s="142" t="s">
        <v>5</v>
      </c>
      <c r="C33" s="142" t="s">
        <v>32</v>
      </c>
      <c r="D33" s="142" t="s">
        <v>33</v>
      </c>
      <c r="E33" s="142">
        <v>22</v>
      </c>
      <c r="F33" s="142">
        <v>22</v>
      </c>
      <c r="G33" s="142">
        <v>2</v>
      </c>
      <c r="H33" s="142">
        <v>2</v>
      </c>
      <c r="I33" s="142">
        <v>3</v>
      </c>
      <c r="J33" s="181">
        <v>2</v>
      </c>
      <c r="K33" s="146">
        <v>2</v>
      </c>
      <c r="L33" s="175">
        <v>2</v>
      </c>
      <c r="M33" s="176">
        <v>2</v>
      </c>
      <c r="N33" s="177">
        <v>1</v>
      </c>
      <c r="O33" s="146"/>
      <c r="P33" s="144"/>
    </row>
    <row r="34" spans="1:16" x14ac:dyDescent="0.25">
      <c r="A34" s="141" t="s">
        <v>44</v>
      </c>
      <c r="B34" s="142" t="s">
        <v>5</v>
      </c>
      <c r="C34" s="142" t="s">
        <v>32</v>
      </c>
      <c r="D34" s="142" t="s">
        <v>33</v>
      </c>
      <c r="E34" s="142">
        <v>2</v>
      </c>
      <c r="F34" s="142">
        <v>2</v>
      </c>
      <c r="G34" s="142">
        <v>4</v>
      </c>
      <c r="H34" s="142">
        <v>2</v>
      </c>
      <c r="I34" s="142">
        <v>3</v>
      </c>
      <c r="J34" s="181">
        <v>2</v>
      </c>
      <c r="K34" s="146">
        <v>3</v>
      </c>
      <c r="L34" s="175">
        <v>2</v>
      </c>
      <c r="M34" s="176">
        <v>3</v>
      </c>
      <c r="N34" s="177">
        <v>3</v>
      </c>
      <c r="O34" s="146"/>
      <c r="P34" s="144"/>
    </row>
    <row r="35" spans="1:16" x14ac:dyDescent="0.25">
      <c r="A35" s="141" t="s">
        <v>45</v>
      </c>
      <c r="B35" s="142" t="s">
        <v>5</v>
      </c>
      <c r="C35" s="142" t="s">
        <v>32</v>
      </c>
      <c r="D35" s="142" t="s">
        <v>33</v>
      </c>
      <c r="E35" s="142">
        <v>2</v>
      </c>
      <c r="F35" s="142">
        <v>2</v>
      </c>
      <c r="G35" s="142">
        <v>13</v>
      </c>
      <c r="H35" s="142">
        <v>13</v>
      </c>
      <c r="I35" s="142">
        <v>13</v>
      </c>
      <c r="J35" s="181">
        <v>1</v>
      </c>
      <c r="K35" s="146">
        <v>1</v>
      </c>
      <c r="L35" s="175">
        <v>2</v>
      </c>
      <c r="M35" s="176">
        <v>2</v>
      </c>
      <c r="N35" s="177">
        <v>2</v>
      </c>
      <c r="O35" s="146"/>
      <c r="P35" s="144"/>
    </row>
    <row r="36" spans="1:16" x14ac:dyDescent="0.25">
      <c r="A36" s="141" t="s">
        <v>46</v>
      </c>
      <c r="B36" s="142" t="s">
        <v>5</v>
      </c>
      <c r="C36" s="142" t="s">
        <v>32</v>
      </c>
      <c r="D36" s="142" t="s">
        <v>33</v>
      </c>
      <c r="E36" s="142">
        <v>0</v>
      </c>
      <c r="F36" s="142">
        <v>0</v>
      </c>
      <c r="G36" s="142">
        <v>0</v>
      </c>
      <c r="H36" s="142">
        <v>0</v>
      </c>
      <c r="I36" s="142">
        <v>0</v>
      </c>
      <c r="J36" s="181">
        <v>0</v>
      </c>
      <c r="K36" s="146">
        <v>0</v>
      </c>
      <c r="L36" s="175">
        <v>0</v>
      </c>
      <c r="M36" s="176">
        <v>0</v>
      </c>
      <c r="N36" s="177">
        <v>0</v>
      </c>
      <c r="O36" s="146"/>
      <c r="P36" s="144"/>
    </row>
    <row r="37" spans="1:16" x14ac:dyDescent="0.25">
      <c r="A37" s="141" t="s">
        <v>47</v>
      </c>
      <c r="B37" s="142" t="s">
        <v>5</v>
      </c>
      <c r="C37" s="142"/>
      <c r="D37" s="142" t="s">
        <v>33</v>
      </c>
      <c r="E37" s="142">
        <v>2</v>
      </c>
      <c r="F37" s="142">
        <v>2</v>
      </c>
      <c r="G37" s="142">
        <v>2</v>
      </c>
      <c r="H37" s="142">
        <v>2</v>
      </c>
      <c r="I37" s="142">
        <v>0</v>
      </c>
      <c r="J37" s="181">
        <v>0</v>
      </c>
      <c r="K37" s="146">
        <v>0</v>
      </c>
      <c r="L37" s="175">
        <v>0</v>
      </c>
      <c r="M37" s="176">
        <v>0</v>
      </c>
      <c r="N37" s="177">
        <v>0</v>
      </c>
      <c r="O37" s="146"/>
      <c r="P37" s="144"/>
    </row>
    <row r="38" spans="1:16" x14ac:dyDescent="0.25">
      <c r="A38" s="168" t="s">
        <v>48</v>
      </c>
      <c r="B38" s="169"/>
      <c r="C38" s="169"/>
      <c r="D38" s="169"/>
      <c r="E38" s="169"/>
      <c r="F38" s="169"/>
      <c r="G38" s="169"/>
      <c r="H38" s="169"/>
      <c r="I38" s="169"/>
      <c r="J38" s="299"/>
      <c r="K38" s="180"/>
      <c r="L38" s="178"/>
      <c r="M38" s="179"/>
      <c r="N38" s="169"/>
      <c r="O38" s="180"/>
      <c r="P38" s="173"/>
    </row>
    <row r="39" spans="1:16" x14ac:dyDescent="0.25">
      <c r="A39" s="174" t="s">
        <v>49</v>
      </c>
      <c r="B39" s="142" t="s">
        <v>5</v>
      </c>
      <c r="C39" s="142" t="s">
        <v>32</v>
      </c>
      <c r="D39" s="142" t="s">
        <v>18</v>
      </c>
      <c r="E39" s="142">
        <v>0</v>
      </c>
      <c r="F39" s="142">
        <v>0</v>
      </c>
      <c r="G39" s="142">
        <v>0</v>
      </c>
      <c r="H39" s="142">
        <v>0</v>
      </c>
      <c r="I39" s="142">
        <v>0</v>
      </c>
      <c r="J39" s="181">
        <v>0</v>
      </c>
      <c r="K39" s="146">
        <v>0</v>
      </c>
      <c r="L39" s="175">
        <v>0</v>
      </c>
      <c r="M39" s="182">
        <v>0</v>
      </c>
      <c r="N39" s="177">
        <v>0</v>
      </c>
      <c r="O39" s="146"/>
      <c r="P39" s="144"/>
    </row>
    <row r="40" spans="1:16" x14ac:dyDescent="0.25">
      <c r="A40" s="174" t="s">
        <v>50</v>
      </c>
      <c r="B40" s="142" t="s">
        <v>5</v>
      </c>
      <c r="C40" s="142" t="s">
        <v>32</v>
      </c>
      <c r="D40" s="142" t="s">
        <v>33</v>
      </c>
      <c r="E40" s="142">
        <v>77</v>
      </c>
      <c r="F40" s="142">
        <v>77</v>
      </c>
      <c r="G40" s="142">
        <v>83</v>
      </c>
      <c r="H40" s="142">
        <v>111</v>
      </c>
      <c r="I40" s="142">
        <v>99</v>
      </c>
      <c r="J40" s="181">
        <v>109</v>
      </c>
      <c r="K40" s="146">
        <v>109</v>
      </c>
      <c r="L40" s="175">
        <v>109</v>
      </c>
      <c r="M40" s="176">
        <v>109</v>
      </c>
      <c r="N40" s="177">
        <v>109</v>
      </c>
      <c r="O40" s="146"/>
      <c r="P40" s="144"/>
    </row>
    <row r="41" spans="1:16" x14ac:dyDescent="0.25">
      <c r="A41" s="141" t="s">
        <v>51</v>
      </c>
      <c r="B41" s="142" t="s">
        <v>5</v>
      </c>
      <c r="C41" s="142" t="s">
        <v>32</v>
      </c>
      <c r="D41" s="142" t="s">
        <v>33</v>
      </c>
      <c r="E41" s="142">
        <v>58</v>
      </c>
      <c r="F41" s="142">
        <v>58</v>
      </c>
      <c r="G41" s="142">
        <v>64</v>
      </c>
      <c r="H41" s="142">
        <v>87</v>
      </c>
      <c r="I41" s="142">
        <v>80</v>
      </c>
      <c r="J41" s="181">
        <v>78</v>
      </c>
      <c r="K41" s="146">
        <f>78+14+26</f>
        <v>118</v>
      </c>
      <c r="L41" s="175">
        <v>118</v>
      </c>
      <c r="M41" s="176">
        <v>118</v>
      </c>
      <c r="N41" s="177">
        <v>118</v>
      </c>
      <c r="O41" s="146"/>
      <c r="P41" s="144"/>
    </row>
    <row r="42" spans="1:16" ht="15.75" thickBot="1" x14ac:dyDescent="0.3">
      <c r="A42" s="183" t="s">
        <v>52</v>
      </c>
      <c r="B42" s="184" t="s">
        <v>5</v>
      </c>
      <c r="C42" s="184" t="s">
        <v>32</v>
      </c>
      <c r="D42" s="184" t="s">
        <v>33</v>
      </c>
      <c r="E42" s="184">
        <v>19</v>
      </c>
      <c r="F42" s="184">
        <v>19</v>
      </c>
      <c r="G42" s="184">
        <v>19</v>
      </c>
      <c r="H42" s="184">
        <v>24</v>
      </c>
      <c r="I42" s="184">
        <v>19</v>
      </c>
      <c r="J42" s="185">
        <v>31</v>
      </c>
      <c r="K42" s="167">
        <f>31+4</f>
        <v>35</v>
      </c>
      <c r="L42" s="186">
        <v>35</v>
      </c>
      <c r="M42" s="187">
        <v>35</v>
      </c>
      <c r="N42" s="166">
        <v>35</v>
      </c>
      <c r="O42" s="167"/>
      <c r="P42" s="188"/>
    </row>
  </sheetData>
  <mergeCells count="9">
    <mergeCell ref="A11:P11"/>
    <mergeCell ref="A21:P21"/>
    <mergeCell ref="A1:P1"/>
    <mergeCell ref="A8:A10"/>
    <mergeCell ref="B8:B10"/>
    <mergeCell ref="C8:C10"/>
    <mergeCell ref="D8:D10"/>
    <mergeCell ref="J8:P8"/>
    <mergeCell ref="L9:O9"/>
  </mergeCells>
  <printOptions horizontalCentered="1"/>
  <pageMargins left="0.70866141732283472" right="0.70866141732283472" top="0.4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J16" workbookViewId="0">
      <selection activeCell="B20" sqref="B20"/>
    </sheetView>
  </sheetViews>
  <sheetFormatPr baseColWidth="10" defaultRowHeight="15" x14ac:dyDescent="0.25"/>
  <cols>
    <col min="1" max="1" width="12.5703125" style="309" customWidth="1"/>
    <col min="2" max="2" width="52.140625" style="309" bestFit="1" customWidth="1"/>
    <col min="3" max="3" width="10" style="309" customWidth="1"/>
    <col min="4" max="4" width="11" style="309" customWidth="1"/>
    <col min="5" max="5" width="17.42578125" style="309" customWidth="1"/>
    <col min="6" max="6" width="17.140625" style="309" customWidth="1"/>
    <col min="7" max="7" width="18.7109375" style="309" customWidth="1"/>
    <col min="8" max="8" width="17.85546875" style="309" customWidth="1"/>
    <col min="9" max="9" width="18.140625" style="309" customWidth="1"/>
    <col min="10" max="10" width="17.5703125" style="309" bestFit="1" customWidth="1"/>
    <col min="11" max="11" width="16.140625" style="309" customWidth="1"/>
    <col min="12" max="12" width="14.7109375" style="309" customWidth="1"/>
    <col min="13" max="13" width="20.140625" style="309" customWidth="1"/>
    <col min="14" max="14" width="17.5703125" style="309" bestFit="1" customWidth="1"/>
    <col min="15" max="16384" width="11.42578125" style="309"/>
  </cols>
  <sheetData>
    <row r="1" spans="1:16" x14ac:dyDescent="0.25">
      <c r="A1" s="427" t="s">
        <v>151</v>
      </c>
      <c r="B1" s="428"/>
      <c r="C1" s="429" t="s">
        <v>4</v>
      </c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</row>
    <row r="2" spans="1:16" x14ac:dyDescent="0.25">
      <c r="A2" s="427" t="s">
        <v>98</v>
      </c>
      <c r="B2" s="428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</row>
    <row r="3" spans="1:16" x14ac:dyDescent="0.25">
      <c r="A3" s="427" t="s">
        <v>152</v>
      </c>
      <c r="B3" s="428"/>
      <c r="C3" s="430" t="s">
        <v>154</v>
      </c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</row>
    <row r="4" spans="1:16" x14ac:dyDescent="0.25">
      <c r="A4" s="426" t="s">
        <v>99</v>
      </c>
      <c r="B4" s="431"/>
      <c r="C4" s="433" t="s">
        <v>100</v>
      </c>
      <c r="D4" s="433" t="s">
        <v>101</v>
      </c>
      <c r="E4" s="424">
        <v>2015</v>
      </c>
      <c r="F4" s="424">
        <v>2016</v>
      </c>
      <c r="G4" s="424">
        <v>2017</v>
      </c>
      <c r="H4" s="439">
        <v>2017</v>
      </c>
      <c r="I4" s="440"/>
      <c r="J4" s="440"/>
      <c r="K4" s="440"/>
      <c r="L4" s="429">
        <v>2017</v>
      </c>
      <c r="M4" s="424">
        <v>2018</v>
      </c>
      <c r="N4" s="424">
        <v>2019</v>
      </c>
    </row>
    <row r="5" spans="1:16" x14ac:dyDescent="0.25">
      <c r="A5" s="432"/>
      <c r="B5" s="431"/>
      <c r="C5" s="434"/>
      <c r="D5" s="435"/>
      <c r="E5" s="425"/>
      <c r="F5" s="425"/>
      <c r="G5" s="425"/>
      <c r="H5" s="441"/>
      <c r="I5" s="442"/>
      <c r="J5" s="442"/>
      <c r="K5" s="442"/>
      <c r="L5" s="429"/>
      <c r="M5" s="425"/>
      <c r="N5" s="425"/>
    </row>
    <row r="6" spans="1:16" ht="25.5" x14ac:dyDescent="0.25">
      <c r="A6" s="432"/>
      <c r="B6" s="431"/>
      <c r="C6" s="434"/>
      <c r="D6" s="435"/>
      <c r="E6" s="310" t="s">
        <v>102</v>
      </c>
      <c r="F6" s="310" t="s">
        <v>102</v>
      </c>
      <c r="G6" s="310" t="s">
        <v>103</v>
      </c>
      <c r="H6" s="310" t="s">
        <v>104</v>
      </c>
      <c r="I6" s="310" t="s">
        <v>105</v>
      </c>
      <c r="J6" s="310" t="s">
        <v>106</v>
      </c>
      <c r="K6" s="310" t="s">
        <v>107</v>
      </c>
      <c r="L6" s="310" t="s">
        <v>102</v>
      </c>
      <c r="M6" s="311" t="s">
        <v>103</v>
      </c>
      <c r="N6" s="310" t="s">
        <v>103</v>
      </c>
    </row>
    <row r="7" spans="1:16" x14ac:dyDescent="0.25">
      <c r="A7" s="426" t="s">
        <v>108</v>
      </c>
      <c r="B7" s="312" t="s">
        <v>109</v>
      </c>
      <c r="C7" s="313" t="s">
        <v>5</v>
      </c>
      <c r="D7" s="313" t="s">
        <v>53</v>
      </c>
      <c r="E7" s="314">
        <v>28537924</v>
      </c>
      <c r="F7" s="314">
        <v>25895055</v>
      </c>
      <c r="G7" s="315">
        <f>F7*1.1</f>
        <v>28484560.500000004</v>
      </c>
      <c r="H7" s="316">
        <v>6104687</v>
      </c>
      <c r="I7" s="317">
        <v>6461824</v>
      </c>
      <c r="J7" s="318">
        <v>7022423</v>
      </c>
      <c r="K7" s="319"/>
      <c r="L7" s="318"/>
      <c r="M7" s="318">
        <f>G7*1.1</f>
        <v>31333016.550000008</v>
      </c>
      <c r="N7" s="318">
        <f>M7*1.1</f>
        <v>34466318.205000013</v>
      </c>
      <c r="O7" s="320"/>
      <c r="P7" s="321"/>
    </row>
    <row r="8" spans="1:16" x14ac:dyDescent="0.25">
      <c r="A8" s="426"/>
      <c r="B8" s="312" t="s">
        <v>110</v>
      </c>
      <c r="C8" s="313" t="s">
        <v>24</v>
      </c>
      <c r="D8" s="313" t="s">
        <v>53</v>
      </c>
      <c r="E8" s="314">
        <v>1171827973.158</v>
      </c>
      <c r="F8" s="314">
        <v>1411708908.4000001</v>
      </c>
      <c r="G8" s="318">
        <f>F8*1.2</f>
        <v>1694050690.0800002</v>
      </c>
      <c r="H8" s="318">
        <v>368999005.07999998</v>
      </c>
      <c r="I8" s="318">
        <v>407479626.88</v>
      </c>
      <c r="J8" s="318">
        <v>452676642.24000001</v>
      </c>
      <c r="K8" s="318"/>
      <c r="L8" s="318"/>
      <c r="M8" s="318">
        <f>G8*1.2</f>
        <v>2032860828.0960002</v>
      </c>
      <c r="N8" s="318">
        <f>M8*1.2</f>
        <v>2439432993.7151999</v>
      </c>
      <c r="O8" s="320"/>
      <c r="P8" s="321"/>
    </row>
    <row r="9" spans="1:16" x14ac:dyDescent="0.25">
      <c r="A9" s="426"/>
      <c r="B9" s="312" t="s">
        <v>111</v>
      </c>
      <c r="C9" s="313" t="s">
        <v>24</v>
      </c>
      <c r="D9" s="313" t="s">
        <v>53</v>
      </c>
      <c r="E9" s="314">
        <v>73637576</v>
      </c>
      <c r="F9" s="314">
        <v>84792293</v>
      </c>
      <c r="G9" s="318">
        <f>F9*1.15</f>
        <v>97511136.949999988</v>
      </c>
      <c r="H9" s="322">
        <v>27208998</v>
      </c>
      <c r="I9" s="318">
        <v>27430505</v>
      </c>
      <c r="J9" s="323">
        <v>34575430</v>
      </c>
      <c r="K9" s="318"/>
      <c r="L9" s="318"/>
      <c r="M9" s="318">
        <f>F9*1.15</f>
        <v>97511136.949999988</v>
      </c>
      <c r="N9" s="318">
        <f>M9*1.15</f>
        <v>112137807.49249998</v>
      </c>
      <c r="O9" s="320"/>
      <c r="P9" s="321"/>
    </row>
    <row r="10" spans="1:16" x14ac:dyDescent="0.25">
      <c r="A10" s="426"/>
      <c r="B10" s="324" t="s">
        <v>112</v>
      </c>
      <c r="C10" s="325" t="s">
        <v>5</v>
      </c>
      <c r="D10" s="325" t="s">
        <v>53</v>
      </c>
      <c r="E10" s="326">
        <v>593</v>
      </c>
      <c r="F10" s="326">
        <v>593</v>
      </c>
      <c r="G10" s="326">
        <f>F10+40</f>
        <v>633</v>
      </c>
      <c r="H10" s="327">
        <v>593</v>
      </c>
      <c r="I10" s="326">
        <v>615</v>
      </c>
      <c r="J10" s="326">
        <v>615</v>
      </c>
      <c r="K10" s="326"/>
      <c r="L10" s="326"/>
      <c r="M10" s="326">
        <f>G10*1.01</f>
        <v>639.33000000000004</v>
      </c>
      <c r="N10" s="326">
        <f>M10*1.01</f>
        <v>645.72329999999999</v>
      </c>
    </row>
    <row r="11" spans="1:16" x14ac:dyDescent="0.25">
      <c r="A11" s="426"/>
      <c r="B11" s="312" t="s">
        <v>113</v>
      </c>
      <c r="C11" s="313" t="s">
        <v>24</v>
      </c>
      <c r="D11" s="313" t="s">
        <v>53</v>
      </c>
      <c r="E11" s="314">
        <v>849681774</v>
      </c>
      <c r="F11" s="314">
        <v>837529502</v>
      </c>
      <c r="G11" s="318">
        <f>F11/1.01</f>
        <v>829237130.69306934</v>
      </c>
      <c r="H11" s="318">
        <v>235926437</v>
      </c>
      <c r="I11" s="318">
        <v>234590323</v>
      </c>
      <c r="J11" s="328">
        <v>284709508</v>
      </c>
      <c r="K11" s="318"/>
      <c r="L11" s="318"/>
      <c r="M11" s="318">
        <v>1468250105.4719999</v>
      </c>
      <c r="N11" s="318">
        <v>1223541754.5599999</v>
      </c>
    </row>
    <row r="12" spans="1:16" x14ac:dyDescent="0.25">
      <c r="A12" s="426"/>
      <c r="B12" s="312" t="s">
        <v>114</v>
      </c>
      <c r="C12" s="313" t="s">
        <v>115</v>
      </c>
      <c r="D12" s="313" t="s">
        <v>53</v>
      </c>
      <c r="E12" s="314">
        <v>1405822.3675203959</v>
      </c>
      <c r="F12" s="314">
        <v>1412360.0370994941</v>
      </c>
      <c r="G12" s="318">
        <f>G11/G10</f>
        <v>1310011.2649179611</v>
      </c>
      <c r="H12" s="318">
        <f>H11/H10</f>
        <v>397852.33895446878</v>
      </c>
      <c r="I12" s="318">
        <f>I11/I10</f>
        <v>381447.67967479676</v>
      </c>
      <c r="J12" s="318">
        <f>J11/J10</f>
        <v>462942.28943089431</v>
      </c>
      <c r="K12" s="318"/>
      <c r="L12" s="318"/>
      <c r="M12" s="318">
        <v>2429261.0510752439</v>
      </c>
      <c r="N12" s="318">
        <v>2024384.2092293699</v>
      </c>
    </row>
    <row r="13" spans="1:16" x14ac:dyDescent="0.25">
      <c r="A13" s="426"/>
      <c r="B13" s="324" t="s">
        <v>116</v>
      </c>
      <c r="C13" s="325" t="s">
        <v>5</v>
      </c>
      <c r="D13" s="325" t="s">
        <v>53</v>
      </c>
      <c r="E13" s="326">
        <v>1722</v>
      </c>
      <c r="F13" s="326">
        <v>1566</v>
      </c>
      <c r="G13" s="326">
        <v>1160</v>
      </c>
      <c r="H13" s="329">
        <v>1466</v>
      </c>
      <c r="I13" s="326">
        <v>1150</v>
      </c>
      <c r="J13" s="326">
        <v>1151</v>
      </c>
      <c r="K13" s="326"/>
      <c r="L13" s="326"/>
      <c r="M13" s="326">
        <f>G13*1.01</f>
        <v>1171.5999999999999</v>
      </c>
      <c r="N13" s="326">
        <f>M13*1.01</f>
        <v>1183.316</v>
      </c>
    </row>
    <row r="14" spans="1:16" x14ac:dyDescent="0.25">
      <c r="A14" s="426"/>
      <c r="B14" s="312" t="s">
        <v>117</v>
      </c>
      <c r="C14" s="313" t="s">
        <v>24</v>
      </c>
      <c r="D14" s="313" t="s">
        <v>53</v>
      </c>
      <c r="E14" s="330">
        <v>1847201081</v>
      </c>
      <c r="F14" s="330">
        <v>2125924826</v>
      </c>
      <c r="G14" s="318">
        <f>F15*F13*1.15</f>
        <v>2279426011.4383283</v>
      </c>
      <c r="H14" s="328">
        <v>578431987</v>
      </c>
      <c r="I14" s="328">
        <v>519599333</v>
      </c>
      <c r="J14" s="328">
        <v>537135006</v>
      </c>
      <c r="K14" s="328"/>
      <c r="L14" s="328"/>
      <c r="M14" s="328">
        <f>G14*1.15</f>
        <v>2621339913.1540775</v>
      </c>
      <c r="N14" s="328">
        <f>M14*1.15</f>
        <v>3014540900.1271892</v>
      </c>
    </row>
    <row r="15" spans="1:16" x14ac:dyDescent="0.25">
      <c r="A15" s="426"/>
      <c r="B15" s="312" t="s">
        <v>118</v>
      </c>
      <c r="C15" s="313" t="s">
        <v>115</v>
      </c>
      <c r="D15" s="313" t="s">
        <v>7</v>
      </c>
      <c r="E15" s="330">
        <v>484017545.65635598</v>
      </c>
      <c r="F15" s="330">
        <v>1265714.92666907</v>
      </c>
      <c r="G15" s="318">
        <f>G14/G13</f>
        <v>1965022.4236537314</v>
      </c>
      <c r="H15" s="328">
        <f>H14/H13</f>
        <v>394564.79331514327</v>
      </c>
      <c r="I15" s="328">
        <f>I14/I13</f>
        <v>451825.50695652171</v>
      </c>
      <c r="J15" s="328">
        <f>J14/J13</f>
        <v>466668.11989574286</v>
      </c>
      <c r="K15" s="328"/>
      <c r="L15" s="328"/>
      <c r="M15" s="328">
        <f>M14/M13</f>
        <v>2237401.7695067241</v>
      </c>
      <c r="N15" s="328">
        <f>N14/N13</f>
        <v>2547536.6682502301</v>
      </c>
    </row>
    <row r="16" spans="1:16" x14ac:dyDescent="0.25">
      <c r="A16" s="426"/>
      <c r="B16" s="312" t="s">
        <v>119</v>
      </c>
      <c r="C16" s="313" t="s">
        <v>5</v>
      </c>
      <c r="D16" s="331" t="s">
        <v>53</v>
      </c>
      <c r="E16" s="331">
        <v>0</v>
      </c>
      <c r="F16" s="331">
        <v>0</v>
      </c>
      <c r="G16" s="331">
        <v>0</v>
      </c>
      <c r="H16" s="331">
        <v>0</v>
      </c>
      <c r="I16" s="331">
        <v>0</v>
      </c>
      <c r="J16" s="331">
        <v>0</v>
      </c>
      <c r="K16" s="331"/>
      <c r="L16" s="331"/>
      <c r="M16" s="331">
        <v>0</v>
      </c>
      <c r="N16" s="331">
        <v>0</v>
      </c>
    </row>
    <row r="17" spans="1:16" x14ac:dyDescent="0.25">
      <c r="A17" s="426"/>
      <c r="B17" s="312" t="s">
        <v>120</v>
      </c>
      <c r="C17" s="313" t="s">
        <v>5</v>
      </c>
      <c r="D17" s="313" t="s">
        <v>53</v>
      </c>
      <c r="E17" s="314">
        <v>21</v>
      </c>
      <c r="F17" s="314">
        <v>20</v>
      </c>
      <c r="G17" s="314">
        <v>20</v>
      </c>
      <c r="H17" s="332">
        <v>3</v>
      </c>
      <c r="I17" s="314">
        <v>6</v>
      </c>
      <c r="J17" s="314">
        <v>5</v>
      </c>
      <c r="K17" s="314"/>
      <c r="L17" s="333"/>
      <c r="M17" s="314">
        <v>21</v>
      </c>
      <c r="N17" s="314">
        <v>22</v>
      </c>
    </row>
    <row r="18" spans="1:16" x14ac:dyDescent="0.25">
      <c r="A18" s="426"/>
      <c r="B18" s="312" t="s">
        <v>121</v>
      </c>
      <c r="C18" s="334" t="s">
        <v>24</v>
      </c>
      <c r="D18" s="334" t="s">
        <v>53</v>
      </c>
      <c r="E18" s="335">
        <v>2408759.5300000003</v>
      </c>
      <c r="F18" s="335">
        <v>1752290.7400000002</v>
      </c>
      <c r="G18" s="336">
        <f>E18*1.16*1.16</f>
        <v>3241226.823568</v>
      </c>
      <c r="H18" s="337">
        <v>597838.94999999995</v>
      </c>
      <c r="I18" s="338">
        <f>148904.59+482876.78+121190.01+147751.05+142430+124944.25</f>
        <v>1168096.68</v>
      </c>
      <c r="J18" s="338">
        <v>1349400.0599999998</v>
      </c>
      <c r="K18" s="318"/>
      <c r="L18" s="318"/>
      <c r="M18" s="336">
        <f>G18*1.1</f>
        <v>3565349.5059248004</v>
      </c>
      <c r="N18" s="336">
        <f>M18*1.1</f>
        <v>3921884.4565172805</v>
      </c>
    </row>
    <row r="19" spans="1:16" x14ac:dyDescent="0.25">
      <c r="A19" s="426"/>
      <c r="B19" s="312" t="s">
        <v>122</v>
      </c>
      <c r="C19" s="313" t="s">
        <v>5</v>
      </c>
      <c r="D19" s="313" t="s">
        <v>53</v>
      </c>
      <c r="E19" s="314">
        <v>309</v>
      </c>
      <c r="F19" s="314">
        <v>345</v>
      </c>
      <c r="G19" s="314">
        <f>F19*1.1</f>
        <v>379.50000000000006</v>
      </c>
      <c r="H19" s="332">
        <v>85</v>
      </c>
      <c r="I19" s="314">
        <v>81</v>
      </c>
      <c r="J19" s="314">
        <v>91</v>
      </c>
      <c r="K19" s="314"/>
      <c r="L19" s="332"/>
      <c r="M19" s="314">
        <v>400</v>
      </c>
      <c r="N19" s="314">
        <v>410</v>
      </c>
      <c r="P19" s="339"/>
    </row>
    <row r="20" spans="1:16" x14ac:dyDescent="0.25">
      <c r="A20" s="426"/>
      <c r="B20" s="312" t="s">
        <v>123</v>
      </c>
      <c r="C20" s="313" t="s">
        <v>5</v>
      </c>
      <c r="D20" s="313" t="s">
        <v>53</v>
      </c>
      <c r="E20" s="314">
        <v>328</v>
      </c>
      <c r="F20" s="314">
        <v>337</v>
      </c>
      <c r="G20" s="314">
        <v>360.8</v>
      </c>
      <c r="H20" s="332">
        <v>90</v>
      </c>
      <c r="I20" s="314">
        <v>87</v>
      </c>
      <c r="J20" s="314">
        <v>92</v>
      </c>
      <c r="K20" s="314"/>
      <c r="L20" s="332"/>
      <c r="M20" s="314">
        <v>370</v>
      </c>
      <c r="N20" s="314">
        <v>390</v>
      </c>
    </row>
    <row r="21" spans="1:16" x14ac:dyDescent="0.25">
      <c r="A21" s="436" t="s">
        <v>29</v>
      </c>
      <c r="B21" s="324" t="s">
        <v>124</v>
      </c>
      <c r="C21" s="325"/>
      <c r="D21" s="340"/>
      <c r="E21" s="325"/>
      <c r="F21" s="325"/>
      <c r="G21" s="341"/>
      <c r="H21" s="342"/>
      <c r="I21" s="325"/>
      <c r="J21" s="325"/>
      <c r="K21" s="325"/>
      <c r="L21" s="325"/>
      <c r="M21" s="343"/>
      <c r="N21" s="325"/>
    </row>
    <row r="22" spans="1:16" x14ac:dyDescent="0.25">
      <c r="A22" s="436"/>
      <c r="B22" s="312" t="s">
        <v>125</v>
      </c>
      <c r="C22" s="334" t="s">
        <v>5</v>
      </c>
      <c r="D22" s="334" t="s">
        <v>53</v>
      </c>
      <c r="E22" s="335">
        <v>738</v>
      </c>
      <c r="F22" s="335">
        <v>645</v>
      </c>
      <c r="G22" s="335">
        <f>H22</f>
        <v>644</v>
      </c>
      <c r="H22" s="344">
        <v>644</v>
      </c>
      <c r="I22" s="314">
        <v>641</v>
      </c>
      <c r="J22" s="335">
        <v>636</v>
      </c>
      <c r="K22" s="335"/>
      <c r="L22" s="335"/>
      <c r="M22" s="345">
        <f>G22</f>
        <v>644</v>
      </c>
      <c r="N22" s="335">
        <f>M22+3</f>
        <v>647</v>
      </c>
    </row>
    <row r="23" spans="1:16" x14ac:dyDescent="0.25">
      <c r="A23" s="436"/>
      <c r="B23" s="312" t="s">
        <v>126</v>
      </c>
      <c r="C23" s="334" t="s">
        <v>5</v>
      </c>
      <c r="D23" s="334" t="s">
        <v>53</v>
      </c>
      <c r="E23" s="335">
        <v>65</v>
      </c>
      <c r="F23" s="335">
        <v>71</v>
      </c>
      <c r="G23" s="335">
        <f t="shared" ref="G23:G32" si="0">H23</f>
        <v>71</v>
      </c>
      <c r="H23" s="344">
        <v>71</v>
      </c>
      <c r="I23" s="314">
        <v>70</v>
      </c>
      <c r="J23" s="335">
        <v>70</v>
      </c>
      <c r="K23" s="335"/>
      <c r="L23" s="335"/>
      <c r="M23" s="345">
        <f t="shared" ref="M23:M32" si="1">G23</f>
        <v>71</v>
      </c>
      <c r="N23" s="335">
        <f t="shared" ref="N23:N31" si="2">M23+3</f>
        <v>74</v>
      </c>
    </row>
    <row r="24" spans="1:16" x14ac:dyDescent="0.25">
      <c r="A24" s="436"/>
      <c r="B24" s="312" t="s">
        <v>127</v>
      </c>
      <c r="C24" s="334" t="s">
        <v>5</v>
      </c>
      <c r="D24" s="334" t="s">
        <v>53</v>
      </c>
      <c r="E24" s="335">
        <v>119</v>
      </c>
      <c r="F24" s="335">
        <v>114</v>
      </c>
      <c r="G24" s="335">
        <f t="shared" si="0"/>
        <v>113</v>
      </c>
      <c r="H24" s="344">
        <v>113</v>
      </c>
      <c r="I24" s="314">
        <v>113</v>
      </c>
      <c r="J24" s="335">
        <v>112</v>
      </c>
      <c r="K24" s="335"/>
      <c r="L24" s="335"/>
      <c r="M24" s="345">
        <f t="shared" si="1"/>
        <v>113</v>
      </c>
      <c r="N24" s="335">
        <f t="shared" si="2"/>
        <v>116</v>
      </c>
    </row>
    <row r="25" spans="1:16" x14ac:dyDescent="0.25">
      <c r="A25" s="436"/>
      <c r="B25" s="312" t="s">
        <v>128</v>
      </c>
      <c r="C25" s="334" t="s">
        <v>5</v>
      </c>
      <c r="D25" s="334" t="s">
        <v>53</v>
      </c>
      <c r="E25" s="335">
        <v>633</v>
      </c>
      <c r="F25" s="335">
        <v>531</v>
      </c>
      <c r="G25" s="335">
        <f t="shared" si="0"/>
        <v>517</v>
      </c>
      <c r="H25" s="344">
        <v>517</v>
      </c>
      <c r="I25" s="314">
        <v>514</v>
      </c>
      <c r="J25" s="335">
        <v>511</v>
      </c>
      <c r="K25" s="335"/>
      <c r="L25" s="335"/>
      <c r="M25" s="345">
        <f t="shared" si="1"/>
        <v>517</v>
      </c>
      <c r="N25" s="335">
        <f t="shared" si="2"/>
        <v>520</v>
      </c>
    </row>
    <row r="26" spans="1:16" x14ac:dyDescent="0.25">
      <c r="A26" s="436"/>
      <c r="B26" s="312" t="s">
        <v>129</v>
      </c>
      <c r="C26" s="334" t="s">
        <v>5</v>
      </c>
      <c r="D26" s="334" t="s">
        <v>53</v>
      </c>
      <c r="E26" s="335">
        <v>733</v>
      </c>
      <c r="F26" s="335">
        <v>663</v>
      </c>
      <c r="G26" s="335">
        <f t="shared" si="0"/>
        <v>644</v>
      </c>
      <c r="H26" s="344">
        <f>H27+H28+H29+H30+H31+H32</f>
        <v>644</v>
      </c>
      <c r="I26" s="314">
        <f>I27+I28+I29+I30+I31+I32</f>
        <v>641</v>
      </c>
      <c r="J26" s="335">
        <v>636</v>
      </c>
      <c r="K26" s="335"/>
      <c r="L26" s="335"/>
      <c r="M26" s="345">
        <f t="shared" si="1"/>
        <v>644</v>
      </c>
      <c r="N26" s="335">
        <f t="shared" si="2"/>
        <v>647</v>
      </c>
    </row>
    <row r="27" spans="1:16" x14ac:dyDescent="0.25">
      <c r="A27" s="436"/>
      <c r="B27" s="312" t="s">
        <v>130</v>
      </c>
      <c r="C27" s="334" t="s">
        <v>5</v>
      </c>
      <c r="D27" s="334" t="s">
        <v>53</v>
      </c>
      <c r="E27" s="335">
        <v>5</v>
      </c>
      <c r="F27" s="335">
        <v>4</v>
      </c>
      <c r="G27" s="335">
        <f t="shared" si="0"/>
        <v>4</v>
      </c>
      <c r="H27" s="344">
        <v>4</v>
      </c>
      <c r="I27" s="314">
        <v>4</v>
      </c>
      <c r="J27" s="335">
        <v>4</v>
      </c>
      <c r="K27" s="335"/>
      <c r="L27" s="335"/>
      <c r="M27" s="345">
        <f t="shared" si="1"/>
        <v>4</v>
      </c>
      <c r="N27" s="335">
        <f t="shared" si="2"/>
        <v>7</v>
      </c>
    </row>
    <row r="28" spans="1:16" x14ac:dyDescent="0.25">
      <c r="A28" s="436"/>
      <c r="B28" s="312" t="s">
        <v>131</v>
      </c>
      <c r="C28" s="334" t="s">
        <v>5</v>
      </c>
      <c r="D28" s="334" t="s">
        <v>53</v>
      </c>
      <c r="E28" s="335">
        <v>633</v>
      </c>
      <c r="F28" s="335">
        <v>630</v>
      </c>
      <c r="G28" s="335">
        <f t="shared" si="0"/>
        <v>611</v>
      </c>
      <c r="H28" s="344">
        <v>611</v>
      </c>
      <c r="I28" s="314">
        <v>608</v>
      </c>
      <c r="J28" s="335">
        <v>607</v>
      </c>
      <c r="K28" s="335"/>
      <c r="L28" s="335"/>
      <c r="M28" s="345">
        <f t="shared" si="1"/>
        <v>611</v>
      </c>
      <c r="N28" s="335">
        <f t="shared" si="2"/>
        <v>614</v>
      </c>
    </row>
    <row r="29" spans="1:16" x14ac:dyDescent="0.25">
      <c r="A29" s="436"/>
      <c r="B29" s="312" t="s">
        <v>132</v>
      </c>
      <c r="C29" s="334" t="s">
        <v>5</v>
      </c>
      <c r="D29" s="334" t="s">
        <v>53</v>
      </c>
      <c r="E29" s="335">
        <v>84</v>
      </c>
      <c r="F29" s="335">
        <v>15</v>
      </c>
      <c r="G29" s="335">
        <f t="shared" si="0"/>
        <v>15</v>
      </c>
      <c r="H29" s="344">
        <v>15</v>
      </c>
      <c r="I29" s="314">
        <v>15</v>
      </c>
      <c r="J29" s="335">
        <v>15</v>
      </c>
      <c r="K29" s="335"/>
      <c r="L29" s="335"/>
      <c r="M29" s="345">
        <f t="shared" si="1"/>
        <v>15</v>
      </c>
      <c r="N29" s="335">
        <f t="shared" si="2"/>
        <v>18</v>
      </c>
    </row>
    <row r="30" spans="1:16" x14ac:dyDescent="0.25">
      <c r="A30" s="436"/>
      <c r="B30" s="312" t="s">
        <v>133</v>
      </c>
      <c r="C30" s="334" t="s">
        <v>5</v>
      </c>
      <c r="D30" s="334" t="s">
        <v>53</v>
      </c>
      <c r="E30" s="335">
        <v>2</v>
      </c>
      <c r="F30" s="335">
        <v>2</v>
      </c>
      <c r="G30" s="335">
        <f t="shared" si="0"/>
        <v>2</v>
      </c>
      <c r="H30" s="344">
        <v>2</v>
      </c>
      <c r="I30" s="314">
        <v>2</v>
      </c>
      <c r="J30" s="335">
        <v>1</v>
      </c>
      <c r="K30" s="335"/>
      <c r="L30" s="335"/>
      <c r="M30" s="345">
        <f t="shared" si="1"/>
        <v>2</v>
      </c>
      <c r="N30" s="335">
        <f t="shared" si="2"/>
        <v>5</v>
      </c>
    </row>
    <row r="31" spans="1:16" x14ac:dyDescent="0.25">
      <c r="A31" s="436"/>
      <c r="B31" s="312" t="s">
        <v>134</v>
      </c>
      <c r="C31" s="334" t="s">
        <v>5</v>
      </c>
      <c r="D31" s="334" t="s">
        <v>53</v>
      </c>
      <c r="E31" s="335">
        <v>18</v>
      </c>
      <c r="F31" s="335">
        <v>10</v>
      </c>
      <c r="G31" s="335">
        <f t="shared" si="0"/>
        <v>10</v>
      </c>
      <c r="H31" s="344">
        <v>10</v>
      </c>
      <c r="I31" s="314">
        <v>10</v>
      </c>
      <c r="J31" s="335">
        <v>9</v>
      </c>
      <c r="K31" s="335"/>
      <c r="L31" s="335"/>
      <c r="M31" s="345">
        <f t="shared" si="1"/>
        <v>10</v>
      </c>
      <c r="N31" s="335">
        <f t="shared" si="2"/>
        <v>13</v>
      </c>
    </row>
    <row r="32" spans="1:16" x14ac:dyDescent="0.25">
      <c r="A32" s="436"/>
      <c r="B32" s="312" t="s">
        <v>135</v>
      </c>
      <c r="C32" s="334" t="s">
        <v>5</v>
      </c>
      <c r="D32" s="334" t="s">
        <v>53</v>
      </c>
      <c r="E32" s="335">
        <v>4</v>
      </c>
      <c r="F32" s="335">
        <v>2</v>
      </c>
      <c r="G32" s="335">
        <f t="shared" si="0"/>
        <v>2</v>
      </c>
      <c r="H32" s="344">
        <v>2</v>
      </c>
      <c r="I32" s="314">
        <v>2</v>
      </c>
      <c r="J32" s="335">
        <v>1</v>
      </c>
      <c r="K32" s="335"/>
      <c r="L32" s="335"/>
      <c r="M32" s="345">
        <f t="shared" si="1"/>
        <v>2</v>
      </c>
      <c r="N32" s="335">
        <v>2</v>
      </c>
    </row>
    <row r="33" spans="1:14" x14ac:dyDescent="0.25">
      <c r="A33" s="436"/>
      <c r="B33" s="324" t="s">
        <v>136</v>
      </c>
      <c r="C33" s="325"/>
      <c r="D33" s="340"/>
      <c r="E33" s="326"/>
      <c r="F33" s="326"/>
      <c r="G33" s="326"/>
      <c r="H33" s="342"/>
      <c r="I33" s="326"/>
      <c r="J33" s="326"/>
      <c r="K33" s="326"/>
      <c r="L33" s="326"/>
      <c r="M33" s="346"/>
      <c r="N33" s="326"/>
    </row>
    <row r="34" spans="1:14" x14ac:dyDescent="0.25">
      <c r="A34" s="436"/>
      <c r="B34" s="312" t="s">
        <v>137</v>
      </c>
      <c r="C34" s="313" t="s">
        <v>5</v>
      </c>
      <c r="D34" s="313" t="s">
        <v>53</v>
      </c>
      <c r="E34" s="314">
        <v>11</v>
      </c>
      <c r="F34" s="314">
        <v>13</v>
      </c>
      <c r="G34" s="314">
        <v>14</v>
      </c>
      <c r="H34" s="314">
        <f>F34</f>
        <v>13</v>
      </c>
      <c r="I34" s="314">
        <v>13</v>
      </c>
      <c r="J34" s="314">
        <v>13</v>
      </c>
      <c r="K34" s="314"/>
      <c r="L34" s="314"/>
      <c r="M34" s="347">
        <v>15</v>
      </c>
      <c r="N34" s="314">
        <v>16</v>
      </c>
    </row>
    <row r="35" spans="1:14" x14ac:dyDescent="0.25">
      <c r="A35" s="437"/>
      <c r="B35" s="312" t="s">
        <v>138</v>
      </c>
      <c r="C35" s="313" t="s">
        <v>5</v>
      </c>
      <c r="D35" s="313" t="s">
        <v>53</v>
      </c>
      <c r="E35" s="314">
        <v>669</v>
      </c>
      <c r="F35" s="314">
        <v>749</v>
      </c>
      <c r="G35" s="314">
        <f>G36+G37</f>
        <v>836.9</v>
      </c>
      <c r="H35" s="314">
        <v>756</v>
      </c>
      <c r="I35" s="314">
        <f>I36+I37</f>
        <v>760</v>
      </c>
      <c r="J35" s="314">
        <f>J36+J37</f>
        <v>771</v>
      </c>
      <c r="K35" s="314"/>
      <c r="L35" s="314"/>
      <c r="M35" s="347">
        <f>M36+M37</f>
        <v>855</v>
      </c>
      <c r="N35" s="314">
        <f>N36+N37</f>
        <v>880</v>
      </c>
    </row>
    <row r="36" spans="1:14" x14ac:dyDescent="0.25">
      <c r="A36" s="437"/>
      <c r="B36" s="312" t="s">
        <v>139</v>
      </c>
      <c r="C36" s="313" t="s">
        <v>5</v>
      </c>
      <c r="D36" s="313" t="s">
        <v>53</v>
      </c>
      <c r="E36" s="314">
        <v>492</v>
      </c>
      <c r="F36" s="314">
        <v>570</v>
      </c>
      <c r="G36" s="314">
        <f>F36+70</f>
        <v>640</v>
      </c>
      <c r="H36" s="314">
        <f>F36</f>
        <v>570</v>
      </c>
      <c r="I36" s="314">
        <f>H36+4</f>
        <v>574</v>
      </c>
      <c r="J36" s="314">
        <f>I36+11</f>
        <v>585</v>
      </c>
      <c r="K36" s="314"/>
      <c r="L36" s="314"/>
      <c r="M36" s="347">
        <f>650</f>
        <v>650</v>
      </c>
      <c r="N36" s="314">
        <v>670</v>
      </c>
    </row>
    <row r="37" spans="1:14" x14ac:dyDescent="0.25">
      <c r="A37" s="437"/>
      <c r="B37" s="312" t="s">
        <v>140</v>
      </c>
      <c r="C37" s="313" t="s">
        <v>5</v>
      </c>
      <c r="D37" s="313" t="s">
        <v>53</v>
      </c>
      <c r="E37" s="314">
        <v>177</v>
      </c>
      <c r="F37" s="314">
        <v>179</v>
      </c>
      <c r="G37" s="314">
        <f>F37*1.1</f>
        <v>196.9</v>
      </c>
      <c r="H37" s="314">
        <f>F37+7</f>
        <v>186</v>
      </c>
      <c r="I37" s="314">
        <v>186</v>
      </c>
      <c r="J37" s="314">
        <f>I37</f>
        <v>186</v>
      </c>
      <c r="K37" s="314"/>
      <c r="L37" s="314"/>
      <c r="M37" s="347">
        <v>205</v>
      </c>
      <c r="N37" s="314">
        <v>210</v>
      </c>
    </row>
    <row r="38" spans="1:14" x14ac:dyDescent="0.25">
      <c r="A38" s="437"/>
      <c r="B38" s="324" t="s">
        <v>141</v>
      </c>
      <c r="C38" s="325"/>
      <c r="D38" s="340"/>
      <c r="E38" s="326"/>
      <c r="F38" s="326"/>
      <c r="G38" s="326"/>
      <c r="H38" s="342"/>
      <c r="I38" s="326"/>
      <c r="J38" s="326"/>
      <c r="K38" s="326"/>
      <c r="L38" s="326"/>
      <c r="M38" s="346"/>
      <c r="N38" s="326"/>
    </row>
    <row r="39" spans="1:14" x14ac:dyDescent="0.25">
      <c r="A39" s="437"/>
      <c r="B39" s="312" t="s">
        <v>142</v>
      </c>
      <c r="C39" s="313" t="s">
        <v>24</v>
      </c>
      <c r="D39" s="313" t="s">
        <v>53</v>
      </c>
      <c r="E39" s="318">
        <v>3091560044.54</v>
      </c>
      <c r="F39" s="318">
        <v>4670804061</v>
      </c>
      <c r="G39" s="318">
        <v>4595871918</v>
      </c>
      <c r="H39" s="318">
        <f>G39</f>
        <v>4595871918</v>
      </c>
      <c r="I39" s="318">
        <f>H39</f>
        <v>4595871918</v>
      </c>
      <c r="J39" s="318">
        <v>4595871918</v>
      </c>
      <c r="K39" s="318"/>
      <c r="L39" s="318"/>
      <c r="M39" s="318">
        <f>G39*1.02</f>
        <v>4687789356.3599997</v>
      </c>
      <c r="N39" s="318">
        <f>M39*1.02</f>
        <v>4781545143.4871998</v>
      </c>
    </row>
    <row r="40" spans="1:14" x14ac:dyDescent="0.25">
      <c r="A40" s="437"/>
      <c r="B40" s="312" t="s">
        <v>143</v>
      </c>
      <c r="C40" s="313" t="s">
        <v>24</v>
      </c>
      <c r="D40" s="313" t="s">
        <v>53</v>
      </c>
      <c r="E40" s="318">
        <v>4249930774.8400002</v>
      </c>
      <c r="F40" s="318">
        <v>4670804061</v>
      </c>
      <c r="G40" s="318">
        <f>G39</f>
        <v>4595871918</v>
      </c>
      <c r="H40" s="318">
        <f>H39</f>
        <v>4595871918</v>
      </c>
      <c r="I40" s="318">
        <f>H40</f>
        <v>4595871918</v>
      </c>
      <c r="J40" s="318">
        <v>5012671174.4499998</v>
      </c>
      <c r="K40" s="318"/>
      <c r="L40" s="318"/>
      <c r="M40" s="318">
        <f t="shared" ref="M40:M41" si="3">G40*1.02</f>
        <v>4687789356.3599997</v>
      </c>
      <c r="N40" s="318">
        <f t="shared" ref="N40:N41" si="4">M40*1.02</f>
        <v>4781545143.4871998</v>
      </c>
    </row>
    <row r="41" spans="1:14" x14ac:dyDescent="0.25">
      <c r="A41" s="437"/>
      <c r="B41" s="312" t="s">
        <v>144</v>
      </c>
      <c r="C41" s="313" t="s">
        <v>24</v>
      </c>
      <c r="D41" s="313" t="s">
        <v>53</v>
      </c>
      <c r="E41" s="318">
        <v>3872155095.4899998</v>
      </c>
      <c r="F41" s="318">
        <v>4508173862.9099998</v>
      </c>
      <c r="G41" s="318">
        <v>4595871918</v>
      </c>
      <c r="H41" s="318">
        <v>1076528543.1300001</v>
      </c>
      <c r="I41" s="318">
        <f>2338452927.73-H41</f>
        <v>1261924384.5999999</v>
      </c>
      <c r="J41" s="318">
        <v>1205438929.4199998</v>
      </c>
      <c r="K41" s="318"/>
      <c r="L41" s="318"/>
      <c r="M41" s="318">
        <f t="shared" si="3"/>
        <v>4687789356.3599997</v>
      </c>
      <c r="N41" s="318">
        <f t="shared" si="4"/>
        <v>4781545143.4871998</v>
      </c>
    </row>
    <row r="42" spans="1:14" ht="15.75" thickBot="1" x14ac:dyDescent="0.3">
      <c r="A42" s="438"/>
      <c r="B42" s="312" t="s">
        <v>145</v>
      </c>
      <c r="C42" s="313" t="s">
        <v>6</v>
      </c>
      <c r="D42" s="313" t="s">
        <v>53</v>
      </c>
      <c r="E42" s="348">
        <f>E41/E40</f>
        <v>0.91111015699679887</v>
      </c>
      <c r="F42" s="348">
        <v>0.96518154134361578</v>
      </c>
      <c r="G42" s="318" t="s">
        <v>181</v>
      </c>
      <c r="H42" s="348">
        <f>H41/H40</f>
        <v>0.23423815161465084</v>
      </c>
      <c r="I42" s="348">
        <f>I41/I40</f>
        <v>0.27457779657818565</v>
      </c>
      <c r="J42" s="349">
        <f>J41/J40</f>
        <v>0.24047835724079047</v>
      </c>
      <c r="K42" s="348"/>
      <c r="L42" s="348"/>
      <c r="M42" s="318">
        <v>0</v>
      </c>
      <c r="N42" s="314" t="s">
        <v>181</v>
      </c>
    </row>
    <row r="43" spans="1:14" x14ac:dyDescent="0.25">
      <c r="H43" s="350"/>
      <c r="I43" s="350"/>
    </row>
    <row r="44" spans="1:14" x14ac:dyDescent="0.25">
      <c r="G44" s="350"/>
    </row>
    <row r="45" spans="1:14" x14ac:dyDescent="0.25">
      <c r="G45" s="350"/>
    </row>
    <row r="46" spans="1:14" x14ac:dyDescent="0.25">
      <c r="H46" s="350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tabSelected="1" topLeftCell="B1" zoomScale="95" zoomScaleNormal="95" workbookViewId="0">
      <selection activeCell="C21" sqref="C21"/>
    </sheetView>
  </sheetViews>
  <sheetFormatPr baseColWidth="10" defaultRowHeight="12.75" x14ac:dyDescent="0.2"/>
  <cols>
    <col min="1" max="1" width="5.85546875" style="239" customWidth="1"/>
    <col min="2" max="2" width="43.7109375" style="239" customWidth="1"/>
    <col min="3" max="3" width="9.42578125" style="284" customWidth="1"/>
    <col min="4" max="4" width="9.42578125" style="285" customWidth="1"/>
    <col min="5" max="11" width="9.42578125" style="131" customWidth="1"/>
    <col min="12" max="12" width="11" style="307" customWidth="1"/>
    <col min="13" max="256" width="11.42578125" style="239"/>
    <col min="257" max="257" width="5.85546875" style="239" customWidth="1"/>
    <col min="258" max="258" width="43.7109375" style="239" customWidth="1"/>
    <col min="259" max="267" width="9.42578125" style="239" customWidth="1"/>
    <col min="268" max="268" width="11" style="239" customWidth="1"/>
    <col min="269" max="512" width="11.42578125" style="239"/>
    <col min="513" max="513" width="5.85546875" style="239" customWidth="1"/>
    <col min="514" max="514" width="43.7109375" style="239" customWidth="1"/>
    <col min="515" max="523" width="9.42578125" style="239" customWidth="1"/>
    <col min="524" max="524" width="11" style="239" customWidth="1"/>
    <col min="525" max="768" width="11.42578125" style="239"/>
    <col min="769" max="769" width="5.85546875" style="239" customWidth="1"/>
    <col min="770" max="770" width="43.7109375" style="239" customWidth="1"/>
    <col min="771" max="779" width="9.42578125" style="239" customWidth="1"/>
    <col min="780" max="780" width="11" style="239" customWidth="1"/>
    <col min="781" max="1024" width="11.42578125" style="239"/>
    <col min="1025" max="1025" width="5.85546875" style="239" customWidth="1"/>
    <col min="1026" max="1026" width="43.7109375" style="239" customWidth="1"/>
    <col min="1027" max="1035" width="9.42578125" style="239" customWidth="1"/>
    <col min="1036" max="1036" width="11" style="239" customWidth="1"/>
    <col min="1037" max="1280" width="11.42578125" style="239"/>
    <col min="1281" max="1281" width="5.85546875" style="239" customWidth="1"/>
    <col min="1282" max="1282" width="43.7109375" style="239" customWidth="1"/>
    <col min="1283" max="1291" width="9.42578125" style="239" customWidth="1"/>
    <col min="1292" max="1292" width="11" style="239" customWidth="1"/>
    <col min="1293" max="1536" width="11.42578125" style="239"/>
    <col min="1537" max="1537" width="5.85546875" style="239" customWidth="1"/>
    <col min="1538" max="1538" width="43.7109375" style="239" customWidth="1"/>
    <col min="1539" max="1547" width="9.42578125" style="239" customWidth="1"/>
    <col min="1548" max="1548" width="11" style="239" customWidth="1"/>
    <col min="1549" max="1792" width="11.42578125" style="239"/>
    <col min="1793" max="1793" width="5.85546875" style="239" customWidth="1"/>
    <col min="1794" max="1794" width="43.7109375" style="239" customWidth="1"/>
    <col min="1795" max="1803" width="9.42578125" style="239" customWidth="1"/>
    <col min="1804" max="1804" width="11" style="239" customWidth="1"/>
    <col min="1805" max="2048" width="11.42578125" style="239"/>
    <col min="2049" max="2049" width="5.85546875" style="239" customWidth="1"/>
    <col min="2050" max="2050" width="43.7109375" style="239" customWidth="1"/>
    <col min="2051" max="2059" width="9.42578125" style="239" customWidth="1"/>
    <col min="2060" max="2060" width="11" style="239" customWidth="1"/>
    <col min="2061" max="2304" width="11.42578125" style="239"/>
    <col min="2305" max="2305" width="5.85546875" style="239" customWidth="1"/>
    <col min="2306" max="2306" width="43.7109375" style="239" customWidth="1"/>
    <col min="2307" max="2315" width="9.42578125" style="239" customWidth="1"/>
    <col min="2316" max="2316" width="11" style="239" customWidth="1"/>
    <col min="2317" max="2560" width="11.42578125" style="239"/>
    <col min="2561" max="2561" width="5.85546875" style="239" customWidth="1"/>
    <col min="2562" max="2562" width="43.7109375" style="239" customWidth="1"/>
    <col min="2563" max="2571" width="9.42578125" style="239" customWidth="1"/>
    <col min="2572" max="2572" width="11" style="239" customWidth="1"/>
    <col min="2573" max="2816" width="11.42578125" style="239"/>
    <col min="2817" max="2817" width="5.85546875" style="239" customWidth="1"/>
    <col min="2818" max="2818" width="43.7109375" style="239" customWidth="1"/>
    <col min="2819" max="2827" width="9.42578125" style="239" customWidth="1"/>
    <col min="2828" max="2828" width="11" style="239" customWidth="1"/>
    <col min="2829" max="3072" width="11.42578125" style="239"/>
    <col min="3073" max="3073" width="5.85546875" style="239" customWidth="1"/>
    <col min="3074" max="3074" width="43.7109375" style="239" customWidth="1"/>
    <col min="3075" max="3083" width="9.42578125" style="239" customWidth="1"/>
    <col min="3084" max="3084" width="11" style="239" customWidth="1"/>
    <col min="3085" max="3328" width="11.42578125" style="239"/>
    <col min="3329" max="3329" width="5.85546875" style="239" customWidth="1"/>
    <col min="3330" max="3330" width="43.7109375" style="239" customWidth="1"/>
    <col min="3331" max="3339" width="9.42578125" style="239" customWidth="1"/>
    <col min="3340" max="3340" width="11" style="239" customWidth="1"/>
    <col min="3341" max="3584" width="11.42578125" style="239"/>
    <col min="3585" max="3585" width="5.85546875" style="239" customWidth="1"/>
    <col min="3586" max="3586" width="43.7109375" style="239" customWidth="1"/>
    <col min="3587" max="3595" width="9.42578125" style="239" customWidth="1"/>
    <col min="3596" max="3596" width="11" style="239" customWidth="1"/>
    <col min="3597" max="3840" width="11.42578125" style="239"/>
    <col min="3841" max="3841" width="5.85546875" style="239" customWidth="1"/>
    <col min="3842" max="3842" width="43.7109375" style="239" customWidth="1"/>
    <col min="3843" max="3851" width="9.42578125" style="239" customWidth="1"/>
    <col min="3852" max="3852" width="11" style="239" customWidth="1"/>
    <col min="3853" max="4096" width="11.42578125" style="239"/>
    <col min="4097" max="4097" width="5.85546875" style="239" customWidth="1"/>
    <col min="4098" max="4098" width="43.7109375" style="239" customWidth="1"/>
    <col min="4099" max="4107" width="9.42578125" style="239" customWidth="1"/>
    <col min="4108" max="4108" width="11" style="239" customWidth="1"/>
    <col min="4109" max="4352" width="11.42578125" style="239"/>
    <col min="4353" max="4353" width="5.85546875" style="239" customWidth="1"/>
    <col min="4354" max="4354" width="43.7109375" style="239" customWidth="1"/>
    <col min="4355" max="4363" width="9.42578125" style="239" customWidth="1"/>
    <col min="4364" max="4364" width="11" style="239" customWidth="1"/>
    <col min="4365" max="4608" width="11.42578125" style="239"/>
    <col min="4609" max="4609" width="5.85546875" style="239" customWidth="1"/>
    <col min="4610" max="4610" width="43.7109375" style="239" customWidth="1"/>
    <col min="4611" max="4619" width="9.42578125" style="239" customWidth="1"/>
    <col min="4620" max="4620" width="11" style="239" customWidth="1"/>
    <col min="4621" max="4864" width="11.42578125" style="239"/>
    <col min="4865" max="4865" width="5.85546875" style="239" customWidth="1"/>
    <col min="4866" max="4866" width="43.7109375" style="239" customWidth="1"/>
    <col min="4867" max="4875" width="9.42578125" style="239" customWidth="1"/>
    <col min="4876" max="4876" width="11" style="239" customWidth="1"/>
    <col min="4877" max="5120" width="11.42578125" style="239"/>
    <col min="5121" max="5121" width="5.85546875" style="239" customWidth="1"/>
    <col min="5122" max="5122" width="43.7109375" style="239" customWidth="1"/>
    <col min="5123" max="5131" width="9.42578125" style="239" customWidth="1"/>
    <col min="5132" max="5132" width="11" style="239" customWidth="1"/>
    <col min="5133" max="5376" width="11.42578125" style="239"/>
    <col min="5377" max="5377" width="5.85546875" style="239" customWidth="1"/>
    <col min="5378" max="5378" width="43.7109375" style="239" customWidth="1"/>
    <col min="5379" max="5387" width="9.42578125" style="239" customWidth="1"/>
    <col min="5388" max="5388" width="11" style="239" customWidth="1"/>
    <col min="5389" max="5632" width="11.42578125" style="239"/>
    <col min="5633" max="5633" width="5.85546875" style="239" customWidth="1"/>
    <col min="5634" max="5634" width="43.7109375" style="239" customWidth="1"/>
    <col min="5635" max="5643" width="9.42578125" style="239" customWidth="1"/>
    <col min="5644" max="5644" width="11" style="239" customWidth="1"/>
    <col min="5645" max="5888" width="11.42578125" style="239"/>
    <col min="5889" max="5889" width="5.85546875" style="239" customWidth="1"/>
    <col min="5890" max="5890" width="43.7109375" style="239" customWidth="1"/>
    <col min="5891" max="5899" width="9.42578125" style="239" customWidth="1"/>
    <col min="5900" max="5900" width="11" style="239" customWidth="1"/>
    <col min="5901" max="6144" width="11.42578125" style="239"/>
    <col min="6145" max="6145" width="5.85546875" style="239" customWidth="1"/>
    <col min="6146" max="6146" width="43.7109375" style="239" customWidth="1"/>
    <col min="6147" max="6155" width="9.42578125" style="239" customWidth="1"/>
    <col min="6156" max="6156" width="11" style="239" customWidth="1"/>
    <col min="6157" max="6400" width="11.42578125" style="239"/>
    <col min="6401" max="6401" width="5.85546875" style="239" customWidth="1"/>
    <col min="6402" max="6402" width="43.7109375" style="239" customWidth="1"/>
    <col min="6403" max="6411" width="9.42578125" style="239" customWidth="1"/>
    <col min="6412" max="6412" width="11" style="239" customWidth="1"/>
    <col min="6413" max="6656" width="11.42578125" style="239"/>
    <col min="6657" max="6657" width="5.85546875" style="239" customWidth="1"/>
    <col min="6658" max="6658" width="43.7109375" style="239" customWidth="1"/>
    <col min="6659" max="6667" width="9.42578125" style="239" customWidth="1"/>
    <col min="6668" max="6668" width="11" style="239" customWidth="1"/>
    <col min="6669" max="6912" width="11.42578125" style="239"/>
    <col min="6913" max="6913" width="5.85546875" style="239" customWidth="1"/>
    <col min="6914" max="6914" width="43.7109375" style="239" customWidth="1"/>
    <col min="6915" max="6923" width="9.42578125" style="239" customWidth="1"/>
    <col min="6924" max="6924" width="11" style="239" customWidth="1"/>
    <col min="6925" max="7168" width="11.42578125" style="239"/>
    <col min="7169" max="7169" width="5.85546875" style="239" customWidth="1"/>
    <col min="7170" max="7170" width="43.7109375" style="239" customWidth="1"/>
    <col min="7171" max="7179" width="9.42578125" style="239" customWidth="1"/>
    <col min="7180" max="7180" width="11" style="239" customWidth="1"/>
    <col min="7181" max="7424" width="11.42578125" style="239"/>
    <col min="7425" max="7425" width="5.85546875" style="239" customWidth="1"/>
    <col min="7426" max="7426" width="43.7109375" style="239" customWidth="1"/>
    <col min="7427" max="7435" width="9.42578125" style="239" customWidth="1"/>
    <col min="7436" max="7436" width="11" style="239" customWidth="1"/>
    <col min="7437" max="7680" width="11.42578125" style="239"/>
    <col min="7681" max="7681" width="5.85546875" style="239" customWidth="1"/>
    <col min="7682" max="7682" width="43.7109375" style="239" customWidth="1"/>
    <col min="7683" max="7691" width="9.42578125" style="239" customWidth="1"/>
    <col min="7692" max="7692" width="11" style="239" customWidth="1"/>
    <col min="7693" max="7936" width="11.42578125" style="239"/>
    <col min="7937" max="7937" width="5.85546875" style="239" customWidth="1"/>
    <col min="7938" max="7938" width="43.7109375" style="239" customWidth="1"/>
    <col min="7939" max="7947" width="9.42578125" style="239" customWidth="1"/>
    <col min="7948" max="7948" width="11" style="239" customWidth="1"/>
    <col min="7949" max="8192" width="11.42578125" style="239"/>
    <col min="8193" max="8193" width="5.85546875" style="239" customWidth="1"/>
    <col min="8194" max="8194" width="43.7109375" style="239" customWidth="1"/>
    <col min="8195" max="8203" width="9.42578125" style="239" customWidth="1"/>
    <col min="8204" max="8204" width="11" style="239" customWidth="1"/>
    <col min="8205" max="8448" width="11.42578125" style="239"/>
    <col min="8449" max="8449" width="5.85546875" style="239" customWidth="1"/>
    <col min="8450" max="8450" width="43.7109375" style="239" customWidth="1"/>
    <col min="8451" max="8459" width="9.42578125" style="239" customWidth="1"/>
    <col min="8460" max="8460" width="11" style="239" customWidth="1"/>
    <col min="8461" max="8704" width="11.42578125" style="239"/>
    <col min="8705" max="8705" width="5.85546875" style="239" customWidth="1"/>
    <col min="8706" max="8706" width="43.7109375" style="239" customWidth="1"/>
    <col min="8707" max="8715" width="9.42578125" style="239" customWidth="1"/>
    <col min="8716" max="8716" width="11" style="239" customWidth="1"/>
    <col min="8717" max="8960" width="11.42578125" style="239"/>
    <col min="8961" max="8961" width="5.85546875" style="239" customWidth="1"/>
    <col min="8962" max="8962" width="43.7109375" style="239" customWidth="1"/>
    <col min="8963" max="8971" width="9.42578125" style="239" customWidth="1"/>
    <col min="8972" max="8972" width="11" style="239" customWidth="1"/>
    <col min="8973" max="9216" width="11.42578125" style="239"/>
    <col min="9217" max="9217" width="5.85546875" style="239" customWidth="1"/>
    <col min="9218" max="9218" width="43.7109375" style="239" customWidth="1"/>
    <col min="9219" max="9227" width="9.42578125" style="239" customWidth="1"/>
    <col min="9228" max="9228" width="11" style="239" customWidth="1"/>
    <col min="9229" max="9472" width="11.42578125" style="239"/>
    <col min="9473" max="9473" width="5.85546875" style="239" customWidth="1"/>
    <col min="9474" max="9474" width="43.7109375" style="239" customWidth="1"/>
    <col min="9475" max="9483" width="9.42578125" style="239" customWidth="1"/>
    <col min="9484" max="9484" width="11" style="239" customWidth="1"/>
    <col min="9485" max="9728" width="11.42578125" style="239"/>
    <col min="9729" max="9729" width="5.85546875" style="239" customWidth="1"/>
    <col min="9730" max="9730" width="43.7109375" style="239" customWidth="1"/>
    <col min="9731" max="9739" width="9.42578125" style="239" customWidth="1"/>
    <col min="9740" max="9740" width="11" style="239" customWidth="1"/>
    <col min="9741" max="9984" width="11.42578125" style="239"/>
    <col min="9985" max="9985" width="5.85546875" style="239" customWidth="1"/>
    <col min="9986" max="9986" width="43.7109375" style="239" customWidth="1"/>
    <col min="9987" max="9995" width="9.42578125" style="239" customWidth="1"/>
    <col min="9996" max="9996" width="11" style="239" customWidth="1"/>
    <col min="9997" max="10240" width="11.42578125" style="239"/>
    <col min="10241" max="10241" width="5.85546875" style="239" customWidth="1"/>
    <col min="10242" max="10242" width="43.7109375" style="239" customWidth="1"/>
    <col min="10243" max="10251" width="9.42578125" style="239" customWidth="1"/>
    <col min="10252" max="10252" width="11" style="239" customWidth="1"/>
    <col min="10253" max="10496" width="11.42578125" style="239"/>
    <col min="10497" max="10497" width="5.85546875" style="239" customWidth="1"/>
    <col min="10498" max="10498" width="43.7109375" style="239" customWidth="1"/>
    <col min="10499" max="10507" width="9.42578125" style="239" customWidth="1"/>
    <col min="10508" max="10508" width="11" style="239" customWidth="1"/>
    <col min="10509" max="10752" width="11.42578125" style="239"/>
    <col min="10753" max="10753" width="5.85546875" style="239" customWidth="1"/>
    <col min="10754" max="10754" width="43.7109375" style="239" customWidth="1"/>
    <col min="10755" max="10763" width="9.42578125" style="239" customWidth="1"/>
    <col min="10764" max="10764" width="11" style="239" customWidth="1"/>
    <col min="10765" max="11008" width="11.42578125" style="239"/>
    <col min="11009" max="11009" width="5.85546875" style="239" customWidth="1"/>
    <col min="11010" max="11010" width="43.7109375" style="239" customWidth="1"/>
    <col min="11011" max="11019" width="9.42578125" style="239" customWidth="1"/>
    <col min="11020" max="11020" width="11" style="239" customWidth="1"/>
    <col min="11021" max="11264" width="11.42578125" style="239"/>
    <col min="11265" max="11265" width="5.85546875" style="239" customWidth="1"/>
    <col min="11266" max="11266" width="43.7109375" style="239" customWidth="1"/>
    <col min="11267" max="11275" width="9.42578125" style="239" customWidth="1"/>
    <col min="11276" max="11276" width="11" style="239" customWidth="1"/>
    <col min="11277" max="11520" width="11.42578125" style="239"/>
    <col min="11521" max="11521" width="5.85546875" style="239" customWidth="1"/>
    <col min="11522" max="11522" width="43.7109375" style="239" customWidth="1"/>
    <col min="11523" max="11531" width="9.42578125" style="239" customWidth="1"/>
    <col min="11532" max="11532" width="11" style="239" customWidth="1"/>
    <col min="11533" max="11776" width="11.42578125" style="239"/>
    <col min="11777" max="11777" width="5.85546875" style="239" customWidth="1"/>
    <col min="11778" max="11778" width="43.7109375" style="239" customWidth="1"/>
    <col min="11779" max="11787" width="9.42578125" style="239" customWidth="1"/>
    <col min="11788" max="11788" width="11" style="239" customWidth="1"/>
    <col min="11789" max="12032" width="11.42578125" style="239"/>
    <col min="12033" max="12033" width="5.85546875" style="239" customWidth="1"/>
    <col min="12034" max="12034" width="43.7109375" style="239" customWidth="1"/>
    <col min="12035" max="12043" width="9.42578125" style="239" customWidth="1"/>
    <col min="12044" max="12044" width="11" style="239" customWidth="1"/>
    <col min="12045" max="12288" width="11.42578125" style="239"/>
    <col min="12289" max="12289" width="5.85546875" style="239" customWidth="1"/>
    <col min="12290" max="12290" width="43.7109375" style="239" customWidth="1"/>
    <col min="12291" max="12299" width="9.42578125" style="239" customWidth="1"/>
    <col min="12300" max="12300" width="11" style="239" customWidth="1"/>
    <col min="12301" max="12544" width="11.42578125" style="239"/>
    <col min="12545" max="12545" width="5.85546875" style="239" customWidth="1"/>
    <col min="12546" max="12546" width="43.7109375" style="239" customWidth="1"/>
    <col min="12547" max="12555" width="9.42578125" style="239" customWidth="1"/>
    <col min="12556" max="12556" width="11" style="239" customWidth="1"/>
    <col min="12557" max="12800" width="11.42578125" style="239"/>
    <col min="12801" max="12801" width="5.85546875" style="239" customWidth="1"/>
    <col min="12802" max="12802" width="43.7109375" style="239" customWidth="1"/>
    <col min="12803" max="12811" width="9.42578125" style="239" customWidth="1"/>
    <col min="12812" max="12812" width="11" style="239" customWidth="1"/>
    <col min="12813" max="13056" width="11.42578125" style="239"/>
    <col min="13057" max="13057" width="5.85546875" style="239" customWidth="1"/>
    <col min="13058" max="13058" width="43.7109375" style="239" customWidth="1"/>
    <col min="13059" max="13067" width="9.42578125" style="239" customWidth="1"/>
    <col min="13068" max="13068" width="11" style="239" customWidth="1"/>
    <col min="13069" max="13312" width="11.42578125" style="239"/>
    <col min="13313" max="13313" width="5.85546875" style="239" customWidth="1"/>
    <col min="13314" max="13314" width="43.7109375" style="239" customWidth="1"/>
    <col min="13315" max="13323" width="9.42578125" style="239" customWidth="1"/>
    <col min="13324" max="13324" width="11" style="239" customWidth="1"/>
    <col min="13325" max="13568" width="11.42578125" style="239"/>
    <col min="13569" max="13569" width="5.85546875" style="239" customWidth="1"/>
    <col min="13570" max="13570" width="43.7109375" style="239" customWidth="1"/>
    <col min="13571" max="13579" width="9.42578125" style="239" customWidth="1"/>
    <col min="13580" max="13580" width="11" style="239" customWidth="1"/>
    <col min="13581" max="13824" width="11.42578125" style="239"/>
    <col min="13825" max="13825" width="5.85546875" style="239" customWidth="1"/>
    <col min="13826" max="13826" width="43.7109375" style="239" customWidth="1"/>
    <col min="13827" max="13835" width="9.42578125" style="239" customWidth="1"/>
    <col min="13836" max="13836" width="11" style="239" customWidth="1"/>
    <col min="13837" max="14080" width="11.42578125" style="239"/>
    <col min="14081" max="14081" width="5.85546875" style="239" customWidth="1"/>
    <col min="14082" max="14082" width="43.7109375" style="239" customWidth="1"/>
    <col min="14083" max="14091" width="9.42578125" style="239" customWidth="1"/>
    <col min="14092" max="14092" width="11" style="239" customWidth="1"/>
    <col min="14093" max="14336" width="11.42578125" style="239"/>
    <col min="14337" max="14337" width="5.85546875" style="239" customWidth="1"/>
    <col min="14338" max="14338" width="43.7109375" style="239" customWidth="1"/>
    <col min="14339" max="14347" width="9.42578125" style="239" customWidth="1"/>
    <col min="14348" max="14348" width="11" style="239" customWidth="1"/>
    <col min="14349" max="14592" width="11.42578125" style="239"/>
    <col min="14593" max="14593" width="5.85546875" style="239" customWidth="1"/>
    <col min="14594" max="14594" width="43.7109375" style="239" customWidth="1"/>
    <col min="14595" max="14603" width="9.42578125" style="239" customWidth="1"/>
    <col min="14604" max="14604" width="11" style="239" customWidth="1"/>
    <col min="14605" max="14848" width="11.42578125" style="239"/>
    <col min="14849" max="14849" width="5.85546875" style="239" customWidth="1"/>
    <col min="14850" max="14850" width="43.7109375" style="239" customWidth="1"/>
    <col min="14851" max="14859" width="9.42578125" style="239" customWidth="1"/>
    <col min="14860" max="14860" width="11" style="239" customWidth="1"/>
    <col min="14861" max="15104" width="11.42578125" style="239"/>
    <col min="15105" max="15105" width="5.85546875" style="239" customWidth="1"/>
    <col min="15106" max="15106" width="43.7109375" style="239" customWidth="1"/>
    <col min="15107" max="15115" width="9.42578125" style="239" customWidth="1"/>
    <col min="15116" max="15116" width="11" style="239" customWidth="1"/>
    <col min="15117" max="15360" width="11.42578125" style="239"/>
    <col min="15361" max="15361" width="5.85546875" style="239" customWidth="1"/>
    <col min="15362" max="15362" width="43.7109375" style="239" customWidth="1"/>
    <col min="15363" max="15371" width="9.42578125" style="239" customWidth="1"/>
    <col min="15372" max="15372" width="11" style="239" customWidth="1"/>
    <col min="15373" max="15616" width="11.42578125" style="239"/>
    <col min="15617" max="15617" width="5.85546875" style="239" customWidth="1"/>
    <col min="15618" max="15618" width="43.7109375" style="239" customWidth="1"/>
    <col min="15619" max="15627" width="9.42578125" style="239" customWidth="1"/>
    <col min="15628" max="15628" width="11" style="239" customWidth="1"/>
    <col min="15629" max="15872" width="11.42578125" style="239"/>
    <col min="15873" max="15873" width="5.85546875" style="239" customWidth="1"/>
    <col min="15874" max="15874" width="43.7109375" style="239" customWidth="1"/>
    <col min="15875" max="15883" width="9.42578125" style="239" customWidth="1"/>
    <col min="15884" max="15884" width="11" style="239" customWidth="1"/>
    <col min="15885" max="16128" width="11.42578125" style="239"/>
    <col min="16129" max="16129" width="5.85546875" style="239" customWidth="1"/>
    <col min="16130" max="16130" width="43.7109375" style="239" customWidth="1"/>
    <col min="16131" max="16139" width="9.42578125" style="239" customWidth="1"/>
    <col min="16140" max="16140" width="11" style="239" customWidth="1"/>
    <col min="16141" max="16384" width="11.42578125" style="239"/>
  </cols>
  <sheetData>
    <row r="1" spans="1:12" x14ac:dyDescent="0.2">
      <c r="B1" s="240"/>
      <c r="C1" s="240"/>
      <c r="D1" s="241"/>
      <c r="E1" s="241"/>
      <c r="F1" s="241"/>
      <c r="G1" s="241"/>
      <c r="H1" s="241"/>
      <c r="I1" s="241"/>
      <c r="J1" s="241"/>
      <c r="K1" s="241"/>
      <c r="L1" s="300"/>
    </row>
    <row r="2" spans="1:12" x14ac:dyDescent="0.2">
      <c r="B2" s="240"/>
      <c r="C2" s="240"/>
      <c r="D2" s="241"/>
      <c r="E2" s="241"/>
      <c r="F2" s="241"/>
      <c r="G2" s="241"/>
      <c r="H2" s="241"/>
      <c r="I2" s="241"/>
      <c r="J2" s="241"/>
      <c r="K2" s="241"/>
      <c r="L2" s="300"/>
    </row>
    <row r="3" spans="1:12" x14ac:dyDescent="0.2">
      <c r="B3" s="240"/>
      <c r="C3" s="240"/>
      <c r="D3" s="241"/>
      <c r="E3" s="241"/>
      <c r="F3" s="241"/>
      <c r="G3" s="241"/>
      <c r="H3" s="241"/>
      <c r="I3" s="241"/>
      <c r="J3" s="241"/>
      <c r="K3" s="241"/>
      <c r="L3" s="300"/>
    </row>
    <row r="4" spans="1:12" x14ac:dyDescent="0.2">
      <c r="B4" s="240"/>
      <c r="C4" s="240"/>
      <c r="D4" s="241"/>
      <c r="E4" s="241"/>
      <c r="F4" s="241"/>
      <c r="G4" s="241"/>
      <c r="H4" s="241"/>
      <c r="I4" s="241"/>
      <c r="J4" s="241"/>
      <c r="K4" s="241"/>
      <c r="L4" s="300"/>
    </row>
    <row r="5" spans="1:12" x14ac:dyDescent="0.2">
      <c r="B5" s="240"/>
      <c r="C5" s="240"/>
      <c r="D5" s="241"/>
      <c r="E5" s="241"/>
      <c r="F5" s="241"/>
      <c r="G5" s="241"/>
      <c r="H5" s="241"/>
      <c r="I5" s="241"/>
      <c r="J5" s="241"/>
      <c r="K5" s="241"/>
      <c r="L5" s="300"/>
    </row>
    <row r="6" spans="1:12" x14ac:dyDescent="0.2">
      <c r="A6" s="242"/>
      <c r="B6" s="243"/>
      <c r="C6" s="243"/>
      <c r="D6" s="244"/>
      <c r="E6" s="244"/>
      <c r="F6" s="244"/>
      <c r="G6" s="244"/>
      <c r="H6" s="244"/>
      <c r="I6" s="244"/>
      <c r="J6" s="244"/>
      <c r="K6" s="244"/>
      <c r="L6" s="300"/>
    </row>
    <row r="7" spans="1:12" s="246" customFormat="1" ht="29.25" customHeight="1" x14ac:dyDescent="0.2">
      <c r="A7" s="245"/>
      <c r="B7" s="443" t="s">
        <v>155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</row>
    <row r="8" spans="1:12" s="246" customFormat="1" ht="19.5" customHeight="1" x14ac:dyDescent="0.2">
      <c r="A8" s="245"/>
      <c r="B8" s="444" t="s">
        <v>254</v>
      </c>
      <c r="C8" s="444"/>
      <c r="D8" s="444"/>
      <c r="E8" s="444"/>
      <c r="F8" s="444"/>
      <c r="G8" s="444"/>
      <c r="H8" s="444"/>
      <c r="I8" s="444"/>
      <c r="J8" s="444"/>
      <c r="K8" s="444"/>
      <c r="L8" s="444"/>
    </row>
    <row r="9" spans="1:12" s="246" customFormat="1" ht="21" customHeight="1" x14ac:dyDescent="0.2">
      <c r="A9" s="245"/>
      <c r="B9" s="444" t="s">
        <v>255</v>
      </c>
      <c r="C9" s="444"/>
      <c r="D9" s="444"/>
      <c r="E9" s="444"/>
      <c r="F9" s="444"/>
      <c r="G9" s="444"/>
      <c r="H9" s="444"/>
      <c r="I9" s="444"/>
      <c r="J9" s="444"/>
      <c r="K9" s="444"/>
      <c r="L9" s="444"/>
    </row>
    <row r="10" spans="1:12" s="246" customFormat="1" ht="19.5" customHeight="1" x14ac:dyDescent="0.2">
      <c r="A10" s="245"/>
      <c r="B10" s="444" t="s">
        <v>156</v>
      </c>
      <c r="C10" s="444"/>
      <c r="D10" s="444"/>
      <c r="E10" s="444"/>
      <c r="F10" s="444"/>
      <c r="G10" s="444"/>
      <c r="H10" s="444"/>
      <c r="I10" s="444"/>
      <c r="J10" s="444"/>
      <c r="K10" s="444"/>
      <c r="L10" s="444"/>
    </row>
    <row r="11" spans="1:12" ht="16.5" customHeight="1" x14ac:dyDescent="0.2">
      <c r="A11" s="242"/>
      <c r="B11" s="243"/>
      <c r="C11" s="243"/>
      <c r="D11" s="244"/>
      <c r="E11" s="244"/>
      <c r="F11" s="244"/>
      <c r="G11" s="244"/>
      <c r="H11" s="244"/>
      <c r="I11" s="244"/>
      <c r="J11" s="244"/>
      <c r="K11" s="244"/>
      <c r="L11" s="300"/>
    </row>
    <row r="12" spans="1:12" ht="19.899999999999999" customHeight="1" x14ac:dyDescent="0.2">
      <c r="A12" s="247"/>
      <c r="B12" s="445" t="s">
        <v>235</v>
      </c>
      <c r="C12" s="446" t="s">
        <v>256</v>
      </c>
      <c r="D12" s="446"/>
      <c r="E12" s="446"/>
      <c r="F12" s="446" t="s">
        <v>257</v>
      </c>
      <c r="G12" s="446"/>
      <c r="H12" s="446"/>
      <c r="I12" s="446" t="s">
        <v>258</v>
      </c>
      <c r="J12" s="446"/>
      <c r="K12" s="446"/>
      <c r="L12" s="447" t="s">
        <v>236</v>
      </c>
    </row>
    <row r="13" spans="1:12" ht="17.649999999999999" customHeight="1" x14ac:dyDescent="0.2">
      <c r="A13" s="247"/>
      <c r="B13" s="445"/>
      <c r="C13" s="248" t="s">
        <v>157</v>
      </c>
      <c r="D13" s="248" t="s">
        <v>158</v>
      </c>
      <c r="E13" s="248" t="s">
        <v>159</v>
      </c>
      <c r="F13" s="248" t="s">
        <v>157</v>
      </c>
      <c r="G13" s="248" t="s">
        <v>158</v>
      </c>
      <c r="H13" s="248" t="s">
        <v>159</v>
      </c>
      <c r="I13" s="248" t="s">
        <v>157</v>
      </c>
      <c r="J13" s="248" t="s">
        <v>158</v>
      </c>
      <c r="K13" s="248" t="s">
        <v>159</v>
      </c>
      <c r="L13" s="447"/>
    </row>
    <row r="14" spans="1:12" ht="17.100000000000001" customHeight="1" x14ac:dyDescent="0.2">
      <c r="A14" s="249"/>
      <c r="B14" s="250"/>
      <c r="C14" s="250"/>
      <c r="D14" s="251"/>
      <c r="E14" s="251"/>
      <c r="F14" s="251"/>
      <c r="G14" s="251"/>
      <c r="H14" s="251"/>
      <c r="I14" s="251"/>
      <c r="J14" s="251"/>
      <c r="K14" s="251"/>
      <c r="L14" s="300"/>
    </row>
    <row r="15" spans="1:12" ht="19.899999999999999" customHeight="1" x14ac:dyDescent="0.2">
      <c r="A15" s="249"/>
      <c r="B15" s="252" t="s">
        <v>160</v>
      </c>
      <c r="C15" s="253"/>
      <c r="D15" s="254"/>
      <c r="E15" s="254"/>
      <c r="F15" s="254"/>
      <c r="G15" s="254"/>
      <c r="H15" s="254"/>
      <c r="I15" s="254"/>
      <c r="J15" s="254"/>
      <c r="K15" s="254"/>
      <c r="L15" s="301"/>
    </row>
    <row r="16" spans="1:12" ht="15.6" customHeight="1" x14ac:dyDescent="0.2">
      <c r="A16" s="249"/>
      <c r="B16" s="250"/>
      <c r="C16" s="250"/>
      <c r="D16" s="251"/>
      <c r="E16" s="251"/>
      <c r="F16" s="251"/>
      <c r="G16" s="251"/>
      <c r="H16" s="251"/>
      <c r="I16" s="251"/>
      <c r="J16" s="251"/>
      <c r="K16" s="251"/>
      <c r="L16" s="300"/>
    </row>
    <row r="17" spans="1:12" ht="15.6" customHeight="1" x14ac:dyDescent="0.2">
      <c r="A17" s="242"/>
      <c r="B17" s="255" t="s">
        <v>161</v>
      </c>
      <c r="C17" s="351">
        <f>0+0+0+100</f>
        <v>100</v>
      </c>
      <c r="D17" s="352">
        <f>0+0+0+110.42</f>
        <v>110.42</v>
      </c>
      <c r="E17" s="353">
        <f t="shared" ref="E17:E54" si="0">+D17*100/C17</f>
        <v>110.42</v>
      </c>
      <c r="F17" s="352">
        <f>0+0+0+100</f>
        <v>100</v>
      </c>
      <c r="G17" s="352">
        <f>0+0+0+87.5</f>
        <v>87.5</v>
      </c>
      <c r="H17" s="353">
        <f t="shared" ref="H17:H54" si="1">+G17*100/F17</f>
        <v>87.5</v>
      </c>
      <c r="I17" s="352">
        <f>0+0+100+100</f>
        <v>200</v>
      </c>
      <c r="J17" s="352">
        <f>0+0+0+102.08</f>
        <v>102.08</v>
      </c>
      <c r="K17" s="353">
        <f t="shared" ref="K17:K54" si="2">+J17*100/I17</f>
        <v>51.04</v>
      </c>
      <c r="L17" s="302">
        <f t="shared" ref="L17:L54" si="3">+(E17+H17+K17)/3</f>
        <v>82.986666666666665</v>
      </c>
    </row>
    <row r="18" spans="1:12" ht="15.6" customHeight="1" x14ac:dyDescent="0.2">
      <c r="A18" s="242"/>
      <c r="B18" s="256" t="s">
        <v>162</v>
      </c>
      <c r="C18" s="354">
        <f>90+70+70</f>
        <v>230</v>
      </c>
      <c r="D18" s="355">
        <f>83.81+65.07+72</f>
        <v>220.88</v>
      </c>
      <c r="E18" s="356">
        <f t="shared" si="0"/>
        <v>96.03478260869565</v>
      </c>
      <c r="F18" s="357">
        <f>90+70+70</f>
        <v>230</v>
      </c>
      <c r="G18" s="357">
        <f>96.07+74.5+66</f>
        <v>236.57</v>
      </c>
      <c r="H18" s="356">
        <f t="shared" si="1"/>
        <v>102.85652173913043</v>
      </c>
      <c r="I18" s="357">
        <f>90+70+70</f>
        <v>230</v>
      </c>
      <c r="J18" s="357">
        <f>94.43+74.65+74</f>
        <v>243.08</v>
      </c>
      <c r="K18" s="356">
        <f t="shared" si="2"/>
        <v>105.68695652173913</v>
      </c>
      <c r="L18" s="302">
        <f t="shared" si="3"/>
        <v>101.52608695652174</v>
      </c>
    </row>
    <row r="19" spans="1:12" ht="15.6" customHeight="1" x14ac:dyDescent="0.2">
      <c r="A19" s="242"/>
      <c r="B19" s="255" t="s">
        <v>163</v>
      </c>
      <c r="C19" s="351">
        <f>69.6+98</f>
        <v>167.6</v>
      </c>
      <c r="D19" s="358">
        <f>73.42+102.67</f>
        <v>176.09</v>
      </c>
      <c r="E19" s="353">
        <f t="shared" si="0"/>
        <v>105.06563245823389</v>
      </c>
      <c r="F19" s="358">
        <f>97.5+97.7</f>
        <v>195.2</v>
      </c>
      <c r="G19" s="358">
        <f>103.8+102.86</f>
        <v>206.66</v>
      </c>
      <c r="H19" s="353">
        <f t="shared" si="1"/>
        <v>105.87090163934427</v>
      </c>
      <c r="I19" s="358">
        <f>97.5+97.7</f>
        <v>195.2</v>
      </c>
      <c r="J19" s="358">
        <f>110.13+97.71</f>
        <v>207.83999999999997</v>
      </c>
      <c r="K19" s="353">
        <f t="shared" si="2"/>
        <v>106.47540983606557</v>
      </c>
      <c r="L19" s="302">
        <f t="shared" si="3"/>
        <v>105.80398131121457</v>
      </c>
    </row>
    <row r="20" spans="1:12" ht="15.6" customHeight="1" x14ac:dyDescent="0.2">
      <c r="A20" s="242"/>
      <c r="B20" s="256" t="s">
        <v>164</v>
      </c>
      <c r="C20" s="354">
        <f>90+10+95+90+90+90+30</f>
        <v>495</v>
      </c>
      <c r="D20" s="359">
        <f>86.26+9.73+100+86.67+88.03+95.35+29.58</f>
        <v>495.62000000000006</v>
      </c>
      <c r="E20" s="356">
        <f t="shared" si="0"/>
        <v>100.12525252525253</v>
      </c>
      <c r="F20" s="359">
        <f>90+10+95+90+90+90+30</f>
        <v>495</v>
      </c>
      <c r="G20" s="359">
        <f>83.33+9.91+100+96.87+85.76+96.74+27.74</f>
        <v>500.35</v>
      </c>
      <c r="H20" s="356">
        <f t="shared" si="1"/>
        <v>101.08080808080808</v>
      </c>
      <c r="I20" s="359">
        <f>90+10+95+90+90+90+30</f>
        <v>495</v>
      </c>
      <c r="J20" s="359">
        <f>63.22+8.61+100+96.87+85.98+97.85+22.77</f>
        <v>475.29999999999995</v>
      </c>
      <c r="K20" s="356">
        <f t="shared" si="2"/>
        <v>96.020202020202007</v>
      </c>
      <c r="L20" s="302">
        <f t="shared" si="3"/>
        <v>99.075420875420875</v>
      </c>
    </row>
    <row r="21" spans="1:12" ht="15.6" customHeight="1" x14ac:dyDescent="0.2">
      <c r="A21" s="242"/>
      <c r="B21" s="255" t="s">
        <v>165</v>
      </c>
      <c r="C21" s="351">
        <f>40+10+100+100+100+100+50+5</f>
        <v>505</v>
      </c>
      <c r="D21" s="358">
        <f>55.5+11.2+100+100+100+100+34.77+4.91</f>
        <v>506.38</v>
      </c>
      <c r="E21" s="353">
        <f t="shared" si="0"/>
        <v>100.27326732673268</v>
      </c>
      <c r="F21" s="351">
        <f>40+10+100+100+100+100+50+5</f>
        <v>505</v>
      </c>
      <c r="G21" s="358">
        <f>36.7+41.1+100+100+100+100+16.19+11.14</f>
        <v>505.13</v>
      </c>
      <c r="H21" s="353">
        <f t="shared" si="1"/>
        <v>100.02574257425742</v>
      </c>
      <c r="I21" s="358">
        <f>45+10+100+100+100+100+50+5</f>
        <v>510</v>
      </c>
      <c r="J21" s="358">
        <f>28.49+32.37+100+100+100+100+17.94+3.52</f>
        <v>482.32</v>
      </c>
      <c r="K21" s="353">
        <f t="shared" si="2"/>
        <v>94.572549019607848</v>
      </c>
      <c r="L21" s="302">
        <f t="shared" si="3"/>
        <v>98.290519640199307</v>
      </c>
    </row>
    <row r="22" spans="1:12" ht="15.6" customHeight="1" x14ac:dyDescent="0.2">
      <c r="A22" s="242"/>
      <c r="B22" s="256" t="s">
        <v>166</v>
      </c>
      <c r="C22" s="354">
        <f>100+100+100+100+100+100+100+100+100+100</f>
        <v>1000</v>
      </c>
      <c r="D22" s="354">
        <f>100+100+100+100+100+100+100+100+100+100</f>
        <v>1000</v>
      </c>
      <c r="E22" s="356">
        <f t="shared" si="0"/>
        <v>100</v>
      </c>
      <c r="F22" s="354">
        <f>100+100+100+100+100+100+100+100+100+100</f>
        <v>1000</v>
      </c>
      <c r="G22" s="354">
        <f>100+100+100+100+100+100+100+100+100+100</f>
        <v>1000</v>
      </c>
      <c r="H22" s="356">
        <f t="shared" si="1"/>
        <v>100</v>
      </c>
      <c r="I22" s="354">
        <f>100+100+100+100+100+100+100+100+100+100</f>
        <v>1000</v>
      </c>
      <c r="J22" s="354">
        <f>100+100+100+100+100+100+100+100+100+100</f>
        <v>1000</v>
      </c>
      <c r="K22" s="356">
        <f t="shared" si="2"/>
        <v>100</v>
      </c>
      <c r="L22" s="302">
        <f t="shared" si="3"/>
        <v>100</v>
      </c>
    </row>
    <row r="23" spans="1:12" ht="15.6" customHeight="1" x14ac:dyDescent="0.2">
      <c r="A23" s="242"/>
      <c r="B23" s="255" t="s">
        <v>167</v>
      </c>
      <c r="C23" s="351">
        <f>65+95+105</f>
        <v>265</v>
      </c>
      <c r="D23" s="358">
        <f>79.56+96.72+106.01</f>
        <v>282.29000000000002</v>
      </c>
      <c r="E23" s="353">
        <f t="shared" si="0"/>
        <v>106.5245283018868</v>
      </c>
      <c r="F23" s="358">
        <f>65+95+105</f>
        <v>265</v>
      </c>
      <c r="G23" s="358">
        <f>58+79+98</f>
        <v>235</v>
      </c>
      <c r="H23" s="353">
        <f t="shared" si="1"/>
        <v>88.679245283018872</v>
      </c>
      <c r="I23" s="358">
        <f>65+99+105</f>
        <v>269</v>
      </c>
      <c r="J23" s="358">
        <f>59+92+111</f>
        <v>262</v>
      </c>
      <c r="K23" s="353">
        <f t="shared" si="2"/>
        <v>97.39776951672863</v>
      </c>
      <c r="L23" s="302">
        <f t="shared" si="3"/>
        <v>97.533847700544769</v>
      </c>
    </row>
    <row r="24" spans="1:12" ht="15.6" customHeight="1" x14ac:dyDescent="0.2">
      <c r="A24" s="242"/>
      <c r="B24" s="257" t="s">
        <v>168</v>
      </c>
      <c r="C24" s="360">
        <f>50+40+1.75+100+100+40+100+100+100+100+100+100</f>
        <v>931.75</v>
      </c>
      <c r="D24" s="359">
        <f>35+58+2.19+100+100+44+91+100+100+100+29+100</f>
        <v>859.19</v>
      </c>
      <c r="E24" s="356">
        <f t="shared" si="0"/>
        <v>92.212503353903941</v>
      </c>
      <c r="F24" s="359">
        <f>100+80+3.75+100+100+80+100+100+100+100+100+100</f>
        <v>1063.75</v>
      </c>
      <c r="G24" s="359">
        <f>100+83+3.9+0+0+68+100+100+100+100+63+133.33</f>
        <v>851.23</v>
      </c>
      <c r="H24" s="356">
        <f t="shared" si="1"/>
        <v>80.02162162162162</v>
      </c>
      <c r="I24" s="359">
        <f>100+80+3.75+100+100+100+80+100+100+100+100+100+100</f>
        <v>1163.75</v>
      </c>
      <c r="J24" s="359">
        <f>100+83+1.16+100+100+0+67.5+97+100+100+100+100+67+60</f>
        <v>1075.6599999999999</v>
      </c>
      <c r="K24" s="356">
        <f t="shared" si="2"/>
        <v>92.430504833512344</v>
      </c>
      <c r="L24" s="302">
        <f t="shared" si="3"/>
        <v>88.221543269679316</v>
      </c>
    </row>
    <row r="25" spans="1:12" ht="15.75" customHeight="1" x14ac:dyDescent="0.2">
      <c r="A25" s="242"/>
      <c r="B25" s="255" t="s">
        <v>169</v>
      </c>
      <c r="C25" s="358">
        <f>100+100+100+100+100+100+100+100+100</f>
        <v>900</v>
      </c>
      <c r="D25" s="358">
        <f>100+100+100+100+100+100+100+100+100</f>
        <v>900</v>
      </c>
      <c r="E25" s="353">
        <f t="shared" si="0"/>
        <v>100</v>
      </c>
      <c r="F25" s="358">
        <f>100+100+100+100+100+100+100+100+100</f>
        <v>900</v>
      </c>
      <c r="G25" s="358">
        <f>100+100+100+100+100+100+100+100+100</f>
        <v>900</v>
      </c>
      <c r="H25" s="353">
        <f t="shared" si="1"/>
        <v>100</v>
      </c>
      <c r="I25" s="358">
        <f>100+100+100+100+100+100+100+100+100</f>
        <v>900</v>
      </c>
      <c r="J25" s="358">
        <f>100+100+100+100+100+100+100+100+100</f>
        <v>900</v>
      </c>
      <c r="K25" s="353">
        <f t="shared" si="2"/>
        <v>100</v>
      </c>
      <c r="L25" s="302">
        <f t="shared" si="3"/>
        <v>100</v>
      </c>
    </row>
    <row r="26" spans="1:12" ht="15.6" customHeight="1" x14ac:dyDescent="0.2">
      <c r="A26" s="242"/>
      <c r="B26" s="256" t="s">
        <v>170</v>
      </c>
      <c r="C26" s="354">
        <f>80+80+80</f>
        <v>240</v>
      </c>
      <c r="D26" s="354">
        <f>83.33+86.96+80.39</f>
        <v>250.68</v>
      </c>
      <c r="E26" s="356">
        <f t="shared" si="0"/>
        <v>104.45</v>
      </c>
      <c r="F26" s="359">
        <f>100+100+100</f>
        <v>300</v>
      </c>
      <c r="G26" s="359">
        <f>106.45+100+100</f>
        <v>306.45</v>
      </c>
      <c r="H26" s="356">
        <f t="shared" si="1"/>
        <v>102.15</v>
      </c>
      <c r="I26" s="359">
        <f>100+100+100</f>
        <v>300</v>
      </c>
      <c r="J26" s="359">
        <f>100+100+102</f>
        <v>302</v>
      </c>
      <c r="K26" s="356">
        <f t="shared" si="2"/>
        <v>100.66666666666667</v>
      </c>
      <c r="L26" s="302">
        <f t="shared" si="3"/>
        <v>102.42222222222223</v>
      </c>
    </row>
    <row r="27" spans="1:12" ht="15.6" customHeight="1" x14ac:dyDescent="0.2">
      <c r="A27" s="242"/>
      <c r="B27" s="255" t="s">
        <v>171</v>
      </c>
      <c r="C27" s="351">
        <f>100+100+100+100+100+100+100+100+100+50+100+20</f>
        <v>1070</v>
      </c>
      <c r="D27" s="358">
        <f>100+100+100+100+100+100+100+100+100+100+100+31.53</f>
        <v>1131.53</v>
      </c>
      <c r="E27" s="353">
        <f t="shared" si="0"/>
        <v>105.75046728971962</v>
      </c>
      <c r="F27" s="351">
        <f>100+100+100+100+100+100+100+100+100+50+100+20</f>
        <v>1070</v>
      </c>
      <c r="G27" s="351">
        <f>100+100+100+100+100+100+100+100+100+51+100+22.93</f>
        <v>1073.93</v>
      </c>
      <c r="H27" s="353">
        <f t="shared" si="1"/>
        <v>100.36728971962617</v>
      </c>
      <c r="I27" s="358">
        <f>100+100+100+100+100+100+100+100+100+50+100+20</f>
        <v>1070</v>
      </c>
      <c r="J27" s="358">
        <f>100+100+100+100+100+100+100+100+100+65.2+100+28.34</f>
        <v>1093.54</v>
      </c>
      <c r="K27" s="353">
        <f t="shared" si="2"/>
        <v>102.2</v>
      </c>
      <c r="L27" s="302">
        <f t="shared" si="3"/>
        <v>102.77258566978192</v>
      </c>
    </row>
    <row r="28" spans="1:12" ht="15.6" customHeight="1" x14ac:dyDescent="0.2">
      <c r="A28" s="242"/>
      <c r="B28" s="256" t="s">
        <v>172</v>
      </c>
      <c r="C28" s="361">
        <f t="shared" ref="C28:D35" si="4">100+100</f>
        <v>200</v>
      </c>
      <c r="D28" s="361">
        <f t="shared" si="4"/>
        <v>200</v>
      </c>
      <c r="E28" s="356">
        <f t="shared" si="0"/>
        <v>100</v>
      </c>
      <c r="F28" s="361">
        <f t="shared" ref="F28:G35" si="5">100+100</f>
        <v>200</v>
      </c>
      <c r="G28" s="361">
        <f t="shared" si="5"/>
        <v>200</v>
      </c>
      <c r="H28" s="356">
        <f t="shared" si="1"/>
        <v>100</v>
      </c>
      <c r="I28" s="361">
        <f t="shared" ref="I28:J35" si="6">100+100</f>
        <v>200</v>
      </c>
      <c r="J28" s="361">
        <f t="shared" si="6"/>
        <v>200</v>
      </c>
      <c r="K28" s="356">
        <f t="shared" si="2"/>
        <v>100</v>
      </c>
      <c r="L28" s="302">
        <f t="shared" si="3"/>
        <v>100</v>
      </c>
    </row>
    <row r="29" spans="1:12" ht="15.6" customHeight="1" x14ac:dyDescent="0.2">
      <c r="A29" s="242"/>
      <c r="B29" s="255" t="s">
        <v>173</v>
      </c>
      <c r="C29" s="362">
        <f t="shared" si="4"/>
        <v>200</v>
      </c>
      <c r="D29" s="362">
        <f t="shared" si="4"/>
        <v>200</v>
      </c>
      <c r="E29" s="353">
        <f t="shared" si="0"/>
        <v>100</v>
      </c>
      <c r="F29" s="362">
        <f t="shared" si="5"/>
        <v>200</v>
      </c>
      <c r="G29" s="362">
        <f t="shared" si="5"/>
        <v>200</v>
      </c>
      <c r="H29" s="353">
        <f t="shared" si="1"/>
        <v>100</v>
      </c>
      <c r="I29" s="362">
        <f t="shared" si="6"/>
        <v>200</v>
      </c>
      <c r="J29" s="362">
        <f t="shared" si="6"/>
        <v>200</v>
      </c>
      <c r="K29" s="353">
        <f t="shared" si="2"/>
        <v>100</v>
      </c>
      <c r="L29" s="302">
        <f t="shared" si="3"/>
        <v>100</v>
      </c>
    </row>
    <row r="30" spans="1:12" ht="15.6" customHeight="1" x14ac:dyDescent="0.2">
      <c r="A30" s="242"/>
      <c r="B30" s="256" t="s">
        <v>174</v>
      </c>
      <c r="C30" s="361">
        <f t="shared" si="4"/>
        <v>200</v>
      </c>
      <c r="D30" s="361">
        <f t="shared" si="4"/>
        <v>200</v>
      </c>
      <c r="E30" s="356">
        <f t="shared" si="0"/>
        <v>100</v>
      </c>
      <c r="F30" s="361">
        <f t="shared" si="5"/>
        <v>200</v>
      </c>
      <c r="G30" s="361">
        <f t="shared" si="5"/>
        <v>200</v>
      </c>
      <c r="H30" s="356">
        <f t="shared" si="1"/>
        <v>100</v>
      </c>
      <c r="I30" s="361">
        <f t="shared" si="6"/>
        <v>200</v>
      </c>
      <c r="J30" s="361">
        <f t="shared" si="6"/>
        <v>200</v>
      </c>
      <c r="K30" s="356">
        <f t="shared" si="2"/>
        <v>100</v>
      </c>
      <c r="L30" s="302">
        <f t="shared" si="3"/>
        <v>100</v>
      </c>
    </row>
    <row r="31" spans="1:12" ht="15.6" customHeight="1" x14ac:dyDescent="0.2">
      <c r="A31" s="242"/>
      <c r="B31" s="255" t="s">
        <v>175</v>
      </c>
      <c r="C31" s="362">
        <f t="shared" si="4"/>
        <v>200</v>
      </c>
      <c r="D31" s="362">
        <f t="shared" si="4"/>
        <v>200</v>
      </c>
      <c r="E31" s="353">
        <f t="shared" si="0"/>
        <v>100</v>
      </c>
      <c r="F31" s="362">
        <f t="shared" si="5"/>
        <v>200</v>
      </c>
      <c r="G31" s="362">
        <f t="shared" si="5"/>
        <v>200</v>
      </c>
      <c r="H31" s="353">
        <f t="shared" si="1"/>
        <v>100</v>
      </c>
      <c r="I31" s="362">
        <f t="shared" si="6"/>
        <v>200</v>
      </c>
      <c r="J31" s="362">
        <f t="shared" si="6"/>
        <v>200</v>
      </c>
      <c r="K31" s="353">
        <f t="shared" si="2"/>
        <v>100</v>
      </c>
      <c r="L31" s="302">
        <f t="shared" si="3"/>
        <v>100</v>
      </c>
    </row>
    <row r="32" spans="1:12" ht="15.6" customHeight="1" x14ac:dyDescent="0.2">
      <c r="A32" s="242"/>
      <c r="B32" s="256" t="s">
        <v>176</v>
      </c>
      <c r="C32" s="361">
        <f t="shared" si="4"/>
        <v>200</v>
      </c>
      <c r="D32" s="361">
        <f t="shared" si="4"/>
        <v>200</v>
      </c>
      <c r="E32" s="356">
        <f t="shared" si="0"/>
        <v>100</v>
      </c>
      <c r="F32" s="361">
        <f t="shared" si="5"/>
        <v>200</v>
      </c>
      <c r="G32" s="361">
        <f t="shared" si="5"/>
        <v>200</v>
      </c>
      <c r="H32" s="356">
        <f t="shared" si="1"/>
        <v>100</v>
      </c>
      <c r="I32" s="361">
        <f t="shared" si="6"/>
        <v>200</v>
      </c>
      <c r="J32" s="361">
        <f t="shared" si="6"/>
        <v>200</v>
      </c>
      <c r="K32" s="356">
        <f t="shared" si="2"/>
        <v>100</v>
      </c>
      <c r="L32" s="302">
        <f t="shared" si="3"/>
        <v>100</v>
      </c>
    </row>
    <row r="33" spans="1:12" ht="15.6" customHeight="1" x14ac:dyDescent="0.2">
      <c r="A33" s="242"/>
      <c r="B33" s="255" t="s">
        <v>177</v>
      </c>
      <c r="C33" s="362">
        <f t="shared" si="4"/>
        <v>200</v>
      </c>
      <c r="D33" s="362">
        <f t="shared" si="4"/>
        <v>200</v>
      </c>
      <c r="E33" s="353">
        <f t="shared" si="0"/>
        <v>100</v>
      </c>
      <c r="F33" s="362">
        <f t="shared" si="5"/>
        <v>200</v>
      </c>
      <c r="G33" s="362">
        <f t="shared" si="5"/>
        <v>200</v>
      </c>
      <c r="H33" s="353">
        <f t="shared" si="1"/>
        <v>100</v>
      </c>
      <c r="I33" s="362">
        <f t="shared" si="6"/>
        <v>200</v>
      </c>
      <c r="J33" s="362">
        <f t="shared" si="6"/>
        <v>200</v>
      </c>
      <c r="K33" s="353">
        <f t="shared" si="2"/>
        <v>100</v>
      </c>
      <c r="L33" s="302">
        <f t="shared" si="3"/>
        <v>100</v>
      </c>
    </row>
    <row r="34" spans="1:12" ht="15.6" customHeight="1" x14ac:dyDescent="0.2">
      <c r="A34" s="242"/>
      <c r="B34" s="256" t="s">
        <v>178</v>
      </c>
      <c r="C34" s="361">
        <f t="shared" si="4"/>
        <v>200</v>
      </c>
      <c r="D34" s="361">
        <f t="shared" si="4"/>
        <v>200</v>
      </c>
      <c r="E34" s="356">
        <f t="shared" si="0"/>
        <v>100</v>
      </c>
      <c r="F34" s="361">
        <f t="shared" si="5"/>
        <v>200</v>
      </c>
      <c r="G34" s="361">
        <f t="shared" si="5"/>
        <v>200</v>
      </c>
      <c r="H34" s="356">
        <f t="shared" si="1"/>
        <v>100</v>
      </c>
      <c r="I34" s="361">
        <f t="shared" si="6"/>
        <v>200</v>
      </c>
      <c r="J34" s="361">
        <f t="shared" si="6"/>
        <v>200</v>
      </c>
      <c r="K34" s="356">
        <f t="shared" si="2"/>
        <v>100</v>
      </c>
      <c r="L34" s="302">
        <f t="shared" si="3"/>
        <v>100</v>
      </c>
    </row>
    <row r="35" spans="1:12" ht="15.6" customHeight="1" x14ac:dyDescent="0.2">
      <c r="A35" s="242"/>
      <c r="B35" s="255" t="s">
        <v>179</v>
      </c>
      <c r="C35" s="362">
        <f t="shared" si="4"/>
        <v>200</v>
      </c>
      <c r="D35" s="362">
        <f t="shared" si="4"/>
        <v>200</v>
      </c>
      <c r="E35" s="353">
        <f t="shared" si="0"/>
        <v>100</v>
      </c>
      <c r="F35" s="362">
        <f t="shared" si="5"/>
        <v>200</v>
      </c>
      <c r="G35" s="362">
        <f t="shared" si="5"/>
        <v>200</v>
      </c>
      <c r="H35" s="353">
        <f t="shared" si="1"/>
        <v>100</v>
      </c>
      <c r="I35" s="362">
        <f t="shared" si="6"/>
        <v>200</v>
      </c>
      <c r="J35" s="362">
        <f t="shared" si="6"/>
        <v>200</v>
      </c>
      <c r="K35" s="353">
        <f t="shared" si="2"/>
        <v>100</v>
      </c>
      <c r="L35" s="302">
        <f t="shared" si="3"/>
        <v>100</v>
      </c>
    </row>
    <row r="36" spans="1:12" ht="15.6" customHeight="1" x14ac:dyDescent="0.2">
      <c r="A36" s="242"/>
      <c r="B36" s="256" t="s">
        <v>201</v>
      </c>
      <c r="C36" s="354">
        <f>95+80+95+50+10+6+80+90+80</f>
        <v>586</v>
      </c>
      <c r="D36" s="361">
        <f>95.47+85+100+51.19+10.69+6.12+84.67+92.31+82.69</f>
        <v>608.1400000000001</v>
      </c>
      <c r="E36" s="356">
        <f t="shared" si="0"/>
        <v>103.77815699658704</v>
      </c>
      <c r="F36" s="361">
        <f>95+80+95+50+25+6+80+90+80</f>
        <v>601</v>
      </c>
      <c r="G36" s="361">
        <f>97.05+85+100+55.56+25.05+6.16+83.78+90+84.48</f>
        <v>627.08000000000004</v>
      </c>
      <c r="H36" s="356">
        <f t="shared" si="1"/>
        <v>104.33943427620633</v>
      </c>
      <c r="I36" s="361">
        <f>95+80+95+50+25+6+80+90+80</f>
        <v>601</v>
      </c>
      <c r="J36" s="361">
        <f>95.17+85+100+51.85+25.06+5.52+83+94.44+84.69</f>
        <v>624.73</v>
      </c>
      <c r="K36" s="356">
        <f t="shared" si="2"/>
        <v>103.94841930116472</v>
      </c>
      <c r="L36" s="302">
        <f t="shared" si="3"/>
        <v>104.0220035246527</v>
      </c>
    </row>
    <row r="37" spans="1:12" ht="15.6" customHeight="1" x14ac:dyDescent="0.2">
      <c r="A37" s="242"/>
      <c r="B37" s="255" t="s">
        <v>180</v>
      </c>
      <c r="C37" s="351">
        <f>100+100</f>
        <v>200</v>
      </c>
      <c r="D37" s="351">
        <f>100+100</f>
        <v>200</v>
      </c>
      <c r="E37" s="353">
        <f t="shared" si="0"/>
        <v>100</v>
      </c>
      <c r="F37" s="351">
        <f>100+100</f>
        <v>200</v>
      </c>
      <c r="G37" s="362">
        <f>100+100</f>
        <v>200</v>
      </c>
      <c r="H37" s="353">
        <f t="shared" si="1"/>
        <v>100</v>
      </c>
      <c r="I37" s="351">
        <f>100+100</f>
        <v>200</v>
      </c>
      <c r="J37" s="362">
        <f>100+100</f>
        <v>200</v>
      </c>
      <c r="K37" s="353">
        <f t="shared" si="2"/>
        <v>100</v>
      </c>
      <c r="L37" s="302">
        <f t="shared" si="3"/>
        <v>100</v>
      </c>
    </row>
    <row r="38" spans="1:12" ht="15.6" customHeight="1" x14ac:dyDescent="0.2">
      <c r="A38" s="242"/>
      <c r="B38" s="256" t="s">
        <v>182</v>
      </c>
      <c r="C38" s="361">
        <f>100+100</f>
        <v>200</v>
      </c>
      <c r="D38" s="361">
        <f>100+100</f>
        <v>200</v>
      </c>
      <c r="E38" s="356">
        <f t="shared" si="0"/>
        <v>100</v>
      </c>
      <c r="F38" s="361">
        <f>100+100</f>
        <v>200</v>
      </c>
      <c r="G38" s="361">
        <f>100+100</f>
        <v>200</v>
      </c>
      <c r="H38" s="356">
        <f t="shared" si="1"/>
        <v>100</v>
      </c>
      <c r="I38" s="361">
        <f>100+100</f>
        <v>200</v>
      </c>
      <c r="J38" s="361">
        <f>100+100</f>
        <v>200</v>
      </c>
      <c r="K38" s="356">
        <f t="shared" si="2"/>
        <v>100</v>
      </c>
      <c r="L38" s="302">
        <f t="shared" si="3"/>
        <v>100</v>
      </c>
    </row>
    <row r="39" spans="1:12" ht="15.6" customHeight="1" x14ac:dyDescent="0.2">
      <c r="A39" s="242"/>
      <c r="B39" s="255" t="s">
        <v>203</v>
      </c>
      <c r="C39" s="351">
        <f>70+90+90+90+90+90+90</f>
        <v>610</v>
      </c>
      <c r="D39" s="362">
        <f>66.67+91.52+86.15+90+85.56+86.67+84</f>
        <v>590.57000000000005</v>
      </c>
      <c r="E39" s="353">
        <f t="shared" si="0"/>
        <v>96.814754098360666</v>
      </c>
      <c r="F39" s="351">
        <f>70+90+90+90+80+90+90</f>
        <v>600</v>
      </c>
      <c r="G39" s="362">
        <f>66.67+92.17+90+90+81.11+90+87.08</f>
        <v>597.03000000000009</v>
      </c>
      <c r="H39" s="353">
        <f t="shared" si="1"/>
        <v>99.50500000000001</v>
      </c>
      <c r="I39" s="351">
        <f>70+90+90+90+80+90+90</f>
        <v>600</v>
      </c>
      <c r="J39" s="351">
        <f>71.43+92.39+92.31+95.24+85.56+90+88.46</f>
        <v>615.3900000000001</v>
      </c>
      <c r="K39" s="353">
        <f t="shared" si="2"/>
        <v>102.56500000000001</v>
      </c>
      <c r="L39" s="302">
        <f t="shared" si="3"/>
        <v>99.628251366120239</v>
      </c>
    </row>
    <row r="40" spans="1:12" ht="15.6" customHeight="1" x14ac:dyDescent="0.2">
      <c r="A40" s="242"/>
      <c r="B40" s="256" t="s">
        <v>183</v>
      </c>
      <c r="C40" s="354">
        <f>70+70+70+70</f>
        <v>280</v>
      </c>
      <c r="D40" s="361">
        <f>66.67+69.23+70.83+75</f>
        <v>281.73</v>
      </c>
      <c r="E40" s="356">
        <f t="shared" si="0"/>
        <v>100.61785714285715</v>
      </c>
      <c r="F40" s="354">
        <f>70+70+70+70</f>
        <v>280</v>
      </c>
      <c r="G40" s="361">
        <f>70+71.6+70+75</f>
        <v>286.60000000000002</v>
      </c>
      <c r="H40" s="356">
        <f t="shared" si="1"/>
        <v>102.35714285714288</v>
      </c>
      <c r="I40" s="354">
        <f>70+70+70+70</f>
        <v>280</v>
      </c>
      <c r="J40" s="361">
        <f>70+72.27+75+75</f>
        <v>292.27</v>
      </c>
      <c r="K40" s="356">
        <f t="shared" si="2"/>
        <v>104.38214285714285</v>
      </c>
      <c r="L40" s="302">
        <f t="shared" si="3"/>
        <v>102.45238095238096</v>
      </c>
    </row>
    <row r="41" spans="1:12" ht="15.6" customHeight="1" x14ac:dyDescent="0.2">
      <c r="A41" s="242"/>
      <c r="B41" s="255" t="s">
        <v>184</v>
      </c>
      <c r="C41" s="362">
        <f>70+70+70+70</f>
        <v>280</v>
      </c>
      <c r="D41" s="362">
        <f>71.43+72.14+72+75</f>
        <v>290.57</v>
      </c>
      <c r="E41" s="353">
        <f t="shared" si="0"/>
        <v>103.77500000000001</v>
      </c>
      <c r="F41" s="362">
        <f>70+70+70+70</f>
        <v>280</v>
      </c>
      <c r="G41" s="362">
        <f>71.43+72.86+72+75</f>
        <v>291.29000000000002</v>
      </c>
      <c r="H41" s="353">
        <f t="shared" si="1"/>
        <v>104.03214285714287</v>
      </c>
      <c r="I41" s="362">
        <f>70+70+70+70</f>
        <v>280</v>
      </c>
      <c r="J41" s="362">
        <f>71.43+76.43+68+75</f>
        <v>290.86</v>
      </c>
      <c r="K41" s="353">
        <f t="shared" si="2"/>
        <v>103.87857142857143</v>
      </c>
      <c r="L41" s="302">
        <f t="shared" si="3"/>
        <v>103.8952380952381</v>
      </c>
    </row>
    <row r="42" spans="1:12" ht="15.6" customHeight="1" x14ac:dyDescent="0.2">
      <c r="A42" s="242"/>
      <c r="B42" s="256" t="s">
        <v>185</v>
      </c>
      <c r="C42" s="354">
        <f>70+70+70+70</f>
        <v>280</v>
      </c>
      <c r="D42" s="361">
        <f>70+70.01+70+71.43</f>
        <v>281.44</v>
      </c>
      <c r="E42" s="356">
        <f t="shared" si="0"/>
        <v>100.51428571428572</v>
      </c>
      <c r="F42" s="354">
        <f>70+70+70+70</f>
        <v>280</v>
      </c>
      <c r="G42" s="361">
        <f>70+69.96+70.18+66.67</f>
        <v>276.81</v>
      </c>
      <c r="H42" s="356">
        <f t="shared" si="1"/>
        <v>98.86071428571428</v>
      </c>
      <c r="I42" s="354">
        <f>70+70+70+70</f>
        <v>280</v>
      </c>
      <c r="J42" s="361">
        <f>69.97+70+69.64+71.43</f>
        <v>281.04000000000002</v>
      </c>
      <c r="K42" s="356">
        <f t="shared" si="2"/>
        <v>100.37142857142858</v>
      </c>
      <c r="L42" s="302">
        <f t="shared" si="3"/>
        <v>99.915476190476184</v>
      </c>
    </row>
    <row r="43" spans="1:12" ht="15.6" customHeight="1" x14ac:dyDescent="0.2">
      <c r="A43" s="242"/>
      <c r="B43" s="255" t="s">
        <v>186</v>
      </c>
      <c r="C43" s="351">
        <f>40+80+90+40+80+90+6+20</f>
        <v>446</v>
      </c>
      <c r="D43" s="362">
        <f>38.82+80+95.75+40+80+90+5.82+20.41</f>
        <v>450.8</v>
      </c>
      <c r="E43" s="353">
        <f t="shared" si="0"/>
        <v>101.0762331838565</v>
      </c>
      <c r="F43" s="351">
        <f>40+80+90+40+80+90+6+40</f>
        <v>466</v>
      </c>
      <c r="G43" s="362">
        <f>40.2+80+95.28+40+80+90+6.45+39.39</f>
        <v>471.32</v>
      </c>
      <c r="H43" s="353">
        <f t="shared" si="1"/>
        <v>101.14163090128756</v>
      </c>
      <c r="I43" s="362">
        <f>40+80+90+40+80+90+6+40</f>
        <v>466</v>
      </c>
      <c r="J43" s="362">
        <f>40.49+80+96.27+40+80+90+6.08+39.62</f>
        <v>472.46</v>
      </c>
      <c r="K43" s="353">
        <f t="shared" si="2"/>
        <v>101.38626609442061</v>
      </c>
      <c r="L43" s="302">
        <f t="shared" si="3"/>
        <v>101.20137672652156</v>
      </c>
    </row>
    <row r="44" spans="1:12" ht="15.6" customHeight="1" x14ac:dyDescent="0.2">
      <c r="A44" s="242"/>
      <c r="B44" s="256" t="s">
        <v>237</v>
      </c>
      <c r="C44" s="354">
        <f t="shared" ref="C44:D47" si="7">80+70</f>
        <v>150</v>
      </c>
      <c r="D44" s="354">
        <f t="shared" si="7"/>
        <v>150</v>
      </c>
      <c r="E44" s="356">
        <f t="shared" si="0"/>
        <v>100</v>
      </c>
      <c r="F44" s="354">
        <f t="shared" ref="F44:G47" si="8">80+70</f>
        <v>150</v>
      </c>
      <c r="G44" s="354">
        <f t="shared" si="8"/>
        <v>150</v>
      </c>
      <c r="H44" s="356">
        <f t="shared" si="1"/>
        <v>100</v>
      </c>
      <c r="I44" s="354">
        <f t="shared" ref="I44:J47" si="9">80+70</f>
        <v>150</v>
      </c>
      <c r="J44" s="354">
        <f t="shared" si="9"/>
        <v>150</v>
      </c>
      <c r="K44" s="356">
        <f t="shared" si="2"/>
        <v>100</v>
      </c>
      <c r="L44" s="302">
        <f t="shared" si="3"/>
        <v>100</v>
      </c>
    </row>
    <row r="45" spans="1:12" ht="15.6" customHeight="1" x14ac:dyDescent="0.2">
      <c r="A45" s="242"/>
      <c r="B45" s="255" t="s">
        <v>187</v>
      </c>
      <c r="C45" s="351">
        <f t="shared" si="7"/>
        <v>150</v>
      </c>
      <c r="D45" s="351">
        <f t="shared" si="7"/>
        <v>150</v>
      </c>
      <c r="E45" s="353">
        <f t="shared" si="0"/>
        <v>100</v>
      </c>
      <c r="F45" s="351">
        <f t="shared" si="8"/>
        <v>150</v>
      </c>
      <c r="G45" s="351">
        <f t="shared" si="8"/>
        <v>150</v>
      </c>
      <c r="H45" s="353">
        <f t="shared" si="1"/>
        <v>100</v>
      </c>
      <c r="I45" s="351">
        <f t="shared" si="9"/>
        <v>150</v>
      </c>
      <c r="J45" s="351">
        <f t="shared" si="9"/>
        <v>150</v>
      </c>
      <c r="K45" s="353">
        <f t="shared" si="2"/>
        <v>100</v>
      </c>
      <c r="L45" s="302">
        <f t="shared" si="3"/>
        <v>100</v>
      </c>
    </row>
    <row r="46" spans="1:12" ht="15.6" customHeight="1" x14ac:dyDescent="0.2">
      <c r="A46" s="242"/>
      <c r="B46" s="256" t="s">
        <v>188</v>
      </c>
      <c r="C46" s="354">
        <f t="shared" si="7"/>
        <v>150</v>
      </c>
      <c r="D46" s="354">
        <f t="shared" si="7"/>
        <v>150</v>
      </c>
      <c r="E46" s="356">
        <f t="shared" si="0"/>
        <v>100</v>
      </c>
      <c r="F46" s="354">
        <f t="shared" si="8"/>
        <v>150</v>
      </c>
      <c r="G46" s="354">
        <f t="shared" si="8"/>
        <v>150</v>
      </c>
      <c r="H46" s="356">
        <f t="shared" si="1"/>
        <v>100</v>
      </c>
      <c r="I46" s="354">
        <f t="shared" si="9"/>
        <v>150</v>
      </c>
      <c r="J46" s="354">
        <f t="shared" si="9"/>
        <v>150</v>
      </c>
      <c r="K46" s="356">
        <f t="shared" si="2"/>
        <v>100</v>
      </c>
      <c r="L46" s="302">
        <f t="shared" si="3"/>
        <v>100</v>
      </c>
    </row>
    <row r="47" spans="1:12" ht="15.6" customHeight="1" x14ac:dyDescent="0.2">
      <c r="A47" s="242"/>
      <c r="B47" s="255" t="s">
        <v>189</v>
      </c>
      <c r="C47" s="351">
        <f t="shared" si="7"/>
        <v>150</v>
      </c>
      <c r="D47" s="351">
        <f t="shared" si="7"/>
        <v>150</v>
      </c>
      <c r="E47" s="353">
        <f t="shared" si="0"/>
        <v>100</v>
      </c>
      <c r="F47" s="351">
        <f t="shared" si="8"/>
        <v>150</v>
      </c>
      <c r="G47" s="351">
        <f t="shared" si="8"/>
        <v>150</v>
      </c>
      <c r="H47" s="353">
        <f t="shared" si="1"/>
        <v>100</v>
      </c>
      <c r="I47" s="351">
        <f t="shared" si="9"/>
        <v>150</v>
      </c>
      <c r="J47" s="351">
        <f t="shared" si="9"/>
        <v>150</v>
      </c>
      <c r="K47" s="353">
        <f t="shared" si="2"/>
        <v>100</v>
      </c>
      <c r="L47" s="302">
        <f t="shared" si="3"/>
        <v>100</v>
      </c>
    </row>
    <row r="48" spans="1:12" ht="15.6" customHeight="1" x14ac:dyDescent="0.2">
      <c r="A48" s="242"/>
      <c r="B48" s="257" t="s">
        <v>190</v>
      </c>
      <c r="C48" s="354">
        <f>100+100</f>
        <v>200</v>
      </c>
      <c r="D48" s="361">
        <f>100+100</f>
        <v>200</v>
      </c>
      <c r="E48" s="356">
        <f t="shared" si="0"/>
        <v>100</v>
      </c>
      <c r="F48" s="354">
        <f>100+100</f>
        <v>200</v>
      </c>
      <c r="G48" s="361">
        <f>100+100</f>
        <v>200</v>
      </c>
      <c r="H48" s="356">
        <f t="shared" si="1"/>
        <v>100</v>
      </c>
      <c r="I48" s="354">
        <f>100+100</f>
        <v>200</v>
      </c>
      <c r="J48" s="361">
        <f>100+100</f>
        <v>200</v>
      </c>
      <c r="K48" s="356">
        <f t="shared" si="2"/>
        <v>100</v>
      </c>
      <c r="L48" s="302">
        <f t="shared" si="3"/>
        <v>100</v>
      </c>
    </row>
    <row r="49" spans="1:12" ht="15.6" customHeight="1" x14ac:dyDescent="0.2">
      <c r="A49" s="242"/>
      <c r="B49" s="255" t="s">
        <v>191</v>
      </c>
      <c r="C49" s="351">
        <f>80+70</f>
        <v>150</v>
      </c>
      <c r="D49" s="351">
        <f>80+70</f>
        <v>150</v>
      </c>
      <c r="E49" s="353">
        <f t="shared" si="0"/>
        <v>100</v>
      </c>
      <c r="F49" s="351">
        <f>80+70</f>
        <v>150</v>
      </c>
      <c r="G49" s="351">
        <f>80+70</f>
        <v>150</v>
      </c>
      <c r="H49" s="353">
        <f t="shared" si="1"/>
        <v>100</v>
      </c>
      <c r="I49" s="351">
        <f>80+70</f>
        <v>150</v>
      </c>
      <c r="J49" s="351">
        <f>80+70</f>
        <v>150</v>
      </c>
      <c r="K49" s="353">
        <f t="shared" si="2"/>
        <v>100</v>
      </c>
      <c r="L49" s="302">
        <f t="shared" si="3"/>
        <v>100</v>
      </c>
    </row>
    <row r="50" spans="1:12" ht="15.6" customHeight="1" x14ac:dyDescent="0.2">
      <c r="A50" s="242"/>
      <c r="B50" s="258" t="s">
        <v>192</v>
      </c>
      <c r="C50" s="363">
        <f>72+36+92+30+75+80</f>
        <v>385</v>
      </c>
      <c r="D50" s="363">
        <f>76+34.78+96.11+31.5+70.67+77.78</f>
        <v>386.84000000000003</v>
      </c>
      <c r="E50" s="356">
        <f t="shared" si="0"/>
        <v>100.47792207792207</v>
      </c>
      <c r="F50" s="363">
        <f>72+36+92+30+75+80</f>
        <v>385</v>
      </c>
      <c r="G50" s="363">
        <f>76.92+34.78+95.87+30.41+70.55+77.78</f>
        <v>386.30999999999995</v>
      </c>
      <c r="H50" s="356">
        <f t="shared" si="1"/>
        <v>100.34025974025973</v>
      </c>
      <c r="I50" s="363">
        <f>72+36+92+30+75+80</f>
        <v>385</v>
      </c>
      <c r="J50" s="363">
        <f>76.92+34.78+95.87+30.41+70.55+77.78</f>
        <v>386.30999999999995</v>
      </c>
      <c r="K50" s="356">
        <f t="shared" si="2"/>
        <v>100.34025974025973</v>
      </c>
      <c r="L50" s="302">
        <f t="shared" si="3"/>
        <v>100.38614718614718</v>
      </c>
    </row>
    <row r="51" spans="1:12" ht="15.6" customHeight="1" x14ac:dyDescent="0.2">
      <c r="A51" s="242"/>
      <c r="B51" s="255" t="s">
        <v>193</v>
      </c>
      <c r="C51" s="351">
        <f>100+70+80</f>
        <v>250</v>
      </c>
      <c r="D51" s="362">
        <f>100+66.83+78.03</f>
        <v>244.85999999999999</v>
      </c>
      <c r="E51" s="353">
        <f t="shared" si="0"/>
        <v>97.944000000000003</v>
      </c>
      <c r="F51" s="351">
        <f>100+70+80</f>
        <v>250</v>
      </c>
      <c r="G51" s="362">
        <f>100+66.81+76.19</f>
        <v>243</v>
      </c>
      <c r="H51" s="353">
        <f t="shared" si="1"/>
        <v>97.2</v>
      </c>
      <c r="I51" s="351">
        <f>100+70+80</f>
        <v>250</v>
      </c>
      <c r="J51" s="362">
        <f>100+66.5+78.85</f>
        <v>245.35</v>
      </c>
      <c r="K51" s="353">
        <f t="shared" si="2"/>
        <v>98.14</v>
      </c>
      <c r="L51" s="302">
        <f t="shared" si="3"/>
        <v>97.761333333333326</v>
      </c>
    </row>
    <row r="52" spans="1:12" ht="15.6" customHeight="1" x14ac:dyDescent="0.2">
      <c r="A52" s="242"/>
      <c r="B52" s="258" t="s">
        <v>194</v>
      </c>
      <c r="C52" s="354">
        <f>100+70+80</f>
        <v>250</v>
      </c>
      <c r="D52" s="363">
        <f>100+65.5+76.65</f>
        <v>242.15</v>
      </c>
      <c r="E52" s="356">
        <f t="shared" si="0"/>
        <v>96.86</v>
      </c>
      <c r="F52" s="354">
        <f>100+70+80</f>
        <v>250</v>
      </c>
      <c r="G52" s="363">
        <f>100+66.5+78.85</f>
        <v>245.35</v>
      </c>
      <c r="H52" s="356">
        <f t="shared" si="1"/>
        <v>98.14</v>
      </c>
      <c r="I52" s="354">
        <f>100+70+80</f>
        <v>250</v>
      </c>
      <c r="J52" s="363">
        <f>100+66.81+76.19</f>
        <v>243</v>
      </c>
      <c r="K52" s="356">
        <f t="shared" si="2"/>
        <v>97.2</v>
      </c>
      <c r="L52" s="302">
        <f t="shared" si="3"/>
        <v>97.399999999999991</v>
      </c>
    </row>
    <row r="53" spans="1:12" ht="15.6" customHeight="1" x14ac:dyDescent="0.2">
      <c r="A53" s="242"/>
      <c r="B53" s="255" t="s">
        <v>195</v>
      </c>
      <c r="C53" s="351">
        <f>59+19+45+25+92</f>
        <v>240</v>
      </c>
      <c r="D53" s="362">
        <f>61.76+20.13+47.17+26.47+94.12</f>
        <v>249.65</v>
      </c>
      <c r="E53" s="353">
        <f t="shared" si="0"/>
        <v>104.02083333333333</v>
      </c>
      <c r="F53" s="351">
        <f>59+19+45+25+92</f>
        <v>240</v>
      </c>
      <c r="G53" s="362">
        <f>62.34+20.17+46.43+25.55+94.12</f>
        <v>248.61</v>
      </c>
      <c r="H53" s="353">
        <f t="shared" si="1"/>
        <v>103.58750000000001</v>
      </c>
      <c r="I53" s="362">
        <f>59+19+45+25+92</f>
        <v>240</v>
      </c>
      <c r="J53" s="362">
        <f>61.95+20.17+47.16+25.89+94.12</f>
        <v>249.29000000000002</v>
      </c>
      <c r="K53" s="353">
        <f t="shared" si="2"/>
        <v>103.87083333333335</v>
      </c>
      <c r="L53" s="302">
        <f t="shared" si="3"/>
        <v>103.8263888888889</v>
      </c>
    </row>
    <row r="54" spans="1:12" ht="15.6" customHeight="1" x14ac:dyDescent="0.2">
      <c r="A54" s="242"/>
      <c r="B54" s="258" t="s">
        <v>196</v>
      </c>
      <c r="C54" s="364">
        <f>45.08+43.34+7+11.48+115.79+20+15.79+100+100+100+100+100+100+60</f>
        <v>918.48</v>
      </c>
      <c r="D54" s="365">
        <f>42.15+38.03+4.86+9.03+121.3+0+16.3+100+100+100+100+100+100+58.33</f>
        <v>890.00000000000011</v>
      </c>
      <c r="E54" s="356">
        <f t="shared" si="0"/>
        <v>96.899224806201559</v>
      </c>
      <c r="F54" s="365">
        <f>46.31+45.59+5.58+10.08+115+20+29.47+100+100+100+100+100+60</f>
        <v>832.03</v>
      </c>
      <c r="G54" s="365">
        <f>42.9+38.84+4.17+8.55+125.66+35.66+21.74+100+100+100+100+100+66.66</f>
        <v>844.18</v>
      </c>
      <c r="H54" s="356">
        <f t="shared" si="1"/>
        <v>101.46028388399458</v>
      </c>
      <c r="I54" s="365">
        <f>44.87+41.48+5.11+8.81+114.29+20+21.51+100+100+100+100+100+100+60</f>
        <v>916.06999999999994</v>
      </c>
      <c r="J54" s="365">
        <f>43.61+39.58+3.7+8.04+98.75+18.22+21.74+99.73+100+100+100+100+100+58.33</f>
        <v>891.7</v>
      </c>
      <c r="K54" s="356">
        <f t="shared" si="2"/>
        <v>97.339722946936377</v>
      </c>
      <c r="L54" s="302">
        <f t="shared" si="3"/>
        <v>98.566410545710838</v>
      </c>
    </row>
    <row r="55" spans="1:12" ht="15.6" customHeight="1" x14ac:dyDescent="0.2">
      <c r="A55" s="242"/>
      <c r="B55" s="259"/>
      <c r="C55" s="260"/>
      <c r="D55" s="260"/>
      <c r="E55" s="260"/>
      <c r="F55" s="260"/>
      <c r="G55" s="260"/>
      <c r="H55" s="260"/>
      <c r="I55" s="260"/>
      <c r="J55" s="260"/>
      <c r="K55" s="260"/>
      <c r="L55" s="300"/>
    </row>
    <row r="56" spans="1:12" ht="19.899999999999999" customHeight="1" x14ac:dyDescent="0.2">
      <c r="A56" s="249"/>
      <c r="B56" s="261" t="s">
        <v>197</v>
      </c>
      <c r="C56" s="262"/>
      <c r="D56" s="263"/>
      <c r="E56" s="263"/>
      <c r="F56" s="263"/>
      <c r="G56" s="263"/>
      <c r="H56" s="263"/>
      <c r="I56" s="263"/>
      <c r="J56" s="263"/>
      <c r="K56" s="263"/>
      <c r="L56" s="301"/>
    </row>
    <row r="57" spans="1:12" ht="15.6" customHeight="1" x14ac:dyDescent="0.2">
      <c r="A57" s="242"/>
      <c r="B57" s="259"/>
      <c r="C57" s="260"/>
      <c r="D57" s="260"/>
      <c r="E57" s="260"/>
      <c r="F57" s="260"/>
      <c r="G57" s="260"/>
      <c r="H57" s="260"/>
      <c r="I57" s="260"/>
      <c r="J57" s="260"/>
      <c r="K57" s="260"/>
      <c r="L57" s="300"/>
    </row>
    <row r="58" spans="1:12" ht="15.6" customHeight="1" x14ac:dyDescent="0.2">
      <c r="A58" s="242"/>
      <c r="B58" s="255" t="s">
        <v>238</v>
      </c>
      <c r="C58" s="351">
        <f>76+76+80</f>
        <v>232</v>
      </c>
      <c r="D58" s="358">
        <f>78+73+56</f>
        <v>207</v>
      </c>
      <c r="E58" s="353">
        <f t="shared" ref="E58:E68" si="10">+D58*100/C58</f>
        <v>89.224137931034477</v>
      </c>
      <c r="F58" s="358">
        <f>80+80+76</f>
        <v>236</v>
      </c>
      <c r="G58" s="358">
        <f>85+81+71</f>
        <v>237</v>
      </c>
      <c r="H58" s="353">
        <f t="shared" ref="H58:H68" si="11">+G58*100/F58</f>
        <v>100.42372881355932</v>
      </c>
      <c r="I58" s="358">
        <f>80+80+76</f>
        <v>236</v>
      </c>
      <c r="J58" s="358">
        <f>85+80+81</f>
        <v>246</v>
      </c>
      <c r="K58" s="353">
        <f t="shared" ref="K58:K68" si="12">+J58*100/I58</f>
        <v>104.23728813559322</v>
      </c>
      <c r="L58" s="302">
        <f t="shared" ref="L58:L68" si="13">+(E58+H58+K58)/3</f>
        <v>97.961718293395663</v>
      </c>
    </row>
    <row r="59" spans="1:12" ht="15.6" customHeight="1" x14ac:dyDescent="0.2">
      <c r="A59" s="242"/>
      <c r="B59" s="257" t="s">
        <v>198</v>
      </c>
      <c r="C59" s="360">
        <f>80+85+85</f>
        <v>250</v>
      </c>
      <c r="D59" s="361">
        <f>89+89+90</f>
        <v>268</v>
      </c>
      <c r="E59" s="356">
        <f t="shared" si="10"/>
        <v>107.2</v>
      </c>
      <c r="F59" s="361">
        <f>85+90+85</f>
        <v>260</v>
      </c>
      <c r="G59" s="361">
        <f>91+90+86</f>
        <v>267</v>
      </c>
      <c r="H59" s="356">
        <f t="shared" si="11"/>
        <v>102.69230769230769</v>
      </c>
      <c r="I59" s="361">
        <f>85+90+85</f>
        <v>260</v>
      </c>
      <c r="J59" s="361">
        <f>88+91+88</f>
        <v>267</v>
      </c>
      <c r="K59" s="356">
        <f t="shared" si="12"/>
        <v>102.69230769230769</v>
      </c>
      <c r="L59" s="302">
        <f t="shared" si="13"/>
        <v>104.1948717948718</v>
      </c>
    </row>
    <row r="60" spans="1:12" ht="15.6" customHeight="1" x14ac:dyDescent="0.2">
      <c r="A60" s="242"/>
      <c r="B60" s="255" t="s">
        <v>199</v>
      </c>
      <c r="C60" s="351">
        <f>92+80+85+85+85+90</f>
        <v>517</v>
      </c>
      <c r="D60" s="358">
        <f>88.75+85.21+83.33+93.54+90.01+94.44</f>
        <v>535.28</v>
      </c>
      <c r="E60" s="353">
        <f t="shared" si="10"/>
        <v>103.53578336557059</v>
      </c>
      <c r="F60" s="358">
        <f>92+80+85+85+85+90</f>
        <v>517</v>
      </c>
      <c r="G60" s="358">
        <f>75+82.02+80+81.39+88.95+88.88</f>
        <v>496.23999999999995</v>
      </c>
      <c r="H60" s="353">
        <f t="shared" si="11"/>
        <v>95.984526112185677</v>
      </c>
      <c r="I60" s="358">
        <f>92+85+85+85+80+85</f>
        <v>512</v>
      </c>
      <c r="J60" s="358">
        <f>42.15+80.09+87.5+53.33+0+85.71</f>
        <v>348.78</v>
      </c>
      <c r="K60" s="353">
        <f t="shared" si="12"/>
        <v>68.12109375</v>
      </c>
      <c r="L60" s="302">
        <f t="shared" si="13"/>
        <v>89.213801075918752</v>
      </c>
    </row>
    <row r="61" spans="1:12" ht="15.6" customHeight="1" x14ac:dyDescent="0.2">
      <c r="A61" s="242"/>
      <c r="B61" s="257" t="s">
        <v>200</v>
      </c>
      <c r="C61" s="360">
        <f>95+95+95+95+95+95</f>
        <v>570</v>
      </c>
      <c r="D61" s="359">
        <f>96+100+98+100+100+100</f>
        <v>594</v>
      </c>
      <c r="E61" s="356">
        <f t="shared" si="10"/>
        <v>104.21052631578948</v>
      </c>
      <c r="F61" s="359">
        <f>95+95+95+95+95+95</f>
        <v>570</v>
      </c>
      <c r="G61" s="359">
        <f>96+100+98+100+100+100</f>
        <v>594</v>
      </c>
      <c r="H61" s="356">
        <f t="shared" si="11"/>
        <v>104.21052631578948</v>
      </c>
      <c r="I61" s="359">
        <f>95+95+95+95+95+95</f>
        <v>570</v>
      </c>
      <c r="J61" s="359">
        <f>96+100+100+100+100+100</f>
        <v>596</v>
      </c>
      <c r="K61" s="356">
        <f t="shared" si="12"/>
        <v>104.56140350877193</v>
      </c>
      <c r="L61" s="302">
        <f t="shared" si="13"/>
        <v>104.32748538011697</v>
      </c>
    </row>
    <row r="62" spans="1:12" ht="15.6" customHeight="1" x14ac:dyDescent="0.2">
      <c r="A62" s="242"/>
      <c r="B62" s="255" t="s">
        <v>201</v>
      </c>
      <c r="C62" s="351">
        <f>90+75+90+90+100+95+100+100+95+90+90+90+90</f>
        <v>1195</v>
      </c>
      <c r="D62" s="358">
        <f>92+82+97+1+100+89+100+100+100+97+84+89+90</f>
        <v>1121</v>
      </c>
      <c r="E62" s="353">
        <f t="shared" si="10"/>
        <v>93.807531380753133</v>
      </c>
      <c r="F62" s="358">
        <f>90+75+90+90+100+95+100+100+95+90+90+90+90</f>
        <v>1195</v>
      </c>
      <c r="G62" s="358">
        <f>96+72+93+30+100+93+100+100+100+93+92+92+95</f>
        <v>1156</v>
      </c>
      <c r="H62" s="353">
        <f t="shared" si="11"/>
        <v>96.736401673640174</v>
      </c>
      <c r="I62" s="358">
        <f>90+75+90+90+100+95+100+100+95+90+90+90+90</f>
        <v>1195</v>
      </c>
      <c r="J62" s="358">
        <f>90+75+90+84+100+93+100+100+100+90+88+90+88</f>
        <v>1188</v>
      </c>
      <c r="K62" s="353">
        <f t="shared" si="12"/>
        <v>99.4142259414226</v>
      </c>
      <c r="L62" s="302">
        <f t="shared" si="13"/>
        <v>96.65271966527196</v>
      </c>
    </row>
    <row r="63" spans="1:12" ht="15.6" customHeight="1" x14ac:dyDescent="0.2">
      <c r="A63" s="242"/>
      <c r="B63" s="257" t="s">
        <v>186</v>
      </c>
      <c r="C63" s="360">
        <f>63+100+80+100+86+83+100+100+63</f>
        <v>775</v>
      </c>
      <c r="D63" s="359">
        <f>70+100+80+100+84+90+100+100+124</f>
        <v>848</v>
      </c>
      <c r="E63" s="356">
        <f t="shared" si="10"/>
        <v>109.41935483870968</v>
      </c>
      <c r="F63" s="359">
        <f>63+100+80+100+86+83+100+100+63</f>
        <v>775</v>
      </c>
      <c r="G63" s="359">
        <f>58+100+73+100+81+88+100+100+58</f>
        <v>758</v>
      </c>
      <c r="H63" s="356">
        <f t="shared" si="11"/>
        <v>97.806451612903231</v>
      </c>
      <c r="I63" s="359">
        <f>60+100+77+100+88+100+100+100+62</f>
        <v>787</v>
      </c>
      <c r="J63" s="359">
        <f>60+100+78+100+83+100+100+100+86</f>
        <v>807</v>
      </c>
      <c r="K63" s="356">
        <f t="shared" si="12"/>
        <v>102.5412960609911</v>
      </c>
      <c r="L63" s="302">
        <f t="shared" si="13"/>
        <v>103.25570083753468</v>
      </c>
    </row>
    <row r="64" spans="1:12" ht="15.6" customHeight="1" x14ac:dyDescent="0.2">
      <c r="A64" s="242"/>
      <c r="B64" s="255" t="s">
        <v>202</v>
      </c>
      <c r="C64" s="351">
        <f>90+90+90</f>
        <v>270</v>
      </c>
      <c r="D64" s="358">
        <f>93+93+95</f>
        <v>281</v>
      </c>
      <c r="E64" s="353">
        <f t="shared" si="10"/>
        <v>104.07407407407408</v>
      </c>
      <c r="F64" s="358">
        <f>90+90+90</f>
        <v>270</v>
      </c>
      <c r="G64" s="358">
        <f>92+94+96</f>
        <v>282</v>
      </c>
      <c r="H64" s="353">
        <f t="shared" si="11"/>
        <v>104.44444444444444</v>
      </c>
      <c r="I64" s="358">
        <f>90+90+90</f>
        <v>270</v>
      </c>
      <c r="J64" s="358">
        <f>93+91+94</f>
        <v>278</v>
      </c>
      <c r="K64" s="353">
        <f t="shared" si="12"/>
        <v>102.96296296296296</v>
      </c>
      <c r="L64" s="302">
        <f t="shared" si="13"/>
        <v>103.82716049382718</v>
      </c>
    </row>
    <row r="65" spans="1:15" ht="15.6" customHeight="1" x14ac:dyDescent="0.2">
      <c r="A65" s="242"/>
      <c r="B65" s="257" t="s">
        <v>203</v>
      </c>
      <c r="C65" s="360">
        <f>95+95+50</f>
        <v>240</v>
      </c>
      <c r="D65" s="359">
        <f>100+100+50</f>
        <v>250</v>
      </c>
      <c r="E65" s="356">
        <f t="shared" si="10"/>
        <v>104.16666666666667</v>
      </c>
      <c r="F65" s="359">
        <f>95+95+50</f>
        <v>240</v>
      </c>
      <c r="G65" s="359">
        <f>100+100+50</f>
        <v>250</v>
      </c>
      <c r="H65" s="356">
        <f t="shared" si="11"/>
        <v>104.16666666666667</v>
      </c>
      <c r="I65" s="359">
        <f>95+95+50</f>
        <v>240</v>
      </c>
      <c r="J65" s="359">
        <f>100+100+50</f>
        <v>250</v>
      </c>
      <c r="K65" s="356">
        <f t="shared" si="12"/>
        <v>104.16666666666667</v>
      </c>
      <c r="L65" s="302">
        <f t="shared" si="13"/>
        <v>104.16666666666667</v>
      </c>
    </row>
    <row r="66" spans="1:15" ht="15.6" customHeight="1" x14ac:dyDescent="0.2">
      <c r="A66" s="242"/>
      <c r="B66" s="255" t="s">
        <v>204</v>
      </c>
      <c r="C66" s="351">
        <f>90+50+50+80+50+90</f>
        <v>410</v>
      </c>
      <c r="D66" s="358">
        <f>87+50+50+84+50+90</f>
        <v>411</v>
      </c>
      <c r="E66" s="353">
        <f t="shared" si="10"/>
        <v>100.2439024390244</v>
      </c>
      <c r="F66" s="358">
        <f>90+75+67+80+90</f>
        <v>402</v>
      </c>
      <c r="G66" s="358">
        <f>87+75+67+83+93</f>
        <v>405</v>
      </c>
      <c r="H66" s="353">
        <f t="shared" si="11"/>
        <v>100.74626865671642</v>
      </c>
      <c r="I66" s="358">
        <f>90+75+67+80+90</f>
        <v>402</v>
      </c>
      <c r="J66" s="358">
        <f>91+75+67+85+92</f>
        <v>410</v>
      </c>
      <c r="K66" s="353">
        <f t="shared" si="12"/>
        <v>101.99004975124379</v>
      </c>
      <c r="L66" s="302">
        <f t="shared" si="13"/>
        <v>100.99340694899486</v>
      </c>
    </row>
    <row r="67" spans="1:15" ht="15.6" customHeight="1" x14ac:dyDescent="0.2">
      <c r="A67" s="242"/>
      <c r="B67" s="257" t="s">
        <v>205</v>
      </c>
      <c r="C67" s="360">
        <f>0+50+50+50</f>
        <v>150</v>
      </c>
      <c r="D67" s="360">
        <f>0+50+50+50</f>
        <v>150</v>
      </c>
      <c r="E67" s="356">
        <f t="shared" si="10"/>
        <v>100</v>
      </c>
      <c r="F67" s="359">
        <f>100+50+50+50</f>
        <v>250</v>
      </c>
      <c r="G67" s="359">
        <f>0+50+50+50</f>
        <v>150</v>
      </c>
      <c r="H67" s="356">
        <f t="shared" si="11"/>
        <v>60</v>
      </c>
      <c r="I67" s="359">
        <f>0+50+50+50</f>
        <v>150</v>
      </c>
      <c r="J67" s="359">
        <f>100+50+50+50</f>
        <v>250</v>
      </c>
      <c r="K67" s="356">
        <f t="shared" si="12"/>
        <v>166.66666666666666</v>
      </c>
      <c r="L67" s="302">
        <f t="shared" si="13"/>
        <v>108.88888888888887</v>
      </c>
    </row>
    <row r="68" spans="1:15" ht="15.6" customHeight="1" x14ac:dyDescent="0.2">
      <c r="B68" s="255" t="s">
        <v>206</v>
      </c>
      <c r="C68" s="351">
        <f>90+90</f>
        <v>180</v>
      </c>
      <c r="D68" s="358">
        <f>93+94</f>
        <v>187</v>
      </c>
      <c r="E68" s="353">
        <f t="shared" si="10"/>
        <v>103.88888888888889</v>
      </c>
      <c r="F68" s="358">
        <f>90+90</f>
        <v>180</v>
      </c>
      <c r="G68" s="358">
        <f>95+95</f>
        <v>190</v>
      </c>
      <c r="H68" s="353">
        <f t="shared" si="11"/>
        <v>105.55555555555556</v>
      </c>
      <c r="I68" s="358">
        <f>90+90</f>
        <v>180</v>
      </c>
      <c r="J68" s="358">
        <f>95+95</f>
        <v>190</v>
      </c>
      <c r="K68" s="353">
        <f t="shared" si="12"/>
        <v>105.55555555555556</v>
      </c>
      <c r="L68" s="302">
        <f t="shared" si="13"/>
        <v>105</v>
      </c>
    </row>
    <row r="69" spans="1:15" ht="15.6" customHeight="1" x14ac:dyDescent="0.2">
      <c r="A69" s="242"/>
      <c r="B69" s="264"/>
      <c r="C69" s="265"/>
      <c r="D69" s="266"/>
      <c r="E69" s="266"/>
      <c r="F69" s="266"/>
      <c r="G69" s="266"/>
      <c r="H69" s="266"/>
      <c r="I69" s="266"/>
      <c r="J69" s="266"/>
      <c r="K69" s="266"/>
      <c r="L69" s="300"/>
    </row>
    <row r="70" spans="1:15" ht="19.899999999999999" customHeight="1" x14ac:dyDescent="0.2">
      <c r="A70" s="242"/>
      <c r="B70" s="261" t="s">
        <v>239</v>
      </c>
      <c r="C70" s="262"/>
      <c r="D70" s="263"/>
      <c r="E70" s="263"/>
      <c r="F70" s="263"/>
      <c r="G70" s="263"/>
      <c r="H70" s="263"/>
      <c r="I70" s="263"/>
      <c r="J70" s="263"/>
      <c r="K70" s="263"/>
      <c r="L70" s="301"/>
    </row>
    <row r="71" spans="1:15" ht="15.6" customHeight="1" x14ac:dyDescent="0.2">
      <c r="A71" s="242"/>
      <c r="B71" s="264"/>
      <c r="C71" s="265"/>
      <c r="D71" s="267"/>
      <c r="E71" s="267"/>
      <c r="F71" s="267"/>
      <c r="G71" s="267"/>
      <c r="H71" s="267"/>
      <c r="I71" s="267"/>
      <c r="J71" s="267"/>
      <c r="K71" s="267"/>
      <c r="L71" s="300"/>
    </row>
    <row r="72" spans="1:15" x14ac:dyDescent="0.2">
      <c r="A72" s="242"/>
      <c r="B72" s="257" t="s">
        <v>207</v>
      </c>
      <c r="C72" s="360">
        <f>100+89+100</f>
        <v>289</v>
      </c>
      <c r="D72" s="359">
        <f>100+89+100</f>
        <v>289</v>
      </c>
      <c r="E72" s="356">
        <f>+D72*100/C72</f>
        <v>100</v>
      </c>
      <c r="F72" s="359">
        <f>100+89+100</f>
        <v>289</v>
      </c>
      <c r="G72" s="359">
        <f>100+89+100</f>
        <v>289</v>
      </c>
      <c r="H72" s="356">
        <f>+G72*100/F72</f>
        <v>100</v>
      </c>
      <c r="I72" s="359">
        <f>100+89+100</f>
        <v>289</v>
      </c>
      <c r="J72" s="359">
        <f>100+89+100</f>
        <v>289</v>
      </c>
      <c r="K72" s="356">
        <f>+J72*100/I72</f>
        <v>100</v>
      </c>
      <c r="L72" s="302">
        <f>+(E72+H72+K72)/3</f>
        <v>100</v>
      </c>
    </row>
    <row r="73" spans="1:15" x14ac:dyDescent="0.2">
      <c r="A73" s="242"/>
      <c r="B73" s="255" t="s">
        <v>208</v>
      </c>
      <c r="C73" s="351">
        <f>90+100+98</f>
        <v>288</v>
      </c>
      <c r="D73" s="358">
        <f>93.33+100+98.88</f>
        <v>292.20999999999998</v>
      </c>
      <c r="E73" s="353">
        <f>+D73*100/C73</f>
        <v>101.46180555555554</v>
      </c>
      <c r="F73" s="358">
        <f>90+100+98</f>
        <v>288</v>
      </c>
      <c r="G73" s="358">
        <f>84.21+100+98.66</f>
        <v>282.87</v>
      </c>
      <c r="H73" s="353">
        <f>+G73*100/F73</f>
        <v>98.21875</v>
      </c>
      <c r="I73" s="358">
        <f>90+100+98</f>
        <v>288</v>
      </c>
      <c r="J73" s="358">
        <f>88.89+100+99.06</f>
        <v>287.95</v>
      </c>
      <c r="K73" s="353">
        <f>+J73*100/I73</f>
        <v>99.982638888888886</v>
      </c>
      <c r="L73" s="302">
        <f>+(E73+H73+K73)/3</f>
        <v>99.887731481481481</v>
      </c>
    </row>
    <row r="74" spans="1:15" ht="15.6" customHeight="1" x14ac:dyDescent="0.2">
      <c r="A74" s="242"/>
      <c r="B74" s="242"/>
      <c r="C74" s="268"/>
      <c r="D74" s="268"/>
      <c r="E74" s="242"/>
      <c r="F74" s="242"/>
      <c r="G74" s="242"/>
      <c r="H74" s="242"/>
      <c r="I74" s="242"/>
      <c r="J74" s="242"/>
      <c r="K74" s="242"/>
      <c r="L74" s="303"/>
      <c r="M74" s="242"/>
      <c r="N74" s="242"/>
      <c r="O74" s="242"/>
    </row>
    <row r="75" spans="1:15" ht="19.899999999999999" customHeight="1" x14ac:dyDescent="0.2">
      <c r="A75" s="242"/>
      <c r="B75" s="269" t="s">
        <v>209</v>
      </c>
      <c r="C75" s="270"/>
      <c r="D75" s="271"/>
      <c r="E75" s="271"/>
      <c r="F75" s="271"/>
      <c r="G75" s="271"/>
      <c r="H75" s="271"/>
      <c r="I75" s="271"/>
      <c r="J75" s="271"/>
      <c r="K75" s="271"/>
      <c r="L75" s="301"/>
    </row>
    <row r="76" spans="1:15" ht="15.6" customHeight="1" x14ac:dyDescent="0.2">
      <c r="A76" s="242"/>
      <c r="B76" s="272"/>
      <c r="C76" s="273"/>
      <c r="D76" s="266"/>
      <c r="E76" s="266"/>
      <c r="F76" s="266"/>
      <c r="G76" s="266"/>
      <c r="H76" s="266"/>
      <c r="I76" s="266"/>
      <c r="J76" s="266"/>
      <c r="K76" s="266"/>
      <c r="L76" s="300"/>
    </row>
    <row r="77" spans="1:15" ht="15.6" customHeight="1" x14ac:dyDescent="0.2">
      <c r="A77" s="242"/>
      <c r="B77" s="257" t="s">
        <v>210</v>
      </c>
      <c r="C77" s="360">
        <f>90+100+100</f>
        <v>290</v>
      </c>
      <c r="D77" s="359">
        <f>90+100+100</f>
        <v>290</v>
      </c>
      <c r="E77" s="356">
        <f>+D77*100/C77</f>
        <v>100</v>
      </c>
      <c r="F77" s="359">
        <f>80+100+100</f>
        <v>280</v>
      </c>
      <c r="G77" s="359">
        <f>82+100+100</f>
        <v>282</v>
      </c>
      <c r="H77" s="356">
        <f>+G77*100/F77</f>
        <v>100.71428571428571</v>
      </c>
      <c r="I77" s="359">
        <f>90+100+100</f>
        <v>290</v>
      </c>
      <c r="J77" s="359">
        <f>92+100+100</f>
        <v>292</v>
      </c>
      <c r="K77" s="356">
        <f>+J77*100/I77</f>
        <v>100.68965517241379</v>
      </c>
      <c r="L77" s="302">
        <f>+(E77+H77+K77)/3</f>
        <v>100.46798029556651</v>
      </c>
    </row>
    <row r="78" spans="1:15" ht="15.6" customHeight="1" x14ac:dyDescent="0.2">
      <c r="A78" s="242"/>
      <c r="B78" s="255" t="s">
        <v>240</v>
      </c>
      <c r="C78" s="351">
        <f>100+88+90</f>
        <v>278</v>
      </c>
      <c r="D78" s="358">
        <f>100+89.82+95.87</f>
        <v>285.69</v>
      </c>
      <c r="E78" s="353">
        <f>+D78*100/C78</f>
        <v>102.76618705035972</v>
      </c>
      <c r="F78" s="358">
        <f>100+88+90</f>
        <v>278</v>
      </c>
      <c r="G78" s="358">
        <f>100+92.31+90.48</f>
        <v>282.79000000000002</v>
      </c>
      <c r="H78" s="353">
        <f>+G78*100/F78</f>
        <v>101.72302158273382</v>
      </c>
      <c r="I78" s="358">
        <f>100+88+90</f>
        <v>278</v>
      </c>
      <c r="J78" s="358">
        <f>100+89.45+94.51</f>
        <v>283.95999999999998</v>
      </c>
      <c r="K78" s="353">
        <f>+J78*100/I78</f>
        <v>102.14388489208632</v>
      </c>
      <c r="L78" s="302">
        <f>+(E78+H78+K78)/3</f>
        <v>102.21103117505994</v>
      </c>
    </row>
    <row r="79" spans="1:15" ht="15.6" customHeight="1" x14ac:dyDescent="0.2">
      <c r="A79" s="242"/>
      <c r="B79" s="257" t="s">
        <v>211</v>
      </c>
      <c r="C79" s="360">
        <f>70+70+70+80</f>
        <v>290</v>
      </c>
      <c r="D79" s="359">
        <f>100+0+77+60</f>
        <v>237</v>
      </c>
      <c r="E79" s="356">
        <f>+D79*100/C79</f>
        <v>81.724137931034477</v>
      </c>
      <c r="F79" s="359">
        <f>80+80+80+80+80</f>
        <v>400</v>
      </c>
      <c r="G79" s="359">
        <f>85+85+78+75+100</f>
        <v>423</v>
      </c>
      <c r="H79" s="356">
        <f>+G79*100/F79</f>
        <v>105.75</v>
      </c>
      <c r="I79" s="359">
        <f>80+80+80+80+80</f>
        <v>400</v>
      </c>
      <c r="J79" s="359">
        <f>83+80+84+100+100</f>
        <v>447</v>
      </c>
      <c r="K79" s="356">
        <f>+J79*100/I79</f>
        <v>111.75</v>
      </c>
      <c r="L79" s="302">
        <f>+(E79+H79+K79)/3</f>
        <v>99.741379310344826</v>
      </c>
    </row>
    <row r="80" spans="1:15" ht="15.6" customHeight="1" x14ac:dyDescent="0.2">
      <c r="A80" s="242"/>
      <c r="B80" s="255" t="s">
        <v>212</v>
      </c>
      <c r="C80" s="351">
        <f>100+9.6+11</f>
        <v>120.6</v>
      </c>
      <c r="D80" s="351">
        <f>100+9.6+11</f>
        <v>120.6</v>
      </c>
      <c r="E80" s="353">
        <f>+D80*100/C80</f>
        <v>100</v>
      </c>
      <c r="F80" s="358">
        <f>100+9.6+11</f>
        <v>120.6</v>
      </c>
      <c r="G80" s="358">
        <f>100+9.6+11</f>
        <v>120.6</v>
      </c>
      <c r="H80" s="353">
        <f>+G80*100/F80</f>
        <v>100</v>
      </c>
      <c r="I80" s="358">
        <f>100+9.6+11</f>
        <v>120.6</v>
      </c>
      <c r="J80" s="358">
        <f>100+9.6+11</f>
        <v>120.6</v>
      </c>
      <c r="K80" s="353">
        <f>+J80*100/I80</f>
        <v>100</v>
      </c>
      <c r="L80" s="302">
        <f>+(E80+H80+K80)/3</f>
        <v>100</v>
      </c>
    </row>
    <row r="81" spans="1:12" ht="15.6" customHeight="1" x14ac:dyDescent="0.2">
      <c r="A81" s="242"/>
      <c r="B81" s="274" t="s">
        <v>241</v>
      </c>
      <c r="C81" s="356">
        <f>100+100+100+50</f>
        <v>350</v>
      </c>
      <c r="D81" s="361">
        <f>100+100+100+50</f>
        <v>350</v>
      </c>
      <c r="E81" s="356">
        <f>+D81*100/C81</f>
        <v>100</v>
      </c>
      <c r="F81" s="361">
        <f>100+100+100+80</f>
        <v>380</v>
      </c>
      <c r="G81" s="361">
        <f>100+100+100+80</f>
        <v>380</v>
      </c>
      <c r="H81" s="356">
        <f>+G81*100/F81</f>
        <v>100</v>
      </c>
      <c r="I81" s="356">
        <f>100+100+100+80</f>
        <v>380</v>
      </c>
      <c r="J81" s="361">
        <f>100+100+100+80</f>
        <v>380</v>
      </c>
      <c r="K81" s="356">
        <f>+J81*100/I81</f>
        <v>100</v>
      </c>
      <c r="L81" s="302">
        <f>+(E81+H81+K81)/3</f>
        <v>100</v>
      </c>
    </row>
    <row r="82" spans="1:12" ht="15.6" customHeight="1" x14ac:dyDescent="0.2">
      <c r="A82" s="242"/>
      <c r="B82" s="264"/>
      <c r="C82" s="265"/>
      <c r="D82" s="266"/>
      <c r="E82" s="266"/>
      <c r="F82" s="266"/>
      <c r="G82" s="266"/>
      <c r="H82" s="266"/>
      <c r="I82" s="266"/>
      <c r="J82" s="266"/>
      <c r="K82" s="266"/>
      <c r="L82" s="300"/>
    </row>
    <row r="83" spans="1:12" ht="19.899999999999999" customHeight="1" x14ac:dyDescent="0.2">
      <c r="A83" s="242"/>
      <c r="B83" s="269" t="s">
        <v>213</v>
      </c>
      <c r="C83" s="270"/>
      <c r="D83" s="275"/>
      <c r="E83" s="275"/>
      <c r="F83" s="275"/>
      <c r="G83" s="275"/>
      <c r="H83" s="275"/>
      <c r="I83" s="275"/>
      <c r="J83" s="275"/>
      <c r="K83" s="275"/>
      <c r="L83" s="301"/>
    </row>
    <row r="84" spans="1:12" ht="15.6" customHeight="1" x14ac:dyDescent="0.2">
      <c r="A84" s="242"/>
      <c r="B84" s="259"/>
      <c r="C84" s="260"/>
      <c r="D84" s="266"/>
      <c r="E84" s="266"/>
      <c r="F84" s="266"/>
      <c r="G84" s="266"/>
      <c r="H84" s="266"/>
      <c r="I84" s="266"/>
      <c r="J84" s="266"/>
      <c r="K84" s="266"/>
      <c r="L84" s="300"/>
    </row>
    <row r="85" spans="1:12" ht="15.6" customHeight="1" x14ac:dyDescent="0.2">
      <c r="A85" s="242"/>
      <c r="B85" s="255" t="s">
        <v>214</v>
      </c>
      <c r="C85" s="351">
        <f>10+100</f>
        <v>110</v>
      </c>
      <c r="D85" s="358">
        <f>10.45+100</f>
        <v>110.45</v>
      </c>
      <c r="E85" s="353">
        <f>+D85*100/C85</f>
        <v>100.40909090909091</v>
      </c>
      <c r="F85" s="358">
        <f>10+100</f>
        <v>110</v>
      </c>
      <c r="G85" s="358">
        <f>9.64+100</f>
        <v>109.64</v>
      </c>
      <c r="H85" s="353">
        <f>+G85*100/F85</f>
        <v>99.672727272727272</v>
      </c>
      <c r="I85" s="358">
        <f>10+100</f>
        <v>110</v>
      </c>
      <c r="J85" s="358">
        <f>9.38+100</f>
        <v>109.38</v>
      </c>
      <c r="K85" s="353">
        <f>+J85*100/I85</f>
        <v>99.436363636363637</v>
      </c>
      <c r="L85" s="302">
        <f>+(E85+H85+K85)/3</f>
        <v>99.839393939393929</v>
      </c>
    </row>
    <row r="86" spans="1:12" ht="15.6" customHeight="1" x14ac:dyDescent="0.2">
      <c r="A86" s="242"/>
      <c r="B86" s="257" t="s">
        <v>215</v>
      </c>
      <c r="C86" s="360">
        <f>6+20+100</f>
        <v>126</v>
      </c>
      <c r="D86" s="359">
        <f>5.75+18.62+100</f>
        <v>124.37</v>
      </c>
      <c r="E86" s="356">
        <f>+D86*100/C86</f>
        <v>98.706349206349202</v>
      </c>
      <c r="F86" s="359">
        <f>6+20+100</f>
        <v>126</v>
      </c>
      <c r="G86" s="359">
        <f>1.17+6.85+100</f>
        <v>108.02</v>
      </c>
      <c r="H86" s="356">
        <f>+G86*100/F86</f>
        <v>85.730158730158735</v>
      </c>
      <c r="I86" s="359">
        <f>6+20+100</f>
        <v>126</v>
      </c>
      <c r="J86" s="359">
        <f>5.83+12.1+100</f>
        <v>117.93</v>
      </c>
      <c r="K86" s="356">
        <f>+J86*100/I86</f>
        <v>93.595238095238102</v>
      </c>
      <c r="L86" s="302">
        <f>+(E86+H86+K86)/3</f>
        <v>92.67724867724867</v>
      </c>
    </row>
    <row r="87" spans="1:12" ht="15.6" customHeight="1" x14ac:dyDescent="0.2">
      <c r="A87" s="276"/>
      <c r="B87" s="255" t="s">
        <v>216</v>
      </c>
      <c r="C87" s="351">
        <f>100+100+110+100+1.5</f>
        <v>411.5</v>
      </c>
      <c r="D87" s="358">
        <f>100+100+110.94+100+1.45</f>
        <v>412.39</v>
      </c>
      <c r="E87" s="353">
        <f>+D87*100/C87</f>
        <v>100.21628189550425</v>
      </c>
      <c r="F87" s="358">
        <f>100+100+110+100+1.5</f>
        <v>411.5</v>
      </c>
      <c r="G87" s="358">
        <f>100+100+104.01+100+1.51</f>
        <v>405.52</v>
      </c>
      <c r="H87" s="353">
        <f>+G87*100/F87</f>
        <v>98.546780072904014</v>
      </c>
      <c r="I87" s="358">
        <f>100+100+110+100+1.5</f>
        <v>411.5</v>
      </c>
      <c r="J87" s="358">
        <f>100+100+107.09+100+1.51</f>
        <v>408.6</v>
      </c>
      <c r="K87" s="353">
        <f>+J87*100/I87</f>
        <v>99.295261239368159</v>
      </c>
      <c r="L87" s="302">
        <f>+(E87+H87+K87)/3</f>
        <v>99.352774402592146</v>
      </c>
    </row>
    <row r="88" spans="1:12" s="277" customFormat="1" ht="15.6" customHeight="1" x14ac:dyDescent="0.2">
      <c r="A88" s="276"/>
      <c r="B88" s="257" t="s">
        <v>217</v>
      </c>
      <c r="C88" s="360">
        <f>93+92+90</f>
        <v>275</v>
      </c>
      <c r="D88" s="359">
        <f>166+60+100</f>
        <v>326</v>
      </c>
      <c r="E88" s="356">
        <f>+D88*100/C88</f>
        <v>118.54545454545455</v>
      </c>
      <c r="F88" s="359">
        <f>92+93+95</f>
        <v>280</v>
      </c>
      <c r="G88" s="359">
        <f>190+88+86</f>
        <v>364</v>
      </c>
      <c r="H88" s="356">
        <f>+G88*100/F88</f>
        <v>130</v>
      </c>
      <c r="I88" s="359">
        <f>92+93+92</f>
        <v>277</v>
      </c>
      <c r="J88" s="359">
        <f>100+100+240</f>
        <v>440</v>
      </c>
      <c r="K88" s="356">
        <f>+J88*100/I88</f>
        <v>158.8447653429603</v>
      </c>
      <c r="L88" s="302">
        <f>+(E88+H88+K88)/3</f>
        <v>135.79673996280496</v>
      </c>
    </row>
    <row r="89" spans="1:12" ht="15.6" customHeight="1" x14ac:dyDescent="0.2">
      <c r="A89" s="276"/>
      <c r="B89" s="255" t="s">
        <v>218</v>
      </c>
      <c r="C89" s="351">
        <f>0+90+90+90</f>
        <v>270</v>
      </c>
      <c r="D89" s="358">
        <f>0+100+100+33.33</f>
        <v>233.32999999999998</v>
      </c>
      <c r="E89" s="353">
        <f>+D89*100/C89</f>
        <v>86.418518518518525</v>
      </c>
      <c r="F89" s="358">
        <f>0+90+90+90</f>
        <v>270</v>
      </c>
      <c r="G89" s="358">
        <f>0+90+90+90</f>
        <v>270</v>
      </c>
      <c r="H89" s="353">
        <f>+G89*100/F89</f>
        <v>100</v>
      </c>
      <c r="I89" s="358">
        <f>90+90+90</f>
        <v>270</v>
      </c>
      <c r="J89" s="358">
        <f>100+90+90</f>
        <v>280</v>
      </c>
      <c r="K89" s="353">
        <f>+J89*100/I89</f>
        <v>103.70370370370371</v>
      </c>
      <c r="L89" s="302">
        <f>+(E89+H89+K89)/3</f>
        <v>96.707407407407402</v>
      </c>
    </row>
    <row r="90" spans="1:12" ht="15.6" customHeight="1" x14ac:dyDescent="0.2">
      <c r="A90" s="242"/>
      <c r="B90" s="278"/>
      <c r="C90" s="279"/>
      <c r="D90" s="280"/>
      <c r="E90" s="280"/>
      <c r="F90" s="280"/>
      <c r="G90" s="280"/>
      <c r="H90" s="280"/>
      <c r="I90" s="280"/>
      <c r="J90" s="280"/>
      <c r="K90" s="280"/>
      <c r="L90" s="300"/>
    </row>
    <row r="91" spans="1:12" ht="19.899999999999999" customHeight="1" x14ac:dyDescent="0.2">
      <c r="A91" s="242"/>
      <c r="B91" s="269" t="s">
        <v>219</v>
      </c>
      <c r="C91" s="270"/>
      <c r="D91" s="275"/>
      <c r="E91" s="275"/>
      <c r="F91" s="275"/>
      <c r="G91" s="275"/>
      <c r="H91" s="275"/>
      <c r="I91" s="275"/>
      <c r="J91" s="275"/>
      <c r="K91" s="275"/>
      <c r="L91" s="301"/>
    </row>
    <row r="92" spans="1:12" ht="15.6" customHeight="1" x14ac:dyDescent="0.2">
      <c r="A92" s="242"/>
      <c r="B92" s="259"/>
      <c r="C92" s="260"/>
      <c r="D92" s="266"/>
      <c r="E92" s="266"/>
      <c r="F92" s="266"/>
      <c r="G92" s="266"/>
      <c r="H92" s="266"/>
      <c r="I92" s="266"/>
      <c r="J92" s="266"/>
      <c r="K92" s="266"/>
      <c r="L92" s="300"/>
    </row>
    <row r="93" spans="1:12" ht="15.6" customHeight="1" x14ac:dyDescent="0.2">
      <c r="A93" s="242"/>
      <c r="B93" s="257" t="s">
        <v>259</v>
      </c>
      <c r="C93" s="360">
        <f>96+90+96</f>
        <v>282</v>
      </c>
      <c r="D93" s="359">
        <f>100+90.38+100</f>
        <v>290.38</v>
      </c>
      <c r="E93" s="356">
        <f>+D93*100/C93</f>
        <v>102.97163120567376</v>
      </c>
      <c r="F93" s="359">
        <f>96+90+96</f>
        <v>282</v>
      </c>
      <c r="G93" s="359">
        <f>99.73+90.38+100</f>
        <v>290.11</v>
      </c>
      <c r="H93" s="356">
        <f>+G93*100/F93</f>
        <v>102.87588652482269</v>
      </c>
      <c r="I93" s="359">
        <f>96+90+96</f>
        <v>282</v>
      </c>
      <c r="J93" s="359">
        <f>100+100+100</f>
        <v>300</v>
      </c>
      <c r="K93" s="356">
        <f>+J93*100/I93</f>
        <v>106.38297872340425</v>
      </c>
      <c r="L93" s="302">
        <f>+(E93+H93+K93)/3</f>
        <v>104.07683215130025</v>
      </c>
    </row>
    <row r="94" spans="1:12" ht="15.6" customHeight="1" x14ac:dyDescent="0.2">
      <c r="A94" s="242"/>
      <c r="B94" s="255" t="s">
        <v>220</v>
      </c>
      <c r="C94" s="351">
        <f>55+90+90+100+100+80+100+100+80</f>
        <v>795</v>
      </c>
      <c r="D94" s="358">
        <f>55+88+100+100+100+85+100+100+87</f>
        <v>815</v>
      </c>
      <c r="E94" s="353">
        <f>+D94*100/C94</f>
        <v>102.51572327044025</v>
      </c>
      <c r="F94" s="358">
        <f>55+90+90+100+100+80+100+100+80</f>
        <v>795</v>
      </c>
      <c r="G94" s="358">
        <f>55+88+100+100+100+80+100+100+97</f>
        <v>820</v>
      </c>
      <c r="H94" s="353">
        <f>+G94*100/F94</f>
        <v>103.14465408805032</v>
      </c>
      <c r="I94" s="358">
        <f>55+90+90+100+100+80+100+100+80</f>
        <v>795</v>
      </c>
      <c r="J94" s="358">
        <f>55+88+86+100+100+80+100+100+64</f>
        <v>773</v>
      </c>
      <c r="K94" s="353">
        <f>+J94*100/I94</f>
        <v>97.232704402515722</v>
      </c>
      <c r="L94" s="302">
        <f>+(E94+H94+K94)/3</f>
        <v>100.96436058700209</v>
      </c>
    </row>
    <row r="95" spans="1:12" s="277" customFormat="1" ht="15.6" customHeight="1" x14ac:dyDescent="0.2">
      <c r="A95" s="242"/>
      <c r="B95" s="257" t="s">
        <v>221</v>
      </c>
      <c r="C95" s="360">
        <f>100+82</f>
        <v>182</v>
      </c>
      <c r="D95" s="359">
        <f>98+81.3</f>
        <v>179.3</v>
      </c>
      <c r="E95" s="356">
        <f>+D95*100/C95</f>
        <v>98.516483516483518</v>
      </c>
      <c r="F95" s="359">
        <f>100+84</f>
        <v>184</v>
      </c>
      <c r="G95" s="359">
        <f>96.67+83.33</f>
        <v>180</v>
      </c>
      <c r="H95" s="356">
        <f>+G95*100/F95</f>
        <v>97.826086956521735</v>
      </c>
      <c r="I95" s="359">
        <f>100+86</f>
        <v>186</v>
      </c>
      <c r="J95" s="359">
        <f>99.67+85.27</f>
        <v>184.94</v>
      </c>
      <c r="K95" s="356">
        <f>+J95*100/I95</f>
        <v>99.430107526881727</v>
      </c>
      <c r="L95" s="302">
        <f>+(E95+H95+K95)/3</f>
        <v>98.590892666628989</v>
      </c>
    </row>
    <row r="96" spans="1:12" ht="15.6" customHeight="1" x14ac:dyDescent="0.2">
      <c r="A96" s="242"/>
      <c r="B96" s="242"/>
      <c r="C96" s="268"/>
      <c r="D96" s="268"/>
      <c r="E96" s="242"/>
      <c r="F96" s="242"/>
      <c r="G96" s="242"/>
      <c r="H96" s="242"/>
      <c r="I96" s="242"/>
      <c r="J96" s="242"/>
      <c r="K96" s="242"/>
      <c r="L96" s="300"/>
    </row>
    <row r="97" spans="1:13" ht="19.899999999999999" customHeight="1" x14ac:dyDescent="0.2">
      <c r="A97" s="242"/>
      <c r="B97" s="269" t="s">
        <v>222</v>
      </c>
      <c r="C97" s="270"/>
      <c r="D97" s="275"/>
      <c r="E97" s="275"/>
      <c r="F97" s="275"/>
      <c r="G97" s="275"/>
      <c r="H97" s="275"/>
      <c r="I97" s="275"/>
      <c r="J97" s="275"/>
      <c r="K97" s="275"/>
      <c r="L97" s="301"/>
    </row>
    <row r="98" spans="1:13" ht="15.6" customHeight="1" x14ac:dyDescent="0.2">
      <c r="A98" s="242"/>
      <c r="B98" s="272"/>
      <c r="C98" s="273"/>
      <c r="D98" s="266"/>
      <c r="E98" s="266"/>
      <c r="F98" s="266"/>
      <c r="G98" s="266"/>
      <c r="H98" s="266"/>
      <c r="I98" s="266"/>
      <c r="J98" s="266"/>
      <c r="K98" s="266"/>
      <c r="L98" s="300"/>
    </row>
    <row r="99" spans="1:13" ht="15.6" customHeight="1" x14ac:dyDescent="0.2">
      <c r="A99" s="242"/>
      <c r="B99" s="255" t="s">
        <v>223</v>
      </c>
      <c r="C99" s="351">
        <f>90+70+80+0+100</f>
        <v>340</v>
      </c>
      <c r="D99" s="358">
        <f>92.85+100+83.33+0+100</f>
        <v>376.18</v>
      </c>
      <c r="E99" s="353">
        <f>+D99*100/C99</f>
        <v>110.64117647058823</v>
      </c>
      <c r="F99" s="358">
        <f>90+70+80+0+100</f>
        <v>340</v>
      </c>
      <c r="G99" s="358">
        <f>85+90+80+0+100</f>
        <v>355</v>
      </c>
      <c r="H99" s="353">
        <f>+G99*100/F99</f>
        <v>104.41176470588235</v>
      </c>
      <c r="I99" s="358">
        <f>90+90+0+100</f>
        <v>280</v>
      </c>
      <c r="J99" s="358">
        <f>92+92+0+100</f>
        <v>284</v>
      </c>
      <c r="K99" s="353">
        <f>+J99*100/I99</f>
        <v>101.42857142857143</v>
      </c>
      <c r="L99" s="302">
        <f>+(E99+H99+K99)/3</f>
        <v>105.49383753501401</v>
      </c>
    </row>
    <row r="100" spans="1:13" s="277" customFormat="1" ht="15.6" customHeight="1" x14ac:dyDescent="0.2">
      <c r="A100" s="242"/>
      <c r="B100" s="257" t="s">
        <v>224</v>
      </c>
      <c r="C100" s="360">
        <f>100+100+100</f>
        <v>300</v>
      </c>
      <c r="D100" s="360">
        <f>100+100+100</f>
        <v>300</v>
      </c>
      <c r="E100" s="356">
        <f>+D100*100/C100</f>
        <v>100</v>
      </c>
      <c r="F100" s="359">
        <f>100+0+100+0+100</f>
        <v>300</v>
      </c>
      <c r="G100" s="359">
        <f>100+0+100+0+100</f>
        <v>300</v>
      </c>
      <c r="H100" s="356">
        <f>+G100*100/F100</f>
        <v>100</v>
      </c>
      <c r="I100" s="359">
        <f>100+0+100+0+100</f>
        <v>300</v>
      </c>
      <c r="J100" s="359">
        <f>100+0+100+0+100</f>
        <v>300</v>
      </c>
      <c r="K100" s="356">
        <f>+J100*100/I100</f>
        <v>100</v>
      </c>
      <c r="L100" s="302">
        <f>+(E100+H100+K100)/3</f>
        <v>100</v>
      </c>
    </row>
    <row r="101" spans="1:13" ht="15.6" customHeight="1" x14ac:dyDescent="0.2">
      <c r="A101" s="242"/>
      <c r="B101" s="255" t="s">
        <v>225</v>
      </c>
      <c r="C101" s="351">
        <v>100</v>
      </c>
      <c r="D101" s="358">
        <v>50</v>
      </c>
      <c r="E101" s="353">
        <f>+D101*100/C101</f>
        <v>50</v>
      </c>
      <c r="F101" s="358">
        <v>70</v>
      </c>
      <c r="G101" s="358">
        <v>94.26</v>
      </c>
      <c r="H101" s="353">
        <f>+G101*100/F101</f>
        <v>134.65714285714284</v>
      </c>
      <c r="I101" s="358">
        <v>100</v>
      </c>
      <c r="J101" s="358">
        <v>100</v>
      </c>
      <c r="K101" s="353">
        <f>+J101*100/I101</f>
        <v>100</v>
      </c>
      <c r="L101" s="302">
        <f>+(E101+H101+K101)/3</f>
        <v>94.885714285714286</v>
      </c>
    </row>
    <row r="102" spans="1:13" ht="15.6" customHeight="1" x14ac:dyDescent="0.2">
      <c r="A102" s="242"/>
      <c r="B102" s="259"/>
      <c r="C102" s="260"/>
      <c r="D102" s="266"/>
      <c r="E102" s="266"/>
      <c r="F102" s="266"/>
      <c r="G102" s="266"/>
      <c r="H102" s="266"/>
      <c r="I102" s="266"/>
      <c r="J102" s="266"/>
      <c r="K102" s="266"/>
      <c r="L102" s="300"/>
    </row>
    <row r="103" spans="1:13" ht="30" x14ac:dyDescent="0.2">
      <c r="A103" s="242"/>
      <c r="B103" s="269" t="s">
        <v>226</v>
      </c>
      <c r="C103" s="270"/>
      <c r="D103" s="275"/>
      <c r="E103" s="275"/>
      <c r="F103" s="275"/>
      <c r="G103" s="275"/>
      <c r="H103" s="275"/>
      <c r="I103" s="275"/>
      <c r="J103" s="275"/>
      <c r="K103" s="275"/>
      <c r="L103" s="301"/>
    </row>
    <row r="104" spans="1:13" ht="15.6" customHeight="1" x14ac:dyDescent="0.2">
      <c r="A104" s="242"/>
      <c r="B104" s="264"/>
      <c r="C104" s="265"/>
      <c r="D104" s="266"/>
      <c r="E104" s="266"/>
      <c r="F104" s="266"/>
      <c r="G104" s="266"/>
      <c r="H104" s="266"/>
      <c r="I104" s="266"/>
      <c r="J104" s="266"/>
      <c r="K104" s="266"/>
      <c r="L104" s="300"/>
    </row>
    <row r="105" spans="1:13" s="277" customFormat="1" ht="15.6" customHeight="1" x14ac:dyDescent="0.2">
      <c r="A105" s="242"/>
      <c r="B105" s="257" t="s">
        <v>207</v>
      </c>
      <c r="C105" s="360">
        <f>100+33+25+50+50</f>
        <v>258</v>
      </c>
      <c r="D105" s="359">
        <f>100+33+25+50+50</f>
        <v>258</v>
      </c>
      <c r="E105" s="356">
        <f>+D105*100/C105</f>
        <v>100</v>
      </c>
      <c r="F105" s="359">
        <f>34+25+50+33</f>
        <v>142</v>
      </c>
      <c r="G105" s="359">
        <f>33+25+50+33</f>
        <v>141</v>
      </c>
      <c r="H105" s="356">
        <f>+G105*100/F105</f>
        <v>99.295774647887328</v>
      </c>
      <c r="I105" s="359">
        <f>33+33+33+50</f>
        <v>149</v>
      </c>
      <c r="J105" s="359">
        <f>0+33+33+50</f>
        <v>116</v>
      </c>
      <c r="K105" s="356">
        <f>+J105*100/I105</f>
        <v>77.852348993288587</v>
      </c>
      <c r="L105" s="302">
        <f>+(E105+H105+K105)/3</f>
        <v>92.382707880391976</v>
      </c>
    </row>
    <row r="106" spans="1:13" ht="15.6" customHeight="1" x14ac:dyDescent="0.2">
      <c r="A106" s="242"/>
      <c r="B106" s="255" t="s">
        <v>227</v>
      </c>
      <c r="C106" s="351">
        <f>80+100+100+100+100+100+100+100+50+100</f>
        <v>930</v>
      </c>
      <c r="D106" s="351">
        <f>80+100+100+100+100+100+100+100+50+100</f>
        <v>930</v>
      </c>
      <c r="E106" s="353">
        <f>+D106*100/C106</f>
        <v>100</v>
      </c>
      <c r="F106" s="358">
        <f>80+100+100+100+100+100+100+100+50+100</f>
        <v>930</v>
      </c>
      <c r="G106" s="358">
        <f>83+100+100+100+100+100+100+100+50+100</f>
        <v>933</v>
      </c>
      <c r="H106" s="353">
        <f>+G106*100/F106</f>
        <v>100.3225806451613</v>
      </c>
      <c r="I106" s="358">
        <f>80+100+100+100+100+100</f>
        <v>580</v>
      </c>
      <c r="J106" s="358">
        <f>83+105.48+100+100+100+100</f>
        <v>588.48</v>
      </c>
      <c r="K106" s="353">
        <f>+J106*100/I106</f>
        <v>101.46206896551725</v>
      </c>
      <c r="L106" s="302">
        <f>+(E106+H106+K106)/3</f>
        <v>100.5948832035595</v>
      </c>
    </row>
    <row r="107" spans="1:13" ht="15.6" customHeight="1" x14ac:dyDescent="0.2">
      <c r="A107" s="242"/>
      <c r="B107" s="257" t="s">
        <v>228</v>
      </c>
      <c r="C107" s="360">
        <f>70+40+40+100+40</f>
        <v>290</v>
      </c>
      <c r="D107" s="359">
        <f>70.27+41.25+40.37+100+42.72</f>
        <v>294.61</v>
      </c>
      <c r="E107" s="356">
        <f>+D107*100/C107</f>
        <v>101.5896551724138</v>
      </c>
      <c r="F107" s="359">
        <f>70+40+40+100+40</f>
        <v>290</v>
      </c>
      <c r="G107" s="359">
        <f>67.56+41.53+40.72+100+40.93</f>
        <v>290.74</v>
      </c>
      <c r="H107" s="356">
        <f>+G107*100/F107</f>
        <v>100.2551724137931</v>
      </c>
      <c r="I107" s="359">
        <f>70+40+40+100+40</f>
        <v>290</v>
      </c>
      <c r="J107" s="359">
        <f>72.22+41.52+40.29+100+47.28</f>
        <v>301.31</v>
      </c>
      <c r="K107" s="356">
        <f>+J107*100/I107</f>
        <v>103.9</v>
      </c>
      <c r="L107" s="302">
        <f>+(E107+H107+K107)/3</f>
        <v>101.91494252873565</v>
      </c>
    </row>
    <row r="108" spans="1:13" ht="15.6" customHeight="1" x14ac:dyDescent="0.2">
      <c r="A108" s="242"/>
      <c r="B108" s="264"/>
      <c r="C108" s="265"/>
      <c r="D108" s="266"/>
      <c r="E108" s="266"/>
      <c r="F108" s="266"/>
      <c r="G108" s="266"/>
      <c r="H108" s="266"/>
      <c r="I108" s="266"/>
      <c r="J108" s="266"/>
      <c r="K108" s="266"/>
      <c r="L108" s="300"/>
    </row>
    <row r="109" spans="1:13" ht="19.899999999999999" customHeight="1" x14ac:dyDescent="0.2">
      <c r="A109" s="242"/>
      <c r="B109" s="269" t="s">
        <v>229</v>
      </c>
      <c r="C109" s="270"/>
      <c r="D109" s="275"/>
      <c r="E109" s="275"/>
      <c r="F109" s="275"/>
      <c r="G109" s="275"/>
      <c r="H109" s="275"/>
      <c r="I109" s="275"/>
      <c r="J109" s="275"/>
      <c r="K109" s="275"/>
      <c r="L109" s="301"/>
    </row>
    <row r="110" spans="1:13" ht="15.6" customHeight="1" x14ac:dyDescent="0.2">
      <c r="A110" s="242"/>
      <c r="B110" s="281"/>
      <c r="C110" s="282"/>
      <c r="D110" s="266"/>
      <c r="E110" s="266"/>
      <c r="F110" s="266"/>
      <c r="G110" s="266"/>
      <c r="H110" s="266"/>
      <c r="I110" s="266"/>
      <c r="J110" s="266"/>
      <c r="K110" s="266"/>
      <c r="L110" s="300"/>
    </row>
    <row r="111" spans="1:13" ht="15.6" customHeight="1" x14ac:dyDescent="0.2">
      <c r="A111" s="242"/>
      <c r="B111" s="255" t="s">
        <v>230</v>
      </c>
      <c r="C111" s="351">
        <f>9+1+8+3+16</f>
        <v>37</v>
      </c>
      <c r="D111" s="358">
        <f>2.96+0.82+8.09+0.01+16.3</f>
        <v>28.18</v>
      </c>
      <c r="E111" s="353">
        <f>+D111*100/C111</f>
        <v>76.162162162162161</v>
      </c>
      <c r="F111" s="358">
        <f>8+1+7+3+18</f>
        <v>37</v>
      </c>
      <c r="G111" s="358">
        <f>6.23+0.43+6.13+0+15.68</f>
        <v>28.47</v>
      </c>
      <c r="H111" s="353">
        <f>+G111*100/F111</f>
        <v>76.945945945945951</v>
      </c>
      <c r="I111" s="358">
        <f>8+1+7+3+18</f>
        <v>37</v>
      </c>
      <c r="J111" s="358">
        <f>7.53+0.37+3.51+1.8+14.55</f>
        <v>27.76</v>
      </c>
      <c r="K111" s="353">
        <f>+J111*100/I111</f>
        <v>75.027027027027032</v>
      </c>
      <c r="L111" s="302">
        <f>+(E111+H111+K111)/3</f>
        <v>76.045045045045057</v>
      </c>
    </row>
    <row r="112" spans="1:13" ht="15.6" customHeight="1" x14ac:dyDescent="0.2">
      <c r="A112" s="242"/>
      <c r="B112" s="242"/>
      <c r="C112" s="366"/>
      <c r="D112" s="366"/>
      <c r="E112" s="366"/>
      <c r="F112" s="366"/>
      <c r="G112" s="366"/>
      <c r="H112" s="366"/>
      <c r="I112" s="366"/>
      <c r="J112" s="366"/>
      <c r="K112" s="366"/>
      <c r="L112" s="303"/>
      <c r="M112" s="242"/>
    </row>
    <row r="113" spans="1:12" s="277" customFormat="1" ht="15.6" customHeight="1" x14ac:dyDescent="0.2">
      <c r="A113" s="242"/>
      <c r="B113" s="257" t="s">
        <v>231</v>
      </c>
      <c r="C113" s="359" t="s">
        <v>181</v>
      </c>
      <c r="D113" s="359" t="s">
        <v>181</v>
      </c>
      <c r="E113" s="356" t="s">
        <v>181</v>
      </c>
      <c r="F113" s="359" t="s">
        <v>181</v>
      </c>
      <c r="G113" s="359" t="s">
        <v>181</v>
      </c>
      <c r="H113" s="356" t="s">
        <v>181</v>
      </c>
      <c r="I113" s="359" t="s">
        <v>181</v>
      </c>
      <c r="J113" s="359" t="s">
        <v>181</v>
      </c>
      <c r="K113" s="356" t="s">
        <v>181</v>
      </c>
      <c r="L113" s="304" t="s">
        <v>181</v>
      </c>
    </row>
    <row r="114" spans="1:12" ht="15.6" customHeight="1" x14ac:dyDescent="0.2">
      <c r="A114" s="242"/>
      <c r="B114" s="281"/>
      <c r="C114" s="367"/>
      <c r="D114" s="368"/>
      <c r="E114" s="368"/>
      <c r="F114" s="368"/>
      <c r="G114" s="368"/>
      <c r="H114" s="368"/>
      <c r="I114" s="368"/>
      <c r="J114" s="368"/>
      <c r="K114" s="368"/>
      <c r="L114" s="300"/>
    </row>
    <row r="115" spans="1:12" ht="15.6" customHeight="1" x14ac:dyDescent="0.2">
      <c r="A115" s="242"/>
      <c r="B115" s="255" t="s">
        <v>232</v>
      </c>
      <c r="C115" s="351">
        <f>80+75+85+50+30+80+100</f>
        <v>500</v>
      </c>
      <c r="D115" s="358">
        <f>82.85+80+85.71+50+29.2+83.87+100</f>
        <v>511.63</v>
      </c>
      <c r="E115" s="353">
        <f>+D115*100/C115</f>
        <v>102.32599999999999</v>
      </c>
      <c r="F115" s="351">
        <f>80+75+85+50+30+80+100</f>
        <v>500</v>
      </c>
      <c r="G115" s="358">
        <f>82.85+80+85.71+50+29.2+83.87+100</f>
        <v>511.63</v>
      </c>
      <c r="H115" s="353">
        <f>+G115*100/F115</f>
        <v>102.32599999999999</v>
      </c>
      <c r="I115" s="351">
        <f>80+75+85+100+100+100</f>
        <v>540</v>
      </c>
      <c r="J115" s="358">
        <f>85.75+71.42+85.71+100+100+100</f>
        <v>542.88</v>
      </c>
      <c r="K115" s="353">
        <f>+J115*100/I115</f>
        <v>100.53333333333333</v>
      </c>
      <c r="L115" s="302">
        <f>+(E115+H115+K115)/3</f>
        <v>101.72844444444445</v>
      </c>
    </row>
    <row r="116" spans="1:12" ht="15.6" customHeight="1" x14ac:dyDescent="0.2">
      <c r="A116" s="242"/>
      <c r="B116" s="281"/>
      <c r="C116" s="367"/>
      <c r="D116" s="368"/>
      <c r="E116" s="368"/>
      <c r="F116" s="368"/>
      <c r="G116" s="368"/>
      <c r="H116" s="368"/>
      <c r="I116" s="368"/>
      <c r="J116" s="368"/>
      <c r="K116" s="368"/>
      <c r="L116" s="300"/>
    </row>
    <row r="117" spans="1:12" ht="15.6" customHeight="1" x14ac:dyDescent="0.2">
      <c r="A117" s="242"/>
      <c r="B117" s="257" t="s">
        <v>233</v>
      </c>
      <c r="C117" s="360">
        <f>100+100+100+100+100+100+100</f>
        <v>700</v>
      </c>
      <c r="D117" s="360">
        <f>100+100+100+0+100+0+100</f>
        <v>500</v>
      </c>
      <c r="E117" s="356">
        <f>+D117*100/C117</f>
        <v>71.428571428571431</v>
      </c>
      <c r="F117" s="360">
        <f>100+100+100+100+100+100+100</f>
        <v>700</v>
      </c>
      <c r="G117" s="360">
        <f>100+100+100+100+100+100+100</f>
        <v>700</v>
      </c>
      <c r="H117" s="356">
        <f>+G117*100/F117</f>
        <v>100</v>
      </c>
      <c r="I117" s="360">
        <f>100+100+100+100+100+100+100+100+15</f>
        <v>815</v>
      </c>
      <c r="J117" s="360">
        <f>0+0+0+0+0+0+100+100+22.5</f>
        <v>222.5</v>
      </c>
      <c r="K117" s="356">
        <f>+J117*100/I117</f>
        <v>27.300613496932517</v>
      </c>
      <c r="L117" s="302">
        <f>+(E117+H117+K117)/3</f>
        <v>66.243061641834657</v>
      </c>
    </row>
    <row r="118" spans="1:12" ht="15.6" customHeight="1" x14ac:dyDescent="0.2">
      <c r="A118" s="242"/>
      <c r="B118" s="272"/>
      <c r="C118" s="273"/>
      <c r="D118" s="273"/>
      <c r="E118" s="244"/>
      <c r="F118" s="244"/>
      <c r="G118" s="244"/>
      <c r="H118" s="244"/>
      <c r="I118" s="244"/>
      <c r="J118" s="244"/>
      <c r="K118" s="244"/>
      <c r="L118" s="300"/>
    </row>
    <row r="119" spans="1:12" ht="19.899999999999999" customHeight="1" x14ac:dyDescent="0.2">
      <c r="A119" s="283"/>
      <c r="B119" s="269" t="s">
        <v>242</v>
      </c>
      <c r="C119" s="270"/>
      <c r="D119" s="275"/>
      <c r="E119" s="275"/>
      <c r="F119" s="275"/>
      <c r="G119" s="275"/>
      <c r="H119" s="275"/>
      <c r="I119" s="275"/>
      <c r="J119" s="275"/>
      <c r="K119" s="275"/>
      <c r="L119" s="301"/>
    </row>
    <row r="120" spans="1:12" ht="15.6" customHeight="1" x14ac:dyDescent="0.2">
      <c r="A120" s="242"/>
      <c r="B120" s="272"/>
      <c r="C120" s="273"/>
      <c r="D120" s="273"/>
      <c r="E120" s="244"/>
      <c r="F120" s="244"/>
      <c r="G120" s="244"/>
      <c r="H120" s="244"/>
      <c r="I120" s="244"/>
      <c r="J120" s="244"/>
      <c r="K120" s="244"/>
      <c r="L120" s="300"/>
    </row>
    <row r="121" spans="1:12" s="277" customFormat="1" ht="15.6" customHeight="1" x14ac:dyDescent="0.2">
      <c r="A121" s="242"/>
      <c r="B121" s="255" t="s">
        <v>234</v>
      </c>
      <c r="C121" s="351">
        <f>90+100+100+100</f>
        <v>390</v>
      </c>
      <c r="D121" s="351">
        <f>100+100+100+100</f>
        <v>400</v>
      </c>
      <c r="E121" s="353">
        <f>+D121*100/C121</f>
        <v>102.56410256410257</v>
      </c>
      <c r="F121" s="351">
        <f>90+100+100+100</f>
        <v>390</v>
      </c>
      <c r="G121" s="358">
        <f>100+100+100+100</f>
        <v>400</v>
      </c>
      <c r="H121" s="353">
        <f>+G121*100/F121</f>
        <v>102.56410256410257</v>
      </c>
      <c r="I121" s="358">
        <f>90+100+100+100</f>
        <v>390</v>
      </c>
      <c r="J121" s="358">
        <f>100+100+100+100</f>
        <v>400</v>
      </c>
      <c r="K121" s="353">
        <f>+J121*100/I121</f>
        <v>102.56410256410257</v>
      </c>
      <c r="L121" s="302">
        <f>+(E121+H121+K121)/3</f>
        <v>102.56410256410258</v>
      </c>
    </row>
    <row r="127" spans="1:12" s="131" customFormat="1" ht="27" x14ac:dyDescent="0.2">
      <c r="D127" s="369" t="s">
        <v>243</v>
      </c>
      <c r="E127" s="369" t="s">
        <v>244</v>
      </c>
      <c r="F127" s="369" t="s">
        <v>245</v>
      </c>
      <c r="G127" s="369" t="s">
        <v>246</v>
      </c>
      <c r="H127" s="370" t="s">
        <v>247</v>
      </c>
      <c r="L127" s="371"/>
    </row>
    <row r="128" spans="1:12" s="372" customFormat="1" ht="27" x14ac:dyDescent="0.2">
      <c r="D128" s="305" t="s">
        <v>248</v>
      </c>
      <c r="E128" s="305" t="s">
        <v>249</v>
      </c>
      <c r="F128" s="305" t="s">
        <v>250</v>
      </c>
      <c r="G128" s="305" t="s">
        <v>251</v>
      </c>
      <c r="H128" s="306">
        <v>43038</v>
      </c>
      <c r="J128" s="131"/>
      <c r="K128" s="131"/>
      <c r="L128" s="371"/>
    </row>
  </sheetData>
  <sheetProtection selectLockedCells="1" selectUnlockedCells="1"/>
  <mergeCells count="9">
    <mergeCell ref="B7:L7"/>
    <mergeCell ref="B8:L8"/>
    <mergeCell ref="B9:L9"/>
    <mergeCell ref="B10:L10"/>
    <mergeCell ref="B12:B13"/>
    <mergeCell ref="C12:E12"/>
    <mergeCell ref="F12:H12"/>
    <mergeCell ref="I12:K12"/>
    <mergeCell ref="L12:L13"/>
  </mergeCells>
  <pageMargins left="0.39374999999999999" right="0.39374999999999999" top="0.31527777777777777" bottom="0.70833333333333337" header="0.51180555555555551" footer="0.51180555555555551"/>
  <pageSetup paperSize="9" firstPageNumber="0" orientation="landscape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7</vt:i4>
      </vt:variant>
    </vt:vector>
  </HeadingPairs>
  <TitlesOfParts>
    <vt:vector size="12" baseType="lpstr">
      <vt:lpstr>10601</vt:lpstr>
      <vt:lpstr>10602 </vt:lpstr>
      <vt:lpstr>10610</vt:lpstr>
      <vt:lpstr>50603</vt:lpstr>
      <vt:lpstr>50604</vt:lpstr>
      <vt:lpstr>'10601'!Área_de_impresión</vt:lpstr>
      <vt:lpstr>'10602 '!Área_de_impresión</vt:lpstr>
      <vt:lpstr>'10610'!Área_de_impresión</vt:lpstr>
      <vt:lpstr>'50603'!Área_de_impresión</vt:lpstr>
      <vt:lpstr>'50604'!Área_de_impresión</vt:lpstr>
      <vt:lpstr>'50604'!Excel_BuiltIn_Print_Area</vt:lpstr>
      <vt:lpstr>'50604'!Títulos_a_imprimir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2017-11-07T17:07:18Z</cp:lastPrinted>
  <dcterms:created xsi:type="dcterms:W3CDTF">2005-11-28T14:59:09Z</dcterms:created>
  <dcterms:modified xsi:type="dcterms:W3CDTF">2017-11-10T17:00:42Z</dcterms:modified>
</cp:coreProperties>
</file>