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7980" windowHeight="6555" tabRatio="763" activeTab="5"/>
  </bookViews>
  <sheets>
    <sheet name="10601" sheetId="6" r:id="rId1"/>
    <sheet name="10602 " sheetId="23" r:id="rId2"/>
    <sheet name="10610" sheetId="24" r:id="rId3"/>
    <sheet name="50603" sheetId="25" r:id="rId4"/>
    <sheet name="50604" sheetId="26" r:id="rId5"/>
    <sheet name="ZONA SUR E INTELIGENCIA FISCAL" sheetId="27" r:id="rId6"/>
  </sheets>
  <definedNames>
    <definedName name="_xlnm.Print_Area" localSheetId="0">'10601'!$A$1:$N$46</definedName>
    <definedName name="_xlnm.Print_Area" localSheetId="1">'10602 '!$A$1:$H$16</definedName>
    <definedName name="_xlnm.Print_Area" localSheetId="2">'10610'!$A$1:$O$42</definedName>
    <definedName name="_xlnm.Print_Area" localSheetId="3">'50603'!$A$1:$N$42</definedName>
    <definedName name="_xlnm.Print_Area" localSheetId="4">'50604'!$B$1:$L$129</definedName>
    <definedName name="_xlnm.Print_Area" localSheetId="5">'ZONA SUR E INTELIGENCIA FISCAL'!$B$1:$L$33</definedName>
    <definedName name="_xlnm.Print_Titles" localSheetId="4">'50604'!$1:$14</definedName>
  </definedNames>
  <calcPr calcId="145621"/>
</workbook>
</file>

<file path=xl/calcChain.xml><?xml version="1.0" encoding="utf-8"?>
<calcChain xmlns="http://schemas.openxmlformats.org/spreadsheetml/2006/main">
  <c r="K32" i="27" l="1"/>
  <c r="H32" i="27"/>
  <c r="E32" i="27"/>
  <c r="K31" i="27"/>
  <c r="H31" i="27"/>
  <c r="E31" i="27"/>
  <c r="K30" i="27"/>
  <c r="H30" i="27"/>
  <c r="E30" i="27"/>
  <c r="K29" i="27"/>
  <c r="H29" i="27"/>
  <c r="E29" i="27"/>
  <c r="K28" i="27"/>
  <c r="H28" i="27"/>
  <c r="E28" i="27"/>
  <c r="K27" i="27"/>
  <c r="H27" i="27"/>
  <c r="E27" i="27"/>
  <c r="K26" i="27"/>
  <c r="H26" i="27"/>
  <c r="E26" i="27"/>
  <c r="K25" i="27"/>
  <c r="H25" i="27"/>
  <c r="E25" i="27"/>
  <c r="K24" i="27"/>
  <c r="H24" i="27"/>
  <c r="E24" i="27"/>
  <c r="J23" i="27"/>
  <c r="K23" i="27" s="1"/>
  <c r="I23" i="27"/>
  <c r="G23" i="27"/>
  <c r="F23" i="27"/>
  <c r="H23" i="27" s="1"/>
  <c r="D23" i="27"/>
  <c r="E23" i="27" s="1"/>
  <c r="C23" i="27"/>
  <c r="K21" i="27"/>
  <c r="H21" i="27"/>
  <c r="E21" i="27"/>
  <c r="K20" i="27"/>
  <c r="H20" i="27"/>
  <c r="E20" i="27"/>
  <c r="E19" i="27"/>
  <c r="E18" i="27"/>
  <c r="K17" i="27"/>
  <c r="H17" i="27"/>
  <c r="E17" i="27"/>
  <c r="J16" i="27"/>
  <c r="I16" i="27"/>
  <c r="K16" i="27" s="1"/>
  <c r="G16" i="27"/>
  <c r="H16" i="27" s="1"/>
  <c r="F16" i="27"/>
  <c r="D16" i="27"/>
  <c r="C16" i="27"/>
  <c r="E16" i="27" s="1"/>
  <c r="J129" i="26"/>
  <c r="K129" i="26" s="1"/>
  <c r="I129" i="26"/>
  <c r="G129" i="26"/>
  <c r="F129" i="26"/>
  <c r="H129" i="26" s="1"/>
  <c r="D129" i="26"/>
  <c r="E129" i="26" s="1"/>
  <c r="L129" i="26" s="1"/>
  <c r="C129" i="26"/>
  <c r="J127" i="26"/>
  <c r="K127" i="26" s="1"/>
  <c r="I127" i="26"/>
  <c r="G127" i="26"/>
  <c r="F127" i="26"/>
  <c r="H127" i="26" s="1"/>
  <c r="D127" i="26"/>
  <c r="E127" i="26" s="1"/>
  <c r="L127" i="26" s="1"/>
  <c r="C127" i="26"/>
  <c r="J123" i="26"/>
  <c r="K123" i="26" s="1"/>
  <c r="I123" i="26"/>
  <c r="G123" i="26"/>
  <c r="F123" i="26"/>
  <c r="H123" i="26" s="1"/>
  <c r="D123" i="26"/>
  <c r="E123" i="26" s="1"/>
  <c r="L123" i="26" s="1"/>
  <c r="C123" i="26"/>
  <c r="J121" i="26"/>
  <c r="K121" i="26" s="1"/>
  <c r="I121" i="26"/>
  <c r="G121" i="26"/>
  <c r="F121" i="26"/>
  <c r="H121" i="26" s="1"/>
  <c r="D121" i="26"/>
  <c r="E121" i="26" s="1"/>
  <c r="L121" i="26" s="1"/>
  <c r="C121" i="26"/>
  <c r="J119" i="26"/>
  <c r="K119" i="26" s="1"/>
  <c r="I119" i="26"/>
  <c r="G119" i="26"/>
  <c r="F119" i="26"/>
  <c r="H119" i="26" s="1"/>
  <c r="D119" i="26"/>
  <c r="E119" i="26" s="1"/>
  <c r="L119" i="26" s="1"/>
  <c r="C119" i="26"/>
  <c r="J115" i="26"/>
  <c r="K115" i="26" s="1"/>
  <c r="I115" i="26"/>
  <c r="G115" i="26"/>
  <c r="F115" i="26"/>
  <c r="H115" i="26" s="1"/>
  <c r="D115" i="26"/>
  <c r="E115" i="26" s="1"/>
  <c r="L115" i="26" s="1"/>
  <c r="C115" i="26"/>
  <c r="J111" i="26"/>
  <c r="K111" i="26" s="1"/>
  <c r="I111" i="26"/>
  <c r="G111" i="26"/>
  <c r="F111" i="26"/>
  <c r="H111" i="26" s="1"/>
  <c r="D111" i="26"/>
  <c r="E111" i="26" s="1"/>
  <c r="L111" i="26" s="1"/>
  <c r="C111" i="26"/>
  <c r="J110" i="26"/>
  <c r="K110" i="26" s="1"/>
  <c r="I110" i="26"/>
  <c r="G110" i="26"/>
  <c r="F110" i="26"/>
  <c r="H110" i="26" s="1"/>
  <c r="D110" i="26"/>
  <c r="E110" i="26" s="1"/>
  <c r="L110" i="26" s="1"/>
  <c r="C110" i="26"/>
  <c r="J106" i="26"/>
  <c r="K106" i="26" s="1"/>
  <c r="I106" i="26"/>
  <c r="G106" i="26"/>
  <c r="F106" i="26"/>
  <c r="H106" i="26" s="1"/>
  <c r="D106" i="26"/>
  <c r="E106" i="26" s="1"/>
  <c r="L106" i="26" s="1"/>
  <c r="C106" i="26"/>
  <c r="J105" i="26"/>
  <c r="K105" i="26" s="1"/>
  <c r="I105" i="26"/>
  <c r="G105" i="26"/>
  <c r="F105" i="26"/>
  <c r="H105" i="26" s="1"/>
  <c r="D105" i="26"/>
  <c r="E105" i="26" s="1"/>
  <c r="L105" i="26" s="1"/>
  <c r="C105" i="26"/>
  <c r="J104" i="26"/>
  <c r="K104" i="26" s="1"/>
  <c r="I104" i="26"/>
  <c r="G104" i="26"/>
  <c r="F104" i="26"/>
  <c r="H104" i="26" s="1"/>
  <c r="D104" i="26"/>
  <c r="E104" i="26" s="1"/>
  <c r="L104" i="26" s="1"/>
  <c r="C104" i="26"/>
  <c r="J103" i="26"/>
  <c r="K103" i="26" s="1"/>
  <c r="I103" i="26"/>
  <c r="G103" i="26"/>
  <c r="F103" i="26"/>
  <c r="H103" i="26" s="1"/>
  <c r="D103" i="26"/>
  <c r="E103" i="26" s="1"/>
  <c r="L103" i="26" s="1"/>
  <c r="C103" i="26"/>
  <c r="K99" i="26"/>
  <c r="H99" i="26"/>
  <c r="L99" i="26" s="1"/>
  <c r="E99" i="26"/>
  <c r="J98" i="26"/>
  <c r="K98" i="26" s="1"/>
  <c r="I98" i="26"/>
  <c r="G98" i="26"/>
  <c r="F98" i="26"/>
  <c r="H98" i="26" s="1"/>
  <c r="D98" i="26"/>
  <c r="E98" i="26" s="1"/>
  <c r="C98" i="26"/>
  <c r="J97" i="26"/>
  <c r="K97" i="26" s="1"/>
  <c r="I97" i="26"/>
  <c r="G97" i="26"/>
  <c r="F97" i="26"/>
  <c r="H97" i="26" s="1"/>
  <c r="D97" i="26"/>
  <c r="E97" i="26" s="1"/>
  <c r="C97" i="26"/>
  <c r="J93" i="26"/>
  <c r="K93" i="26" s="1"/>
  <c r="I93" i="26"/>
  <c r="G93" i="26"/>
  <c r="F93" i="26"/>
  <c r="H93" i="26" s="1"/>
  <c r="D93" i="26"/>
  <c r="E93" i="26" s="1"/>
  <c r="C93" i="26"/>
  <c r="J92" i="26"/>
  <c r="K92" i="26" s="1"/>
  <c r="I92" i="26"/>
  <c r="G92" i="26"/>
  <c r="F92" i="26"/>
  <c r="H92" i="26" s="1"/>
  <c r="D92" i="26"/>
  <c r="E92" i="26" s="1"/>
  <c r="C92" i="26"/>
  <c r="J88" i="26"/>
  <c r="K88" i="26" s="1"/>
  <c r="I88" i="26"/>
  <c r="G88" i="26"/>
  <c r="F88" i="26"/>
  <c r="H88" i="26" s="1"/>
  <c r="D88" i="26"/>
  <c r="E88" i="26" s="1"/>
  <c r="C88" i="26"/>
  <c r="J87" i="26"/>
  <c r="K87" i="26" s="1"/>
  <c r="I87" i="26"/>
  <c r="G87" i="26"/>
  <c r="F87" i="26"/>
  <c r="H87" i="26" s="1"/>
  <c r="D87" i="26"/>
  <c r="E87" i="26" s="1"/>
  <c r="C87" i="26"/>
  <c r="J86" i="26"/>
  <c r="K86" i="26" s="1"/>
  <c r="I86" i="26"/>
  <c r="G86" i="26"/>
  <c r="F86" i="26"/>
  <c r="H86" i="26" s="1"/>
  <c r="D86" i="26"/>
  <c r="E86" i="26" s="1"/>
  <c r="C86" i="26"/>
  <c r="J82" i="26"/>
  <c r="K82" i="26" s="1"/>
  <c r="I82" i="26"/>
  <c r="G82" i="26"/>
  <c r="F82" i="26"/>
  <c r="H82" i="26" s="1"/>
  <c r="D82" i="26"/>
  <c r="E82" i="26" s="1"/>
  <c r="C82" i="26"/>
  <c r="J81" i="26"/>
  <c r="K81" i="26" s="1"/>
  <c r="I81" i="26"/>
  <c r="G81" i="26"/>
  <c r="F81" i="26"/>
  <c r="H81" i="26" s="1"/>
  <c r="D81" i="26"/>
  <c r="E81" i="26" s="1"/>
  <c r="C81" i="26"/>
  <c r="J80" i="26"/>
  <c r="K80" i="26" s="1"/>
  <c r="I80" i="26"/>
  <c r="G80" i="26"/>
  <c r="F80" i="26"/>
  <c r="H80" i="26" s="1"/>
  <c r="D80" i="26"/>
  <c r="E80" i="26" s="1"/>
  <c r="C80" i="26"/>
  <c r="J79" i="26"/>
  <c r="K79" i="26" s="1"/>
  <c r="I79" i="26"/>
  <c r="G79" i="26"/>
  <c r="F79" i="26"/>
  <c r="H79" i="26" s="1"/>
  <c r="D79" i="26"/>
  <c r="E79" i="26" s="1"/>
  <c r="C79" i="26"/>
  <c r="J78" i="26"/>
  <c r="K78" i="26" s="1"/>
  <c r="I78" i="26"/>
  <c r="G78" i="26"/>
  <c r="F78" i="26"/>
  <c r="H78" i="26" s="1"/>
  <c r="D78" i="26"/>
  <c r="E78" i="26" s="1"/>
  <c r="C78" i="26"/>
  <c r="J74" i="26"/>
  <c r="K74" i="26" s="1"/>
  <c r="I74" i="26"/>
  <c r="G74" i="26"/>
  <c r="F74" i="26"/>
  <c r="H74" i="26" s="1"/>
  <c r="D74" i="26"/>
  <c r="E74" i="26" s="1"/>
  <c r="C74" i="26"/>
  <c r="J73" i="26"/>
  <c r="K73" i="26" s="1"/>
  <c r="I73" i="26"/>
  <c r="G73" i="26"/>
  <c r="F73" i="26"/>
  <c r="H73" i="26" s="1"/>
  <c r="D73" i="26"/>
  <c r="E73" i="26" s="1"/>
  <c r="C73" i="26"/>
  <c r="J69" i="26"/>
  <c r="K69" i="26" s="1"/>
  <c r="I69" i="26"/>
  <c r="G69" i="26"/>
  <c r="F69" i="26"/>
  <c r="H69" i="26" s="1"/>
  <c r="D69" i="26"/>
  <c r="E69" i="26" s="1"/>
  <c r="C69" i="26"/>
  <c r="J68" i="26"/>
  <c r="K68" i="26" s="1"/>
  <c r="I68" i="26"/>
  <c r="G68" i="26"/>
  <c r="F68" i="26"/>
  <c r="H68" i="26" s="1"/>
  <c r="D68" i="26"/>
  <c r="E68" i="26" s="1"/>
  <c r="C68" i="26"/>
  <c r="J67" i="26"/>
  <c r="K67" i="26" s="1"/>
  <c r="I67" i="26"/>
  <c r="G67" i="26"/>
  <c r="F67" i="26"/>
  <c r="H67" i="26" s="1"/>
  <c r="D67" i="26"/>
  <c r="E67" i="26" s="1"/>
  <c r="C67" i="26"/>
  <c r="J66" i="26"/>
  <c r="K66" i="26" s="1"/>
  <c r="I66" i="26"/>
  <c r="G66" i="26"/>
  <c r="F66" i="26"/>
  <c r="H66" i="26" s="1"/>
  <c r="D66" i="26"/>
  <c r="E66" i="26" s="1"/>
  <c r="C66" i="26"/>
  <c r="J65" i="26"/>
  <c r="K65" i="26" s="1"/>
  <c r="I65" i="26"/>
  <c r="G65" i="26"/>
  <c r="F65" i="26"/>
  <c r="H65" i="26" s="1"/>
  <c r="D65" i="26"/>
  <c r="E65" i="26" s="1"/>
  <c r="C65" i="26"/>
  <c r="J64" i="26"/>
  <c r="K64" i="26" s="1"/>
  <c r="I64" i="26"/>
  <c r="G64" i="26"/>
  <c r="F64" i="26"/>
  <c r="H64" i="26" s="1"/>
  <c r="D64" i="26"/>
  <c r="E64" i="26" s="1"/>
  <c r="C64" i="26"/>
  <c r="J63" i="26"/>
  <c r="K63" i="26" s="1"/>
  <c r="I63" i="26"/>
  <c r="G63" i="26"/>
  <c r="F63" i="26"/>
  <c r="H63" i="26" s="1"/>
  <c r="D63" i="26"/>
  <c r="E63" i="26" s="1"/>
  <c r="C63" i="26"/>
  <c r="J62" i="26"/>
  <c r="K62" i="26" s="1"/>
  <c r="I62" i="26"/>
  <c r="G62" i="26"/>
  <c r="F62" i="26"/>
  <c r="H62" i="26" s="1"/>
  <c r="D62" i="26"/>
  <c r="E62" i="26" s="1"/>
  <c r="C62" i="26"/>
  <c r="J61" i="26"/>
  <c r="K61" i="26" s="1"/>
  <c r="I61" i="26"/>
  <c r="G61" i="26"/>
  <c r="F61" i="26"/>
  <c r="H61" i="26" s="1"/>
  <c r="D61" i="26"/>
  <c r="E61" i="26" s="1"/>
  <c r="C61" i="26"/>
  <c r="J60" i="26"/>
  <c r="K60" i="26" s="1"/>
  <c r="I60" i="26"/>
  <c r="G60" i="26"/>
  <c r="F60" i="26"/>
  <c r="H60" i="26" s="1"/>
  <c r="D60" i="26"/>
  <c r="E60" i="26" s="1"/>
  <c r="C60" i="26"/>
  <c r="J59" i="26"/>
  <c r="K59" i="26" s="1"/>
  <c r="I59" i="26"/>
  <c r="G59" i="26"/>
  <c r="F59" i="26"/>
  <c r="H59" i="26" s="1"/>
  <c r="D59" i="26"/>
  <c r="E59" i="26" s="1"/>
  <c r="C59" i="26"/>
  <c r="J55" i="26"/>
  <c r="K55" i="26" s="1"/>
  <c r="I55" i="26"/>
  <c r="G55" i="26"/>
  <c r="F55" i="26"/>
  <c r="H55" i="26" s="1"/>
  <c r="D55" i="26"/>
  <c r="E55" i="26" s="1"/>
  <c r="C55" i="26"/>
  <c r="J54" i="26"/>
  <c r="K54" i="26" s="1"/>
  <c r="I54" i="26"/>
  <c r="G54" i="26"/>
  <c r="F54" i="26"/>
  <c r="H54" i="26" s="1"/>
  <c r="D54" i="26"/>
  <c r="E54" i="26" s="1"/>
  <c r="C54" i="26"/>
  <c r="J53" i="26"/>
  <c r="K53" i="26" s="1"/>
  <c r="I53" i="26"/>
  <c r="G53" i="26"/>
  <c r="F53" i="26"/>
  <c r="H53" i="26" s="1"/>
  <c r="D53" i="26"/>
  <c r="E53" i="26" s="1"/>
  <c r="C53" i="26"/>
  <c r="J52" i="26"/>
  <c r="K52" i="26" s="1"/>
  <c r="I52" i="26"/>
  <c r="G52" i="26"/>
  <c r="F52" i="26"/>
  <c r="H52" i="26" s="1"/>
  <c r="D52" i="26"/>
  <c r="E52" i="26" s="1"/>
  <c r="C52" i="26"/>
  <c r="J51" i="26"/>
  <c r="K51" i="26" s="1"/>
  <c r="I51" i="26"/>
  <c r="G51" i="26"/>
  <c r="F51" i="26"/>
  <c r="H51" i="26" s="1"/>
  <c r="D51" i="26"/>
  <c r="E51" i="26" s="1"/>
  <c r="C51" i="26"/>
  <c r="J50" i="26"/>
  <c r="K50" i="26" s="1"/>
  <c r="I50" i="26"/>
  <c r="G50" i="26"/>
  <c r="F50" i="26"/>
  <c r="H50" i="26" s="1"/>
  <c r="D50" i="26"/>
  <c r="E50" i="26" s="1"/>
  <c r="C50" i="26"/>
  <c r="J49" i="26"/>
  <c r="K49" i="26" s="1"/>
  <c r="I49" i="26"/>
  <c r="G49" i="26"/>
  <c r="F49" i="26"/>
  <c r="H49" i="26" s="1"/>
  <c r="D49" i="26"/>
  <c r="E49" i="26" s="1"/>
  <c r="C49" i="26"/>
  <c r="J48" i="26"/>
  <c r="K48" i="26" s="1"/>
  <c r="I48" i="26"/>
  <c r="G48" i="26"/>
  <c r="F48" i="26"/>
  <c r="H48" i="26" s="1"/>
  <c r="D48" i="26"/>
  <c r="E48" i="26" s="1"/>
  <c r="C48" i="26"/>
  <c r="J47" i="26"/>
  <c r="K47" i="26" s="1"/>
  <c r="I47" i="26"/>
  <c r="G47" i="26"/>
  <c r="F47" i="26"/>
  <c r="H47" i="26" s="1"/>
  <c r="D47" i="26"/>
  <c r="E47" i="26" s="1"/>
  <c r="C47" i="26"/>
  <c r="J46" i="26"/>
  <c r="K46" i="26" s="1"/>
  <c r="I46" i="26"/>
  <c r="G46" i="26"/>
  <c r="F46" i="26"/>
  <c r="H46" i="26" s="1"/>
  <c r="D46" i="26"/>
  <c r="E46" i="26" s="1"/>
  <c r="C46" i="26"/>
  <c r="J45" i="26"/>
  <c r="K45" i="26" s="1"/>
  <c r="I45" i="26"/>
  <c r="G45" i="26"/>
  <c r="F45" i="26"/>
  <c r="H45" i="26" s="1"/>
  <c r="D45" i="26"/>
  <c r="E45" i="26" s="1"/>
  <c r="C45" i="26"/>
  <c r="J44" i="26"/>
  <c r="K44" i="26" s="1"/>
  <c r="I44" i="26"/>
  <c r="G44" i="26"/>
  <c r="F44" i="26"/>
  <c r="H44" i="26" s="1"/>
  <c r="D44" i="26"/>
  <c r="E44" i="26" s="1"/>
  <c r="C44" i="26"/>
  <c r="J43" i="26"/>
  <c r="K43" i="26" s="1"/>
  <c r="I43" i="26"/>
  <c r="G43" i="26"/>
  <c r="F43" i="26"/>
  <c r="H43" i="26" s="1"/>
  <c r="D43" i="26"/>
  <c r="E43" i="26" s="1"/>
  <c r="C43" i="26"/>
  <c r="J42" i="26"/>
  <c r="K42" i="26" s="1"/>
  <c r="I42" i="26"/>
  <c r="G42" i="26"/>
  <c r="F42" i="26"/>
  <c r="H42" i="26" s="1"/>
  <c r="D42" i="26"/>
  <c r="E42" i="26" s="1"/>
  <c r="C42" i="26"/>
  <c r="J41" i="26"/>
  <c r="K41" i="26" s="1"/>
  <c r="I41" i="26"/>
  <c r="G41" i="26"/>
  <c r="F41" i="26"/>
  <c r="H41" i="26" s="1"/>
  <c r="D41" i="26"/>
  <c r="E41" i="26" s="1"/>
  <c r="C41" i="26"/>
  <c r="J40" i="26"/>
  <c r="K40" i="26" s="1"/>
  <c r="I40" i="26"/>
  <c r="G40" i="26"/>
  <c r="F40" i="26"/>
  <c r="H40" i="26" s="1"/>
  <c r="D40" i="26"/>
  <c r="E40" i="26" s="1"/>
  <c r="C40" i="26"/>
  <c r="J39" i="26"/>
  <c r="K39" i="26" s="1"/>
  <c r="I39" i="26"/>
  <c r="G39" i="26"/>
  <c r="F39" i="26"/>
  <c r="H39" i="26" s="1"/>
  <c r="D39" i="26"/>
  <c r="E39" i="26" s="1"/>
  <c r="C39" i="26"/>
  <c r="J38" i="26"/>
  <c r="K38" i="26" s="1"/>
  <c r="I38" i="26"/>
  <c r="G38" i="26"/>
  <c r="F38" i="26"/>
  <c r="H38" i="26" s="1"/>
  <c r="D38" i="26"/>
  <c r="E38" i="26" s="1"/>
  <c r="C38" i="26"/>
  <c r="J37" i="26"/>
  <c r="K37" i="26" s="1"/>
  <c r="I37" i="26"/>
  <c r="G37" i="26"/>
  <c r="F37" i="26"/>
  <c r="H37" i="26" s="1"/>
  <c r="D37" i="26"/>
  <c r="E37" i="26" s="1"/>
  <c r="C37" i="26"/>
  <c r="J36" i="26"/>
  <c r="K36" i="26" s="1"/>
  <c r="I36" i="26"/>
  <c r="G36" i="26"/>
  <c r="F36" i="26"/>
  <c r="H36" i="26" s="1"/>
  <c r="D36" i="26"/>
  <c r="E36" i="26" s="1"/>
  <c r="L36" i="26" s="1"/>
  <c r="C36" i="26"/>
  <c r="J35" i="26"/>
  <c r="K35" i="26" s="1"/>
  <c r="I35" i="26"/>
  <c r="G35" i="26"/>
  <c r="F35" i="26"/>
  <c r="H35" i="26" s="1"/>
  <c r="D35" i="26"/>
  <c r="E35" i="26" s="1"/>
  <c r="L35" i="26" s="1"/>
  <c r="C35" i="26"/>
  <c r="J34" i="26"/>
  <c r="K34" i="26" s="1"/>
  <c r="I34" i="26"/>
  <c r="G34" i="26"/>
  <c r="F34" i="26"/>
  <c r="H34" i="26" s="1"/>
  <c r="D34" i="26"/>
  <c r="E34" i="26" s="1"/>
  <c r="L34" i="26" s="1"/>
  <c r="C34" i="26"/>
  <c r="J33" i="26"/>
  <c r="K33" i="26" s="1"/>
  <c r="I33" i="26"/>
  <c r="G33" i="26"/>
  <c r="F33" i="26"/>
  <c r="H33" i="26" s="1"/>
  <c r="D33" i="26"/>
  <c r="E33" i="26" s="1"/>
  <c r="L33" i="26" s="1"/>
  <c r="C33" i="26"/>
  <c r="J32" i="26"/>
  <c r="K32" i="26" s="1"/>
  <c r="I32" i="26"/>
  <c r="G32" i="26"/>
  <c r="F32" i="26"/>
  <c r="H32" i="26" s="1"/>
  <c r="D32" i="26"/>
  <c r="E32" i="26" s="1"/>
  <c r="L32" i="26" s="1"/>
  <c r="C32" i="26"/>
  <c r="J31" i="26"/>
  <c r="K31" i="26" s="1"/>
  <c r="I31" i="26"/>
  <c r="G31" i="26"/>
  <c r="F31" i="26"/>
  <c r="H31" i="26" s="1"/>
  <c r="D31" i="26"/>
  <c r="E31" i="26" s="1"/>
  <c r="L31" i="26" s="1"/>
  <c r="C31" i="26"/>
  <c r="J30" i="26"/>
  <c r="K30" i="26" s="1"/>
  <c r="I30" i="26"/>
  <c r="G30" i="26"/>
  <c r="F30" i="26"/>
  <c r="H30" i="26" s="1"/>
  <c r="D30" i="26"/>
  <c r="E30" i="26" s="1"/>
  <c r="L30" i="26" s="1"/>
  <c r="C30" i="26"/>
  <c r="J29" i="26"/>
  <c r="K29" i="26" s="1"/>
  <c r="I29" i="26"/>
  <c r="G29" i="26"/>
  <c r="F29" i="26"/>
  <c r="H29" i="26" s="1"/>
  <c r="D29" i="26"/>
  <c r="E29" i="26" s="1"/>
  <c r="L29" i="26" s="1"/>
  <c r="C29" i="26"/>
  <c r="J28" i="26"/>
  <c r="K28" i="26" s="1"/>
  <c r="I28" i="26"/>
  <c r="G28" i="26"/>
  <c r="F28" i="26"/>
  <c r="H28" i="26" s="1"/>
  <c r="D28" i="26"/>
  <c r="E28" i="26" s="1"/>
  <c r="L28" i="26" s="1"/>
  <c r="C28" i="26"/>
  <c r="J27" i="26"/>
  <c r="K27" i="26" s="1"/>
  <c r="I27" i="26"/>
  <c r="G27" i="26"/>
  <c r="F27" i="26"/>
  <c r="H27" i="26" s="1"/>
  <c r="D27" i="26"/>
  <c r="E27" i="26" s="1"/>
  <c r="L27" i="26" s="1"/>
  <c r="C27" i="26"/>
  <c r="J26" i="26"/>
  <c r="K26" i="26" s="1"/>
  <c r="I26" i="26"/>
  <c r="G26" i="26"/>
  <c r="F26" i="26"/>
  <c r="H26" i="26" s="1"/>
  <c r="D26" i="26"/>
  <c r="E26" i="26" s="1"/>
  <c r="L26" i="26" s="1"/>
  <c r="C26" i="26"/>
  <c r="J25" i="26"/>
  <c r="K25" i="26" s="1"/>
  <c r="I25" i="26"/>
  <c r="G25" i="26"/>
  <c r="F25" i="26"/>
  <c r="H25" i="26" s="1"/>
  <c r="D25" i="26"/>
  <c r="E25" i="26" s="1"/>
  <c r="L25" i="26" s="1"/>
  <c r="C25" i="26"/>
  <c r="J24" i="26"/>
  <c r="K24" i="26" s="1"/>
  <c r="I24" i="26"/>
  <c r="G24" i="26"/>
  <c r="F24" i="26"/>
  <c r="H24" i="26" s="1"/>
  <c r="D24" i="26"/>
  <c r="E24" i="26" s="1"/>
  <c r="L24" i="26" s="1"/>
  <c r="C24" i="26"/>
  <c r="J23" i="26"/>
  <c r="K23" i="26" s="1"/>
  <c r="I23" i="26"/>
  <c r="G23" i="26"/>
  <c r="F23" i="26"/>
  <c r="H23" i="26" s="1"/>
  <c r="D23" i="26"/>
  <c r="E23" i="26" s="1"/>
  <c r="L23" i="26" s="1"/>
  <c r="C23" i="26"/>
  <c r="J22" i="26"/>
  <c r="K22" i="26" s="1"/>
  <c r="I22" i="26"/>
  <c r="G22" i="26"/>
  <c r="F22" i="26"/>
  <c r="H22" i="26" s="1"/>
  <c r="D22" i="26"/>
  <c r="E22" i="26" s="1"/>
  <c r="L22" i="26" s="1"/>
  <c r="C22" i="26"/>
  <c r="J21" i="26"/>
  <c r="K21" i="26" s="1"/>
  <c r="I21" i="26"/>
  <c r="G21" i="26"/>
  <c r="F21" i="26"/>
  <c r="H21" i="26" s="1"/>
  <c r="D21" i="26"/>
  <c r="E21" i="26" s="1"/>
  <c r="L21" i="26" s="1"/>
  <c r="C21" i="26"/>
  <c r="J20" i="26"/>
  <c r="K20" i="26" s="1"/>
  <c r="I20" i="26"/>
  <c r="G20" i="26"/>
  <c r="F20" i="26"/>
  <c r="H20" i="26" s="1"/>
  <c r="D20" i="26"/>
  <c r="E20" i="26" s="1"/>
  <c r="L20" i="26" s="1"/>
  <c r="C20" i="26"/>
  <c r="J19" i="26"/>
  <c r="K19" i="26" s="1"/>
  <c r="I19" i="26"/>
  <c r="G19" i="26"/>
  <c r="F19" i="26"/>
  <c r="H19" i="26" s="1"/>
  <c r="D19" i="26"/>
  <c r="E19" i="26" s="1"/>
  <c r="L19" i="26" s="1"/>
  <c r="C19" i="26"/>
  <c r="J18" i="26"/>
  <c r="K18" i="26" s="1"/>
  <c r="I18" i="26"/>
  <c r="G18" i="26"/>
  <c r="F18" i="26"/>
  <c r="H18" i="26" s="1"/>
  <c r="D18" i="26"/>
  <c r="E18" i="26" s="1"/>
  <c r="C18" i="26"/>
  <c r="J17" i="26"/>
  <c r="K17" i="26" s="1"/>
  <c r="I17" i="26"/>
  <c r="G17" i="26"/>
  <c r="F17" i="26"/>
  <c r="H17" i="26" s="1"/>
  <c r="D17" i="26"/>
  <c r="E17" i="26" s="1"/>
  <c r="L17" i="26" s="1"/>
  <c r="C17" i="26"/>
  <c r="L16" i="27" l="1"/>
  <c r="L23" i="27"/>
  <c r="L18" i="26"/>
  <c r="L37" i="26"/>
  <c r="L38" i="26"/>
  <c r="L39" i="26"/>
  <c r="L40" i="26"/>
  <c r="L41" i="26"/>
  <c r="L42" i="26"/>
  <c r="L43" i="26"/>
  <c r="L44" i="26"/>
  <c r="L45" i="26"/>
  <c r="L46" i="26"/>
  <c r="L47" i="26"/>
  <c r="L48" i="26"/>
  <c r="L49" i="26"/>
  <c r="L50" i="26"/>
  <c r="L51" i="26"/>
  <c r="L52" i="26"/>
  <c r="L53" i="26"/>
  <c r="L54" i="26"/>
  <c r="L55" i="26"/>
  <c r="L59" i="26"/>
  <c r="L60" i="26"/>
  <c r="L61" i="26"/>
  <c r="L62" i="26"/>
  <c r="L63" i="26"/>
  <c r="L64" i="26"/>
  <c r="L65" i="26"/>
  <c r="L66" i="26"/>
  <c r="L67" i="26"/>
  <c r="L68" i="26"/>
  <c r="L69" i="26"/>
  <c r="L73" i="26"/>
  <c r="L74" i="26"/>
  <c r="L78" i="26"/>
  <c r="L79" i="26"/>
  <c r="L80" i="26"/>
  <c r="L81" i="26"/>
  <c r="L82" i="26"/>
  <c r="L86" i="26"/>
  <c r="L87" i="26"/>
  <c r="L88" i="26"/>
  <c r="L92" i="26"/>
  <c r="L93" i="26"/>
  <c r="L97" i="26"/>
  <c r="L98" i="26"/>
  <c r="F42" i="25"/>
  <c r="E42" i="25"/>
  <c r="N41" i="25"/>
  <c r="N40" i="25"/>
  <c r="J40" i="25"/>
  <c r="I40" i="25"/>
  <c r="I42" i="25" s="1"/>
  <c r="H40" i="25"/>
  <c r="H42" i="25" s="1"/>
  <c r="E40" i="25"/>
  <c r="N39" i="25"/>
  <c r="J39" i="25"/>
  <c r="J42" i="25" s="1"/>
  <c r="H37" i="25"/>
  <c r="G37" i="25"/>
  <c r="M37" i="25" s="1"/>
  <c r="N37" i="25" s="1"/>
  <c r="H36" i="25"/>
  <c r="G36" i="25"/>
  <c r="M36" i="25" s="1"/>
  <c r="N36" i="25" s="1"/>
  <c r="I35" i="25"/>
  <c r="H35" i="25"/>
  <c r="G35" i="25"/>
  <c r="M35" i="25" s="1"/>
  <c r="N35" i="25" s="1"/>
  <c r="H34" i="25"/>
  <c r="N32" i="25"/>
  <c r="N31" i="25"/>
  <c r="N30" i="25"/>
  <c r="N29" i="25"/>
  <c r="N28" i="25"/>
  <c r="N26" i="25"/>
  <c r="J26" i="25"/>
  <c r="I26" i="25"/>
  <c r="H26" i="25"/>
  <c r="N22" i="25"/>
  <c r="N20" i="25"/>
  <c r="N19" i="25"/>
  <c r="N18" i="25"/>
  <c r="I18" i="25"/>
  <c r="N15" i="25"/>
  <c r="J15" i="25"/>
  <c r="I15" i="25"/>
  <c r="H15" i="25"/>
  <c r="N14" i="25"/>
  <c r="N13" i="25"/>
  <c r="N12" i="25"/>
  <c r="J12" i="25"/>
  <c r="I12" i="25"/>
  <c r="H12" i="25"/>
  <c r="N11" i="25"/>
  <c r="N10" i="25"/>
  <c r="N9" i="25"/>
  <c r="N8" i="25"/>
  <c r="N7" i="25"/>
  <c r="K23" i="24" l="1"/>
  <c r="P19" i="24"/>
  <c r="P17" i="24"/>
  <c r="I15" i="23" l="1"/>
  <c r="H15" i="23"/>
  <c r="G15" i="23"/>
  <c r="F15" i="23"/>
  <c r="E15" i="23"/>
  <c r="E14" i="23"/>
  <c r="E13" i="23"/>
  <c r="E12" i="23"/>
  <c r="G46" i="6" l="1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<sst xmlns="http://schemas.openxmlformats.org/spreadsheetml/2006/main" count="530" uniqueCount="277">
  <si>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</si>
  <si>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</si>
  <si>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</si>
  <si>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</si>
  <si>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</si>
  <si>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</si>
  <si>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</si>
  <si>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</si>
  <si>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</si>
  <si>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</si>
  <si>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</si>
  <si>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</si>
  <si>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</si>
  <si>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</si>
  <si>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</si>
  <si>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</si>
  <si>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</si>
  <si>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</si>
  <si>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</si>
  <si>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</si>
  <si>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</si>
  <si>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</si>
  <si>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</si>
  <si>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</si>
  <si>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</si>
  <si>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</si>
  <si>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</si>
  <si>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</si>
  <si>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</si>
  <si>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</si>
  <si>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</si>
  <si>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</si>
  <si>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</si>
  <si>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</si>
  <si>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</si>
  <si>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</si>
  <si>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</si>
  <si>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</si>
  <si>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</si>
  <si>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</si>
  <si>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</si>
  <si>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</si>
  <si>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</si>
  <si>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</si>
  <si>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</si>
  <si>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</si>
  <si>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</si>
  <si>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</si>
  <si>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</si>
  <si>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</si>
  <si>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</si>
  <si>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</si>
  <si>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</si>
  <si>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</si>
  <si>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</si>
  <si>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</si>
  <si>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</si>
  <si>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</si>
  <si>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</si>
  <si>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</si>
  <si>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</si>
  <si>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</si>
  <si>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</si>
  <si>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</si>
  <si>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</si>
  <si>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</si>
  <si>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</si>
  <si>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</si>
  <si>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</si>
  <si>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</si>
  <si>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</si>
  <si>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</si>
  <si>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</si>
  <si>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</si>
  <si>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</si>
  <si>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</si>
  <si>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</si>
  <si>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</si>
  <si>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</si>
  <si>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</si>
  <si>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</si>
  <si>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</si>
  <si>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</si>
  <si>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</si>
  <si>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</si>
  <si>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</si>
  <si>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</si>
  <si>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</si>
  <si>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</si>
  <si>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</si>
  <si>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</si>
  <si>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</si>
  <si>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</si>
  <si>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</si>
  <si>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</si>
  <si>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</si>
  <si>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</si>
  <si>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</si>
  <si>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</si>
  <si>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</si>
  <si>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</si>
  <si>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</si>
  <si>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</si>
  <si>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</si>
  <si>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</si>
  <si>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</si>
  <si>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</si>
  <si>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</si>
  <si>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</si>
  <si>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</si>
  <si>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</si>
  <si>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</si>
  <si>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</si>
  <si>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</si>
  <si>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</si>
  <si>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</si>
  <si>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</si>
  <si>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</si>
  <si>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</si>
  <si>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</si>
  <si>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</si>
  <si>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</si>
  <si>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</si>
  <si>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</si>
  <si>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</si>
  <si>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</si>
  <si>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</si>
  <si>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</si>
  <si>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</si>
  <si>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</si>
  <si>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</si>
  <si>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</si>
  <si>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</si>
  <si>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</si>
  <si>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</si>
  <si>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</si>
  <si>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</si>
  <si>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</si>
  <si>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</si>
  <si>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</si>
  <si>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</si>
  <si>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</si>
  <si>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</si>
  <si>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</si>
  <si>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</si>
  <si>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</si>
  <si>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</si>
  <si>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</si>
  <si>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</si>
  <si>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</si>
  <si>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</si>
  <si>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</si>
  <si>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Ministerio de Hacienda</t>
  </si>
  <si>
    <t xml:space="preserve"> </t>
  </si>
  <si>
    <t>Ridi - Gonzalez P</t>
  </si>
  <si>
    <t xml:space="preserve">Basegio - Nuñez </t>
  </si>
  <si>
    <t>Wajn-Odoriz-Boulin-Mayorga-Affronti-Troyano-Petry- Fierro-Gili R-Gallardo-Diaz-Gonzalez de Duo-Aleman</t>
  </si>
  <si>
    <t>Molina-Dibalsi F. - Hidalgo-Gili P- Navas- Caballero-Gibbs-Campos-Becerra-Castillo-Avellaneda-Cicconi-Marti- Perez-Diblasi JC</t>
  </si>
  <si>
    <t>Funes V</t>
  </si>
  <si>
    <t>DIRECCIÓN DE ADMINISTRACIÓN</t>
  </si>
  <si>
    <t>SUBDIRECCIÓN SEGURIDAD INFORMÁTICA</t>
  </si>
  <si>
    <t xml:space="preserve">C.JU.O. : 1.06.01 - </t>
  </si>
  <si>
    <t>CARÁCTER……………………………………………….05</t>
  </si>
  <si>
    <t>UNIDAD ORGANIZATIVA……………………………..….03</t>
  </si>
  <si>
    <t>C.J.U.O. 1 - 06 - 10 - 3º TRIMESTE 2016</t>
  </si>
  <si>
    <t>CUADRO DE INDICADORES Y METAS  -  3er TRIMESTRE 2016</t>
  </si>
  <si>
    <t>ADMINISTRACIÓN TRIBUTARIA MENDOZA - LEY DE RESPONSABILIDAD FISCAL</t>
  </si>
  <si>
    <t>LRF LEY Nº 7.314 - ANEXO 30 - ART. 44 Y 45  - 3º TRIMESTRE 2016</t>
  </si>
  <si>
    <t>RESOLUCIÓN INTERNA ATM Nº 61/16 - INDICADORES DE GESTIÓN</t>
  </si>
  <si>
    <t>INFORME CONSOLIDADO DE INDICADORES</t>
  </si>
  <si>
    <t>AREA</t>
  </si>
  <si>
    <t>JULIO</t>
  </si>
  <si>
    <t>AGOSTO</t>
  </si>
  <si>
    <t>SEPTIEMBRE</t>
  </si>
  <si>
    <t>PROMEDIO DE RATIOS</t>
  </si>
  <si>
    <t>PLANIF</t>
  </si>
  <si>
    <t>EJEC</t>
  </si>
  <si>
    <t>RATIO</t>
  </si>
  <si>
    <t>DIRECCION GENERAL DE RENTAS</t>
  </si>
  <si>
    <t>INTELIGENCIA FISCAL</t>
  </si>
  <si>
    <t>FISCALIZACIÓN PERMANENTE</t>
  </si>
  <si>
    <t>FISCALIZACION EXTERNA</t>
  </si>
  <si>
    <t>SELLOS Y TASA DE JUSTICIA</t>
  </si>
  <si>
    <t>PATRIMONIALES GESTION INTERNA</t>
  </si>
  <si>
    <t xml:space="preserve"> PATRIMONIALES ATENCIÓN CONTRIBUYENTES</t>
  </si>
  <si>
    <t>CONTACT CENTER</t>
  </si>
  <si>
    <t>ACTIVIDADES ECONOMICAS GESTION INTERNA</t>
  </si>
  <si>
    <t>ACTIVIDADES ECONÓMICAS - ATENCIÓN CONTRIBUYENTE</t>
  </si>
  <si>
    <t>AGENTES DE RETENCIÓN, PERCEPCIÓN E INFORMACIÓN</t>
  </si>
  <si>
    <t>GRANDES CONTRIBUYENTES</t>
  </si>
  <si>
    <t>RECEPTORIA CORRALITOS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</si>
  <si>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</si>
  <si>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</si>
  <si>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</si>
  <si>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</si>
  <si>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</si>
  <si>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</si>
  <si>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RECEPTORIA CONSEJO PROFESIONAL</t>
  </si>
  <si>
    <t>DELEGACION ZONA SUR</t>
  </si>
  <si>
    <t xml:space="preserve"> 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</si>
  <si>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</si>
  <si>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</si>
  <si>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</si>
  <si>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</si>
  <si>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</si>
  <si>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</si>
  <si>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</si>
  <si>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</si>
  <si>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</si>
  <si>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</si>
  <si>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</si>
  <si>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</si>
  <si>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</si>
  <si>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</si>
  <si>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</si>
  <si>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CAPITAL FEDERAL</t>
  </si>
  <si>
    <t>GESTION DE COBRAZAS ADMINISTRATIVAS</t>
  </si>
  <si>
    <t>GESTIÓN DE COBRANZAS JUDICIALES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</si>
  <si>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</si>
  <si>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</si>
  <si>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</si>
  <si>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</si>
  <si>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</si>
  <si>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</si>
  <si>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</si>
  <si>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</si>
  <si>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</si>
  <si>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</si>
  <si>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ARCHIVO</t>
  </si>
  <si>
    <t>DIRECCION GENERAL DE REGALIAS</t>
  </si>
  <si>
    <t>AUDITORIA</t>
  </si>
  <si>
    <t>EXPLOTACIÓN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</si>
  <si>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</si>
  <si>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</si>
  <si>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</si>
  <si>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</si>
  <si>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</si>
  <si>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</si>
  <si>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ASUNTOS TÉCNICOS</t>
  </si>
  <si>
    <t>ASUNTOS LEGALES</t>
  </si>
  <si>
    <t>PROCESOS UNIVERSALES</t>
  </si>
  <si>
    <t>DIRECCIÓN DE TECNOLOGÍAS DE LA INFORMACIÓN</t>
  </si>
  <si>
    <t>COI</t>
  </si>
  <si>
    <t>DEMADI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</si>
  <si>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</si>
  <si>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</si>
  <si>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</si>
  <si>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</si>
  <si>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</si>
  <si>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</si>
  <si>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INVESTIGACIÓN ESTADÍSTICA</t>
  </si>
  <si>
    <t>RECAUDACIÓN Y CONTROL DE INGRESOS</t>
  </si>
  <si>
    <t>SUBDIRECCIÓN SECRETARÍA GENERAL</t>
  </si>
  <si>
    <t>DESPACHO</t>
  </si>
  <si>
    <t>NORMATIVAS</t>
  </si>
  <si>
    <t>SEGURIDAD INFORMÁTICA</t>
  </si>
  <si>
    <t>ADMINISTRACIÓN GENERAL</t>
  </si>
  <si>
    <t>PLANIFICACIÓN ESTRATÉGICA</t>
  </si>
  <si>
    <t>COMUNICACIÓN Y PRENSA</t>
  </si>
  <si>
    <t>GESTIÓN DE CALIDAD</t>
  </si>
  <si>
    <t>OTRAS AREAS</t>
  </si>
  <si>
    <t>TRIBUNAL ADMINISTRATIVO FISCAL</t>
  </si>
  <si>
    <t>CONSEJO DE LOTEOS</t>
  </si>
  <si>
    <t>3º TRIMESTRE - RES INTERNA Nº 61/16</t>
  </si>
  <si>
    <t>PROMEDIO DE EJECUCION</t>
  </si>
  <si>
    <t>Generar casos para fiscalización</t>
  </si>
  <si>
    <t>Seguimiento de fiscalización 002/2016</t>
  </si>
  <si>
    <t>Intimar por Art.35 bis</t>
  </si>
  <si>
    <t>Efectuar estudios e investigaciones de evasión</t>
  </si>
  <si>
    <t>Administrar actuaciones administrativas</t>
  </si>
  <si>
    <t>Actualizar registros, emitir planes de pago, otorgar certificados y constancias exención</t>
  </si>
  <si>
    <t>Realizar apremios de deuda</t>
  </si>
  <si>
    <t>Realizar operativos de fiscalización permanente</t>
  </si>
  <si>
    <t>Realizar inspecciones de fiscalización externa</t>
  </si>
  <si>
    <t xml:space="preserve">Seguir cumplimiento en formas de pago </t>
  </si>
  <si>
    <t>Asesoria Legal y Apoderado</t>
  </si>
  <si>
    <t>Tramitar bni, pgd, cpa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</si>
</sst>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\ _€_-;\-* #,##0\ _€_-;_-* &quot;-&quot;\ _€_-;_-@_-"/>
    <numFmt numFmtId="167" formatCode="_-* #,##0.00\ _€_-;\-* #,##0.00\ _€_-;_-* &quot;-&quot;??\ _€_-;_-@_-"/>
    <numFmt numFmtId="168" formatCode="#,##0_ ;\-#,##0\ "/>
    <numFmt numFmtId="169" formatCode="0.0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b/>
      <sz val="11"/>
      <name val="Calibri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2"/>
      <name val="Times New Roman"/>
      <family val="1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43" fontId="4" fillId="0" borderId="0" applyFont="0" applyFill="0" applyBorder="0" applyAlignment="0" applyProtection="0"/>
    <xf numFmtId="0" fontId="22" fillId="22" borderId="0" applyNumberFormat="0" applyBorder="0" applyAlignment="0" applyProtection="0"/>
    <xf numFmtId="0" fontId="4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9" fillId="0" borderId="8" applyNumberFormat="0" applyFill="0" applyAlignment="0" applyProtection="0"/>
    <xf numFmtId="0" fontId="29" fillId="0" borderId="9" applyNumberFormat="0" applyFill="0" applyAlignment="0" applyProtection="0"/>
    <xf numFmtId="0" fontId="9" fillId="0" borderId="0"/>
    <xf numFmtId="43" fontId="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3" fillId="0" borderId="0"/>
    <xf numFmtId="9" fontId="13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9" fillId="0" borderId="0"/>
    <xf numFmtId="9" fontId="4" fillId="0" borderId="0" applyFill="0" applyBorder="0" applyAlignment="0" applyProtection="0"/>
  </cellStyleXfs>
  <cellXfs count="445">
    <xf numFmtId="0" fontId="0" fillId="0" borderId="0" xfId="0"/>
    <xf numFmtId="0" fontId="8" fillId="0" borderId="0" xfId="0" applyFont="1"/>
    <xf numFmtId="0" fontId="9" fillId="0" borderId="0" xfId="0" applyFont="1"/>
    <xf numFmtId="1" fontId="11" fillId="24" borderId="11" xfId="32" applyNumberFormat="1" applyFont="1" applyFill="1" applyBorder="1" applyAlignment="1">
      <alignment horizontal="center" vertical="center"/>
    </xf>
    <xf numFmtId="0" fontId="5" fillId="24" borderId="14" xfId="0" applyFont="1" applyFill="1" applyBorder="1"/>
    <xf numFmtId="1" fontId="11" fillId="24" borderId="15" xfId="32" applyNumberFormat="1" applyFont="1" applyFill="1" applyBorder="1" applyAlignment="1">
      <alignment horizontal="center" vertical="center"/>
    </xf>
    <xf numFmtId="0" fontId="11" fillId="24" borderId="16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12" fillId="0" borderId="17" xfId="0" applyFont="1" applyBorder="1" applyAlignment="1"/>
    <xf numFmtId="0" fontId="12" fillId="0" borderId="11" xfId="0" applyFont="1" applyBorder="1"/>
    <xf numFmtId="0" fontId="12" fillId="0" borderId="0" xfId="0" applyFont="1"/>
    <xf numFmtId="0" fontId="12" fillId="0" borderId="17" xfId="0" applyFont="1" applyFill="1" applyBorder="1" applyAlignment="1"/>
    <xf numFmtId="0" fontId="12" fillId="0" borderId="0" xfId="0" applyFont="1" applyFill="1"/>
    <xf numFmtId="0" fontId="12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2" fillId="26" borderId="15" xfId="0" applyFont="1" applyFill="1" applyBorder="1"/>
    <xf numFmtId="1" fontId="12" fillId="26" borderId="15" xfId="0" applyNumberFormat="1" applyFont="1" applyFill="1" applyBorder="1"/>
    <xf numFmtId="0" fontId="9" fillId="26" borderId="15" xfId="0" applyFont="1" applyFill="1" applyBorder="1"/>
    <xf numFmtId="0" fontId="9" fillId="26" borderId="16" xfId="0" applyFont="1" applyFill="1" applyBorder="1"/>
    <xf numFmtId="0" fontId="12" fillId="0" borderId="24" xfId="0" applyFont="1" applyBorder="1"/>
    <xf numFmtId="0" fontId="12" fillId="0" borderId="25" xfId="0" applyFont="1" applyBorder="1"/>
    <xf numFmtId="0" fontId="12" fillId="26" borderId="26" xfId="0" applyFont="1" applyFill="1" applyBorder="1"/>
    <xf numFmtId="0" fontId="12" fillId="0" borderId="11" xfId="0" applyFont="1" applyFill="1" applyBorder="1"/>
    <xf numFmtId="0" fontId="12" fillId="0" borderId="20" xfId="0" applyFont="1" applyBorder="1"/>
    <xf numFmtId="0" fontId="12" fillId="0" borderId="27" xfId="0" applyFont="1" applyBorder="1"/>
    <xf numFmtId="0" fontId="9" fillId="26" borderId="30" xfId="0" applyFont="1" applyFill="1" applyBorder="1"/>
    <xf numFmtId="0" fontId="8" fillId="0" borderId="0" xfId="0" applyFont="1" applyBorder="1" applyAlignment="1"/>
    <xf numFmtId="0" fontId="8" fillId="0" borderId="32" xfId="0" applyFont="1" applyBorder="1"/>
    <xf numFmtId="0" fontId="6" fillId="0" borderId="0" xfId="0" applyFont="1" applyBorder="1" applyAlignment="1">
      <alignment horizontal="center"/>
    </xf>
    <xf numFmtId="0" fontId="6" fillId="0" borderId="31" xfId="0" applyFont="1" applyBorder="1" applyAlignment="1">
      <alignment vertical="center"/>
    </xf>
    <xf numFmtId="0" fontId="12" fillId="0" borderId="17" xfId="0" applyFont="1" applyBorder="1"/>
    <xf numFmtId="0" fontId="12" fillId="0" borderId="34" xfId="0" applyFont="1" applyBorder="1" applyAlignment="1"/>
    <xf numFmtId="0" fontId="12" fillId="0" borderId="29" xfId="0" applyFont="1" applyBorder="1"/>
    <xf numFmtId="0" fontId="12" fillId="0" borderId="35" xfId="0" applyFont="1" applyBorder="1"/>
    <xf numFmtId="0" fontId="12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9" fillId="26" borderId="23" xfId="0" applyFont="1" applyFill="1" applyBorder="1"/>
    <xf numFmtId="0" fontId="5" fillId="25" borderId="37" xfId="0" applyFont="1" applyFill="1" applyBorder="1"/>
    <xf numFmtId="0" fontId="5" fillId="25" borderId="38" xfId="0" applyFont="1" applyFill="1" applyBorder="1"/>
    <xf numFmtId="0" fontId="9" fillId="26" borderId="26" xfId="0" applyFont="1" applyFill="1" applyBorder="1"/>
    <xf numFmtId="0" fontId="11" fillId="25" borderId="43" xfId="0" applyFont="1" applyFill="1" applyBorder="1" applyAlignment="1"/>
    <xf numFmtId="0" fontId="12" fillId="25" borderId="37" xfId="0" applyFont="1" applyFill="1" applyBorder="1"/>
    <xf numFmtId="0" fontId="11" fillId="25" borderId="44" xfId="0" applyFont="1" applyFill="1" applyBorder="1"/>
    <xf numFmtId="0" fontId="12" fillId="25" borderId="45" xfId="0" applyFont="1" applyFill="1" applyBorder="1"/>
    <xf numFmtId="0" fontId="12" fillId="25" borderId="39" xfId="0" applyFont="1" applyFill="1" applyBorder="1"/>
    <xf numFmtId="0" fontId="12" fillId="0" borderId="34" xfId="0" applyFont="1" applyBorder="1"/>
    <xf numFmtId="0" fontId="12" fillId="0" borderId="19" xfId="0" applyFont="1" applyBorder="1"/>
    <xf numFmtId="0" fontId="12" fillId="0" borderId="12" xfId="0" applyFont="1" applyFill="1" applyBorder="1"/>
    <xf numFmtId="0" fontId="12" fillId="0" borderId="12" xfId="0" applyFont="1" applyBorder="1"/>
    <xf numFmtId="0" fontId="12" fillId="0" borderId="21" xfId="0" applyFont="1" applyBorder="1"/>
    <xf numFmtId="0" fontId="11" fillId="25" borderId="43" xfId="0" applyFont="1" applyFill="1" applyBorder="1"/>
    <xf numFmtId="0" fontId="12" fillId="0" borderId="34" xfId="0" applyFont="1" applyFill="1" applyBorder="1"/>
    <xf numFmtId="3" fontId="12" fillId="26" borderId="10" xfId="0" applyNumberFormat="1" applyFont="1" applyFill="1" applyBorder="1"/>
    <xf numFmtId="3" fontId="12" fillId="26" borderId="29" xfId="0" applyNumberFormat="1" applyFont="1" applyFill="1" applyBorder="1"/>
    <xf numFmtId="3" fontId="12" fillId="0" borderId="29" xfId="0" applyNumberFormat="1" applyFont="1" applyFill="1" applyBorder="1"/>
    <xf numFmtId="0" fontId="12" fillId="0" borderId="24" xfId="0" applyFont="1" applyFill="1" applyBorder="1"/>
    <xf numFmtId="3" fontId="12" fillId="26" borderId="48" xfId="0" applyNumberFormat="1" applyFont="1" applyFill="1" applyBorder="1"/>
    <xf numFmtId="3" fontId="12" fillId="26" borderId="25" xfId="0" applyNumberFormat="1" applyFont="1" applyFill="1" applyBorder="1"/>
    <xf numFmtId="3" fontId="12" fillId="0" borderId="25" xfId="0" applyNumberFormat="1" applyFont="1" applyFill="1" applyBorder="1"/>
    <xf numFmtId="0" fontId="12" fillId="0" borderId="49" xfId="0" applyFont="1" applyFill="1" applyBorder="1"/>
    <xf numFmtId="0" fontId="12" fillId="0" borderId="50" xfId="0" applyFont="1" applyBorder="1"/>
    <xf numFmtId="0" fontId="12" fillId="0" borderId="42" xfId="0" applyFont="1" applyBorder="1"/>
    <xf numFmtId="4" fontId="9" fillId="0" borderId="0" xfId="0" applyNumberFormat="1" applyFont="1"/>
    <xf numFmtId="0" fontId="11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8" fillId="0" borderId="31" xfId="0" applyFont="1" applyBorder="1"/>
    <xf numFmtId="0" fontId="0" fillId="0" borderId="55" xfId="0" applyBorder="1"/>
    <xf numFmtId="0" fontId="0" fillId="0" borderId="31" xfId="0" applyBorder="1"/>
    <xf numFmtId="0" fontId="6" fillId="0" borderId="0" xfId="0" applyFont="1" applyBorder="1" applyAlignment="1"/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56" xfId="32" applyNumberFormat="1" applyFont="1" applyFill="1" applyBorder="1" applyAlignment="1">
      <alignment horizontal="center" vertical="center"/>
    </xf>
    <xf numFmtId="0" fontId="11" fillId="24" borderId="60" xfId="0" applyFont="1" applyFill="1" applyBorder="1" applyAlignment="1">
      <alignment horizontal="center"/>
    </xf>
    <xf numFmtId="0" fontId="12" fillId="0" borderId="61" xfId="0" applyFont="1" applyFill="1" applyBorder="1"/>
    <xf numFmtId="1" fontId="12" fillId="0" borderId="56" xfId="0" applyNumberFormat="1" applyFont="1" applyFill="1" applyBorder="1"/>
    <xf numFmtId="0" fontId="12" fillId="0" borderId="56" xfId="0" applyFont="1" applyFill="1" applyBorder="1"/>
    <xf numFmtId="0" fontId="12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9" fillId="0" borderId="56" xfId="0" applyFont="1" applyFill="1" applyBorder="1"/>
    <xf numFmtId="3" fontId="9" fillId="0" borderId="56" xfId="0" applyNumberFormat="1" applyFont="1" applyFill="1" applyBorder="1"/>
    <xf numFmtId="0" fontId="9" fillId="0" borderId="67" xfId="0" applyFont="1" applyFill="1" applyBorder="1"/>
    <xf numFmtId="3" fontId="9" fillId="0" borderId="61" xfId="0" applyNumberFormat="1" applyFont="1" applyFill="1" applyBorder="1"/>
    <xf numFmtId="3" fontId="9" fillId="0" borderId="63" xfId="0" applyNumberFormat="1" applyFont="1" applyFill="1" applyBorder="1"/>
    <xf numFmtId="0" fontId="9" fillId="0" borderId="61" xfId="0" applyFont="1" applyFill="1" applyBorder="1"/>
    <xf numFmtId="0" fontId="9" fillId="0" borderId="54" xfId="0" applyFont="1" applyFill="1" applyBorder="1"/>
    <xf numFmtId="0" fontId="6" fillId="0" borderId="68" xfId="0" applyFont="1" applyBorder="1" applyAlignment="1"/>
    <xf numFmtId="0" fontId="6" fillId="0" borderId="13" xfId="0" applyFont="1" applyBorder="1" applyAlignment="1"/>
    <xf numFmtId="0" fontId="8" fillId="0" borderId="13" xfId="0" applyFont="1" applyBorder="1" applyAlignment="1"/>
    <xf numFmtId="0" fontId="8" fillId="0" borderId="13" xfId="0" applyFont="1" applyBorder="1"/>
    <xf numFmtId="0" fontId="8" fillId="0" borderId="59" xfId="0" applyFont="1" applyBorder="1"/>
    <xf numFmtId="0" fontId="12" fillId="25" borderId="38" xfId="0" applyFont="1" applyFill="1" applyBorder="1"/>
    <xf numFmtId="3" fontId="12" fillId="0" borderId="15" xfId="0" applyNumberFormat="1" applyFont="1" applyFill="1" applyBorder="1"/>
    <xf numFmtId="3" fontId="12" fillId="0" borderId="23" xfId="0" applyNumberFormat="1" applyFont="1" applyFill="1" applyBorder="1"/>
    <xf numFmtId="3" fontId="12" fillId="0" borderId="26" xfId="0" applyNumberFormat="1" applyFont="1" applyFill="1" applyBorder="1"/>
    <xf numFmtId="3" fontId="12" fillId="26" borderId="36" xfId="0" applyNumberFormat="1" applyFont="1" applyFill="1" applyBorder="1"/>
    <xf numFmtId="3" fontId="12" fillId="26" borderId="11" xfId="0" applyNumberFormat="1" applyFont="1" applyFill="1" applyBorder="1"/>
    <xf numFmtId="3" fontId="12" fillId="26" borderId="28" xfId="0" applyNumberFormat="1" applyFont="1" applyFill="1" applyBorder="1"/>
    <xf numFmtId="3" fontId="12" fillId="0" borderId="11" xfId="0" applyNumberFormat="1" applyFont="1" applyFill="1" applyBorder="1"/>
    <xf numFmtId="3" fontId="12" fillId="26" borderId="33" xfId="0" applyNumberFormat="1" applyFont="1" applyFill="1" applyBorder="1"/>
    <xf numFmtId="3" fontId="12" fillId="25" borderId="45" xfId="0" applyNumberFormat="1" applyFont="1" applyFill="1" applyBorder="1"/>
    <xf numFmtId="3" fontId="12" fillId="25" borderId="46" xfId="0" applyNumberFormat="1" applyFont="1" applyFill="1" applyBorder="1"/>
    <xf numFmtId="3" fontId="11" fillId="25" borderId="46" xfId="0" applyNumberFormat="1" applyFont="1" applyFill="1" applyBorder="1"/>
    <xf numFmtId="3" fontId="11" fillId="25" borderId="45" xfId="0" applyNumberFormat="1" applyFont="1" applyFill="1" applyBorder="1"/>
    <xf numFmtId="3" fontId="12" fillId="25" borderId="40" xfId="0" applyNumberFormat="1" applyFont="1" applyFill="1" applyBorder="1"/>
    <xf numFmtId="3" fontId="12" fillId="0" borderId="36" xfId="0" applyNumberFormat="1" applyFont="1" applyBorder="1"/>
    <xf numFmtId="3" fontId="11" fillId="25" borderId="36" xfId="0" applyNumberFormat="1" applyFont="1" applyFill="1" applyBorder="1"/>
    <xf numFmtId="3" fontId="11" fillId="25" borderId="29" xfId="0" applyNumberFormat="1" applyFont="1" applyFill="1" applyBorder="1"/>
    <xf numFmtId="3" fontId="12" fillId="25" borderId="23" xfId="0" applyNumberFormat="1" applyFont="1" applyFill="1" applyBorder="1"/>
    <xf numFmtId="3" fontId="12" fillId="0" borderId="28" xfId="0" applyNumberFormat="1" applyFont="1" applyBorder="1"/>
    <xf numFmtId="3" fontId="11" fillId="25" borderId="28" xfId="0" applyNumberFormat="1" applyFont="1" applyFill="1" applyBorder="1"/>
    <xf numFmtId="3" fontId="11" fillId="25" borderId="11" xfId="0" applyNumberFormat="1" applyFont="1" applyFill="1" applyBorder="1"/>
    <xf numFmtId="3" fontId="12" fillId="25" borderId="15" xfId="0" applyNumberFormat="1" applyFont="1" applyFill="1" applyBorder="1"/>
    <xf numFmtId="3" fontId="12" fillId="26" borderId="47" xfId="0" applyNumberFormat="1" applyFont="1" applyFill="1" applyBorder="1"/>
    <xf numFmtId="3" fontId="12" fillId="26" borderId="12" xfId="0" applyNumberFormat="1" applyFont="1" applyFill="1" applyBorder="1"/>
    <xf numFmtId="3" fontId="12" fillId="0" borderId="12" xfId="0" applyNumberFormat="1" applyFont="1" applyFill="1" applyBorder="1"/>
    <xf numFmtId="3" fontId="12" fillId="0" borderId="16" xfId="0" applyNumberFormat="1" applyFont="1" applyFill="1" applyBorder="1"/>
    <xf numFmtId="3" fontId="12" fillId="25" borderId="37" xfId="0" applyNumberFormat="1" applyFont="1" applyFill="1" applyBorder="1"/>
    <xf numFmtId="3" fontId="11" fillId="25" borderId="37" xfId="0" applyNumberFormat="1" applyFont="1" applyFill="1" applyBorder="1"/>
    <xf numFmtId="3" fontId="11" fillId="25" borderId="38" xfId="0" applyNumberFormat="1" applyFont="1" applyFill="1" applyBorder="1"/>
    <xf numFmtId="3" fontId="12" fillId="26" borderId="50" xfId="0" applyNumberFormat="1" applyFont="1" applyFill="1" applyBorder="1"/>
    <xf numFmtId="3" fontId="12" fillId="0" borderId="51" xfId="0" applyNumberFormat="1" applyFont="1" applyBorder="1"/>
    <xf numFmtId="3" fontId="12" fillId="26" borderId="51" xfId="0" applyNumberFormat="1" applyFont="1" applyFill="1" applyBorder="1"/>
    <xf numFmtId="3" fontId="12" fillId="0" borderId="50" xfId="0" applyNumberFormat="1" applyFont="1" applyFill="1" applyBorder="1"/>
    <xf numFmtId="3" fontId="12" fillId="0" borderId="30" xfId="0" applyNumberFormat="1" applyFont="1" applyFill="1" applyBorder="1"/>
    <xf numFmtId="2" fontId="31" fillId="24" borderId="39" xfId="32" quotePrefix="1" applyNumberFormat="1" applyFont="1" applyFill="1" applyBorder="1" applyAlignment="1">
      <alignment horizontal="center" vertical="center"/>
    </xf>
    <xf numFmtId="0" fontId="32" fillId="0" borderId="0" xfId="52" applyFont="1"/>
    <xf numFmtId="0" fontId="31" fillId="0" borderId="0" xfId="52" applyFont="1" applyAlignment="1"/>
    <xf numFmtId="0" fontId="32" fillId="0" borderId="0" xfId="52" applyFont="1" applyAlignment="1"/>
    <xf numFmtId="0" fontId="31" fillId="0" borderId="0" xfId="52" applyFont="1" applyAlignment="1">
      <alignment vertical="center"/>
    </xf>
    <xf numFmtId="0" fontId="33" fillId="0" borderId="0" xfId="52" applyFont="1" applyAlignment="1"/>
    <xf numFmtId="0" fontId="34" fillId="0" borderId="0" xfId="52" applyFont="1" applyAlignment="1"/>
    <xf numFmtId="0" fontId="34" fillId="0" borderId="0" xfId="52" applyFont="1"/>
    <xf numFmtId="0" fontId="33" fillId="24" borderId="50" xfId="52" applyFont="1" applyFill="1" applyBorder="1" applyAlignment="1">
      <alignment horizontal="center" vertical="center" wrapText="1"/>
    </xf>
    <xf numFmtId="0" fontId="33" fillId="24" borderId="40" xfId="52" applyFont="1" applyFill="1" applyBorder="1" applyAlignment="1">
      <alignment horizontal="center" vertical="center" wrapText="1"/>
    </xf>
    <xf numFmtId="0" fontId="30" fillId="0" borderId="34" xfId="52" applyFont="1" applyBorder="1" applyAlignment="1"/>
    <xf numFmtId="0" fontId="30" fillId="0" borderId="29" xfId="52" applyFont="1" applyBorder="1" applyAlignment="1">
      <alignment horizontal="center"/>
    </xf>
    <xf numFmtId="1" fontId="30" fillId="0" borderId="29" xfId="52" applyNumberFormat="1" applyFont="1" applyBorder="1"/>
    <xf numFmtId="1" fontId="30" fillId="26" borderId="29" xfId="52" applyNumberFormat="1" applyFont="1" applyFill="1" applyBorder="1"/>
    <xf numFmtId="1" fontId="30" fillId="0" borderId="29" xfId="52" applyNumberFormat="1" applyFont="1" applyFill="1" applyBorder="1"/>
    <xf numFmtId="0" fontId="36" fillId="0" borderId="0" xfId="52" applyFont="1"/>
    <xf numFmtId="0" fontId="30" fillId="0" borderId="17" xfId="52" applyFont="1" applyBorder="1" applyAlignment="1"/>
    <xf numFmtId="0" fontId="30" fillId="0" borderId="11" xfId="52" applyFont="1" applyBorder="1" applyAlignment="1">
      <alignment horizontal="center"/>
    </xf>
    <xf numFmtId="1" fontId="30" fillId="0" borderId="11" xfId="52" applyNumberFormat="1" applyFont="1" applyBorder="1"/>
    <xf numFmtId="1" fontId="30" fillId="26" borderId="11" xfId="52" applyNumberFormat="1" applyFont="1" applyFill="1" applyBorder="1"/>
    <xf numFmtId="1" fontId="30" fillId="0" borderId="11" xfId="52" applyNumberFormat="1" applyFont="1" applyFill="1" applyBorder="1"/>
    <xf numFmtId="0" fontId="30" fillId="0" borderId="17" xfId="52" applyFont="1" applyFill="1" applyBorder="1" applyAlignment="1"/>
    <xf numFmtId="0" fontId="38" fillId="0" borderId="11" xfId="52" applyFont="1" applyBorder="1" applyAlignment="1">
      <alignment horizontal="center"/>
    </xf>
    <xf numFmtId="1" fontId="38" fillId="0" borderId="29" xfId="52" applyNumberFormat="1" applyFont="1" applyBorder="1"/>
    <xf numFmtId="1" fontId="38" fillId="0" borderId="11" xfId="52" applyNumberFormat="1" applyFont="1" applyBorder="1"/>
    <xf numFmtId="0" fontId="34" fillId="0" borderId="0" xfId="52" applyFont="1" applyFill="1"/>
    <xf numFmtId="0" fontId="30" fillId="0" borderId="19" xfId="52" applyFont="1" applyFill="1" applyBorder="1"/>
    <xf numFmtId="0" fontId="30" fillId="0" borderId="12" xfId="52" applyFont="1" applyBorder="1"/>
    <xf numFmtId="0" fontId="30" fillId="26" borderId="12" xfId="52" applyFont="1" applyFill="1" applyBorder="1"/>
    <xf numFmtId="0" fontId="30" fillId="0" borderId="12" xfId="52" applyFont="1" applyFill="1" applyBorder="1"/>
    <xf numFmtId="0" fontId="8" fillId="0" borderId="0" xfId="53" applyFont="1" applyAlignment="1">
      <alignment horizontal="left"/>
    </xf>
    <xf numFmtId="0" fontId="8" fillId="0" borderId="0" xfId="53" applyFont="1"/>
    <xf numFmtId="0" fontId="10" fillId="0" borderId="0" xfId="53" applyFont="1" applyAlignment="1">
      <alignment horizontal="left" vertical="center"/>
    </xf>
    <xf numFmtId="0" fontId="4" fillId="0" borderId="0" xfId="53" applyAlignment="1">
      <alignment horizontal="center" vertical="center"/>
    </xf>
    <xf numFmtId="0" fontId="5" fillId="0" borderId="0" xfId="53" applyFont="1" applyAlignment="1">
      <alignment horizontal="center" vertical="center"/>
    </xf>
    <xf numFmtId="0" fontId="4" fillId="0" borderId="0" xfId="53" applyAlignment="1">
      <alignment horizontal="left"/>
    </xf>
    <xf numFmtId="0" fontId="6" fillId="0" borderId="0" xfId="53" applyFont="1" applyAlignment="1">
      <alignment horizontal="left" vertical="center"/>
    </xf>
    <xf numFmtId="0" fontId="8" fillId="0" borderId="0" xfId="53" applyFont="1" applyAlignment="1">
      <alignment horizontal="center" vertical="center"/>
    </xf>
    <xf numFmtId="0" fontId="6" fillId="0" borderId="0" xfId="53" applyFont="1" applyAlignment="1">
      <alignment horizontal="center" vertical="center"/>
    </xf>
    <xf numFmtId="0" fontId="12" fillId="0" borderId="0" xfId="53" applyFont="1" applyAlignment="1">
      <alignment horizontal="left" vertical="center"/>
    </xf>
    <xf numFmtId="0" fontId="6" fillId="0" borderId="0" xfId="53" applyFont="1" applyBorder="1" applyAlignment="1">
      <alignment horizontal="left" vertical="center"/>
    </xf>
    <xf numFmtId="0" fontId="4" fillId="0" borderId="13" xfId="53" applyBorder="1"/>
    <xf numFmtId="0" fontId="12" fillId="0" borderId="0" xfId="53" applyFont="1" applyAlignment="1">
      <alignment horizontal="center" vertical="center"/>
    </xf>
    <xf numFmtId="0" fontId="11" fillId="24" borderId="11" xfId="53" applyFont="1" applyFill="1" applyBorder="1" applyAlignment="1">
      <alignment horizontal="center" vertical="center"/>
    </xf>
    <xf numFmtId="0" fontId="11" fillId="24" borderId="20" xfId="53" applyFont="1" applyFill="1" applyBorder="1" applyAlignment="1">
      <alignment horizontal="center" vertical="center" wrapText="1"/>
    </xf>
    <xf numFmtId="1" fontId="11" fillId="24" borderId="60" xfId="54" applyNumberFormat="1" applyFont="1" applyFill="1" applyBorder="1" applyAlignment="1">
      <alignment horizontal="center" vertical="center"/>
    </xf>
    <xf numFmtId="1" fontId="11" fillId="24" borderId="66" xfId="54" applyNumberFormat="1" applyFont="1" applyFill="1" applyBorder="1" applyAlignment="1">
      <alignment horizontal="center" vertical="center"/>
    </xf>
    <xf numFmtId="0" fontId="11" fillId="24" borderId="12" xfId="53" applyFont="1" applyFill="1" applyBorder="1" applyAlignment="1">
      <alignment horizontal="center" vertical="center" wrapText="1"/>
    </xf>
    <xf numFmtId="0" fontId="11" fillId="24" borderId="21" xfId="53" applyFont="1" applyFill="1" applyBorder="1" applyAlignment="1">
      <alignment horizontal="center" vertical="center" wrapText="1"/>
    </xf>
    <xf numFmtId="0" fontId="11" fillId="24" borderId="19" xfId="53" applyFont="1" applyFill="1" applyBorder="1" applyAlignment="1">
      <alignment horizontal="center" vertical="center" wrapText="1"/>
    </xf>
    <xf numFmtId="0" fontId="11" fillId="24" borderId="16" xfId="53" applyFont="1" applyFill="1" applyBorder="1" applyAlignment="1">
      <alignment horizontal="center" vertical="center" wrapText="1"/>
    </xf>
    <xf numFmtId="0" fontId="11" fillId="24" borderId="52" xfId="53" applyFont="1" applyFill="1" applyBorder="1" applyAlignment="1">
      <alignment horizontal="center" vertical="center" wrapText="1"/>
    </xf>
    <xf numFmtId="0" fontId="12" fillId="0" borderId="17" xfId="53" applyFont="1" applyBorder="1" applyAlignment="1">
      <alignment horizontal="left" vertical="center"/>
    </xf>
    <xf numFmtId="0" fontId="12" fillId="0" borderId="11" xfId="53" applyFont="1" applyBorder="1" applyAlignment="1">
      <alignment horizontal="center" vertical="center"/>
    </xf>
    <xf numFmtId="0" fontId="12" fillId="0" borderId="11" xfId="53" quotePrefix="1" applyFont="1" applyBorder="1" applyAlignment="1">
      <alignment horizontal="center" vertical="center" wrapText="1"/>
    </xf>
    <xf numFmtId="0" fontId="12" fillId="0" borderId="11" xfId="53" applyFont="1" applyBorder="1" applyAlignment="1">
      <alignment horizontal="center" vertical="center" wrapText="1"/>
    </xf>
    <xf numFmtId="0" fontId="12" fillId="0" borderId="15" xfId="53" applyFont="1" applyBorder="1" applyAlignment="1">
      <alignment horizontal="center" vertical="center"/>
    </xf>
    <xf numFmtId="0" fontId="12" fillId="0" borderId="22" xfId="53" quotePrefix="1" applyFont="1" applyBorder="1" applyAlignment="1">
      <alignment horizontal="right" vertical="center" wrapText="1"/>
    </xf>
    <xf numFmtId="0" fontId="12" fillId="26" borderId="10" xfId="53" quotePrefix="1" applyFont="1" applyFill="1" applyBorder="1" applyAlignment="1">
      <alignment horizontal="right" vertical="center" wrapText="1"/>
    </xf>
    <xf numFmtId="0" fontId="12" fillId="29" borderId="14" xfId="53" quotePrefix="1" applyFont="1" applyFill="1" applyBorder="1" applyAlignment="1">
      <alignment horizontal="center" vertical="center" wrapText="1"/>
    </xf>
    <xf numFmtId="0" fontId="11" fillId="0" borderId="18" xfId="53" applyFont="1" applyBorder="1" applyAlignment="1">
      <alignment horizontal="center" vertical="center"/>
    </xf>
    <xf numFmtId="0" fontId="12" fillId="0" borderId="17" xfId="53" applyFont="1" applyBorder="1" applyAlignment="1">
      <alignment horizontal="right" vertical="center"/>
    </xf>
    <xf numFmtId="0" fontId="12" fillId="26" borderId="11" xfId="53" applyFont="1" applyFill="1" applyBorder="1" applyAlignment="1">
      <alignment horizontal="right" vertical="center"/>
    </xf>
    <xf numFmtId="0" fontId="12" fillId="29" borderId="15" xfId="53" applyFont="1" applyFill="1" applyBorder="1" applyAlignment="1">
      <alignment horizontal="center" vertical="center"/>
    </xf>
    <xf numFmtId="0" fontId="12" fillId="0" borderId="15" xfId="53" quotePrefix="1" applyFont="1" applyBorder="1" applyAlignment="1">
      <alignment horizontal="center" vertical="center" wrapText="1"/>
    </xf>
    <xf numFmtId="0" fontId="12" fillId="0" borderId="17" xfId="53" quotePrefix="1" applyFont="1" applyBorder="1" applyAlignment="1">
      <alignment horizontal="right" vertical="center" wrapText="1"/>
    </xf>
    <xf numFmtId="0" fontId="12" fillId="26" borderId="11" xfId="53" quotePrefix="1" applyFont="1" applyFill="1" applyBorder="1" applyAlignment="1">
      <alignment horizontal="right" vertical="center" wrapText="1"/>
    </xf>
    <xf numFmtId="0" fontId="12" fillId="29" borderId="15" xfId="53" quotePrefix="1" applyFont="1" applyFill="1" applyBorder="1" applyAlignment="1">
      <alignment horizontal="center" vertical="center" wrapText="1"/>
    </xf>
    <xf numFmtId="0" fontId="11" fillId="0" borderId="18" xfId="53" quotePrefix="1" applyFont="1" applyBorder="1" applyAlignment="1">
      <alignment horizontal="center" vertical="center" wrapText="1"/>
    </xf>
    <xf numFmtId="0" fontId="12" fillId="26" borderId="11" xfId="53" applyFont="1" applyFill="1" applyBorder="1" applyAlignment="1">
      <alignment horizontal="right" vertical="center" wrapText="1"/>
    </xf>
    <xf numFmtId="0" fontId="12" fillId="29" borderId="15" xfId="53" applyFont="1" applyFill="1" applyBorder="1" applyAlignment="1">
      <alignment horizontal="center" vertical="center" wrapText="1"/>
    </xf>
    <xf numFmtId="3" fontId="12" fillId="0" borderId="11" xfId="55" quotePrefix="1" applyNumberFormat="1" applyFont="1" applyBorder="1" applyAlignment="1">
      <alignment horizontal="right" vertical="center" wrapText="1"/>
    </xf>
    <xf numFmtId="3" fontId="12" fillId="0" borderId="11" xfId="55" applyNumberFormat="1" applyFont="1" applyBorder="1" applyAlignment="1">
      <alignment horizontal="right" vertical="center"/>
    </xf>
    <xf numFmtId="3" fontId="12" fillId="0" borderId="0" xfId="53" applyNumberFormat="1" applyFont="1" applyAlignment="1">
      <alignment horizontal="center" vertical="center"/>
    </xf>
    <xf numFmtId="3" fontId="12" fillId="0" borderId="17" xfId="55" applyNumberFormat="1" applyFont="1" applyBorder="1" applyAlignment="1">
      <alignment horizontal="right" vertical="center"/>
    </xf>
    <xf numFmtId="3" fontId="12" fillId="26" borderId="11" xfId="55" applyNumberFormat="1" applyFont="1" applyFill="1" applyBorder="1" applyAlignment="1">
      <alignment horizontal="right" vertical="center"/>
    </xf>
    <xf numFmtId="4" fontId="12" fillId="26" borderId="11" xfId="55" applyNumberFormat="1" applyFont="1" applyFill="1" applyBorder="1" applyAlignment="1">
      <alignment horizontal="right" vertical="center"/>
    </xf>
    <xf numFmtId="4" fontId="12" fillId="29" borderId="15" xfId="55" applyNumberFormat="1" applyFont="1" applyFill="1" applyBorder="1" applyAlignment="1">
      <alignment horizontal="right" vertical="center"/>
    </xf>
    <xf numFmtId="3" fontId="11" fillId="0" borderId="18" xfId="53" applyNumberFormat="1" applyFont="1" applyBorder="1" applyAlignment="1">
      <alignment horizontal="center" vertical="center"/>
    </xf>
    <xf numFmtId="3" fontId="12" fillId="0" borderId="0" xfId="53" applyNumberFormat="1" applyFont="1" applyAlignment="1">
      <alignment horizontal="left" vertical="center"/>
    </xf>
    <xf numFmtId="3" fontId="12" fillId="0" borderId="11" xfId="53" quotePrefix="1" applyNumberFormat="1" applyFont="1" applyBorder="1" applyAlignment="1">
      <alignment horizontal="right" vertical="center" wrapText="1"/>
    </xf>
    <xf numFmtId="3" fontId="12" fillId="0" borderId="11" xfId="53" applyNumberFormat="1" applyFont="1" applyBorder="1" applyAlignment="1">
      <alignment horizontal="right" vertical="center"/>
    </xf>
    <xf numFmtId="3" fontId="12" fillId="0" borderId="15" xfId="53" applyNumberFormat="1" applyFont="1" applyBorder="1" applyAlignment="1">
      <alignment horizontal="center" vertical="center"/>
    </xf>
    <xf numFmtId="3" fontId="12" fillId="0" borderId="17" xfId="53" applyNumberFormat="1" applyFont="1" applyBorder="1" applyAlignment="1">
      <alignment horizontal="right" vertical="center"/>
    </xf>
    <xf numFmtId="3" fontId="12" fillId="26" borderId="11" xfId="53" applyNumberFormat="1" applyFont="1" applyFill="1" applyBorder="1" applyAlignment="1">
      <alignment horizontal="right" vertical="center"/>
    </xf>
    <xf numFmtId="3" fontId="12" fillId="29" borderId="15" xfId="53" applyNumberFormat="1" applyFont="1" applyFill="1" applyBorder="1" applyAlignment="1">
      <alignment horizontal="right" vertical="center"/>
    </xf>
    <xf numFmtId="164" fontId="12" fillId="0" borderId="11" xfId="53" quotePrefix="1" applyNumberFormat="1" applyFont="1" applyBorder="1" applyAlignment="1">
      <alignment horizontal="right" vertical="center" wrapText="1"/>
    </xf>
    <xf numFmtId="164" fontId="12" fillId="0" borderId="15" xfId="53" applyNumberFormat="1" applyFont="1" applyBorder="1" applyAlignment="1">
      <alignment horizontal="right" vertical="center"/>
    </xf>
    <xf numFmtId="164" fontId="12" fillId="0" borderId="17" xfId="53" applyNumberFormat="1" applyFont="1" applyBorder="1" applyAlignment="1">
      <alignment horizontal="right" vertical="center" wrapText="1"/>
    </xf>
    <xf numFmtId="165" fontId="12" fillId="26" borderId="11" xfId="53" applyNumberFormat="1" applyFont="1" applyFill="1" applyBorder="1" applyAlignment="1">
      <alignment horizontal="right" vertical="center" wrapText="1"/>
    </xf>
    <xf numFmtId="164" fontId="12" fillId="26" borderId="11" xfId="53" quotePrefix="1" applyNumberFormat="1" applyFont="1" applyFill="1" applyBorder="1" applyAlignment="1">
      <alignment horizontal="right" vertical="center" wrapText="1"/>
    </xf>
    <xf numFmtId="165" fontId="12" fillId="29" borderId="15" xfId="53" quotePrefix="1" applyNumberFormat="1" applyFont="1" applyFill="1" applyBorder="1" applyAlignment="1">
      <alignment horizontal="right" vertical="center" wrapText="1"/>
    </xf>
    <xf numFmtId="164" fontId="11" fillId="0" borderId="18" xfId="53" applyNumberFormat="1" applyFont="1" applyBorder="1" applyAlignment="1">
      <alignment horizontal="right" vertical="center"/>
    </xf>
    <xf numFmtId="0" fontId="12" fillId="0" borderId="19" xfId="53" applyFont="1" applyBorder="1" applyAlignment="1">
      <alignment horizontal="center" vertical="center"/>
    </xf>
    <xf numFmtId="0" fontId="12" fillId="26" borderId="12" xfId="53" applyFont="1" applyFill="1" applyBorder="1" applyAlignment="1">
      <alignment horizontal="right" vertical="center"/>
    </xf>
    <xf numFmtId="0" fontId="12" fillId="26" borderId="12" xfId="53" applyFont="1" applyFill="1" applyBorder="1" applyAlignment="1">
      <alignment horizontal="center" vertical="center"/>
    </xf>
    <xf numFmtId="0" fontId="12" fillId="29" borderId="16" xfId="53" applyFont="1" applyFill="1" applyBorder="1" applyAlignment="1">
      <alignment horizontal="center" vertical="center"/>
    </xf>
    <xf numFmtId="0" fontId="11" fillId="25" borderId="17" xfId="53" applyFont="1" applyFill="1" applyBorder="1" applyAlignment="1">
      <alignment horizontal="left" vertical="center"/>
    </xf>
    <xf numFmtId="0" fontId="12" fillId="25" borderId="11" xfId="53" applyFont="1" applyFill="1" applyBorder="1" applyAlignment="1">
      <alignment horizontal="center" vertical="center"/>
    </xf>
    <xf numFmtId="0" fontId="12" fillId="25" borderId="61" xfId="53" applyFont="1" applyFill="1" applyBorder="1" applyAlignment="1">
      <alignment horizontal="center" vertical="center"/>
    </xf>
    <xf numFmtId="0" fontId="12" fillId="25" borderId="22" xfId="53" applyFont="1" applyFill="1" applyBorder="1" applyAlignment="1">
      <alignment horizontal="center" vertical="center"/>
    </xf>
    <xf numFmtId="0" fontId="12" fillId="25" borderId="10" xfId="53" applyFont="1" applyFill="1" applyBorder="1" applyAlignment="1">
      <alignment horizontal="center" vertical="center"/>
    </xf>
    <xf numFmtId="0" fontId="12" fillId="25" borderId="14" xfId="53" applyFont="1" applyFill="1" applyBorder="1" applyAlignment="1">
      <alignment horizontal="center" vertical="center"/>
    </xf>
    <xf numFmtId="0" fontId="11" fillId="25" borderId="18" xfId="53" applyFont="1" applyFill="1" applyBorder="1" applyAlignment="1">
      <alignment horizontal="center" vertical="center"/>
    </xf>
    <xf numFmtId="0" fontId="11" fillId="0" borderId="17" xfId="53" applyFont="1" applyBorder="1" applyAlignment="1">
      <alignment horizontal="left" vertical="center"/>
    </xf>
    <xf numFmtId="0" fontId="12" fillId="26" borderId="20" xfId="53" applyFont="1" applyFill="1" applyBorder="1" applyAlignment="1">
      <alignment horizontal="center" vertical="center"/>
    </xf>
    <xf numFmtId="0" fontId="12" fillId="29" borderId="17" xfId="53" applyFont="1" applyFill="1" applyBorder="1" applyAlignment="1">
      <alignment horizontal="center" vertical="center"/>
    </xf>
    <xf numFmtId="0" fontId="12" fillId="26" borderId="28" xfId="53" applyFont="1" applyFill="1" applyBorder="1" applyAlignment="1">
      <alignment horizontal="center" vertical="center"/>
    </xf>
    <xf numFmtId="0" fontId="12" fillId="26" borderId="11" xfId="53" applyFont="1" applyFill="1" applyBorder="1" applyAlignment="1">
      <alignment horizontal="center" vertical="center"/>
    </xf>
    <xf numFmtId="0" fontId="4" fillId="0" borderId="0" xfId="53" applyAlignment="1">
      <alignment horizontal="left" vertical="center"/>
    </xf>
    <xf numFmtId="0" fontId="12" fillId="25" borderId="56" xfId="53" applyFont="1" applyFill="1" applyBorder="1" applyAlignment="1">
      <alignment horizontal="center" vertical="center"/>
    </xf>
    <xf numFmtId="0" fontId="12" fillId="25" borderId="17" xfId="53" applyFont="1" applyFill="1" applyBorder="1" applyAlignment="1">
      <alignment horizontal="center" vertical="center"/>
    </xf>
    <xf numFmtId="0" fontId="12" fillId="25" borderId="28" xfId="53" applyFont="1" applyFill="1" applyBorder="1" applyAlignment="1">
      <alignment horizontal="center" vertical="center"/>
    </xf>
    <xf numFmtId="0" fontId="12" fillId="25" borderId="18" xfId="53" applyFont="1" applyFill="1" applyBorder="1" applyAlignment="1">
      <alignment horizontal="center" vertical="center"/>
    </xf>
    <xf numFmtId="0" fontId="12" fillId="0" borderId="20" xfId="53" applyFont="1" applyBorder="1" applyAlignment="1">
      <alignment horizontal="center" vertical="center"/>
    </xf>
    <xf numFmtId="0" fontId="12" fillId="26" borderId="0" xfId="53" applyFont="1" applyFill="1" applyBorder="1" applyAlignment="1">
      <alignment horizontal="center" vertical="center"/>
    </xf>
    <xf numFmtId="0" fontId="12" fillId="0" borderId="19" xfId="53" applyFont="1" applyBorder="1" applyAlignment="1">
      <alignment horizontal="left" vertical="center"/>
    </xf>
    <xf numFmtId="0" fontId="12" fillId="0" borderId="12" xfId="53" applyFont="1" applyBorder="1" applyAlignment="1">
      <alignment horizontal="center" vertical="center"/>
    </xf>
    <xf numFmtId="0" fontId="12" fillId="0" borderId="21" xfId="53" applyFont="1" applyBorder="1" applyAlignment="1">
      <alignment horizontal="center" vertical="center"/>
    </xf>
    <xf numFmtId="0" fontId="12" fillId="29" borderId="19" xfId="53" applyFont="1" applyFill="1" applyBorder="1" applyAlignment="1">
      <alignment horizontal="center" vertical="center"/>
    </xf>
    <xf numFmtId="0" fontId="12" fillId="26" borderId="47" xfId="53" applyFont="1" applyFill="1" applyBorder="1" applyAlignment="1">
      <alignment horizontal="center" vertical="center"/>
    </xf>
    <xf numFmtId="0" fontId="11" fillId="0" borderId="52" xfId="53" applyFont="1" applyBorder="1" applyAlignment="1">
      <alignment horizontal="center" vertical="center"/>
    </xf>
    <xf numFmtId="0" fontId="4" fillId="26" borderId="0" xfId="53" applyFill="1" applyAlignment="1">
      <alignment horizontal="center" vertical="center"/>
    </xf>
    <xf numFmtId="0" fontId="1" fillId="0" borderId="0" xfId="56"/>
    <xf numFmtId="0" fontId="39" fillId="25" borderId="11" xfId="56" applyFont="1" applyFill="1" applyBorder="1" applyAlignment="1">
      <alignment horizontal="center"/>
    </xf>
    <xf numFmtId="0" fontId="39" fillId="25" borderId="11" xfId="56" applyFont="1" applyFill="1" applyBorder="1" applyAlignment="1">
      <alignment horizontal="center" vertical="center"/>
    </xf>
    <xf numFmtId="0" fontId="39" fillId="25" borderId="15" xfId="56" applyFont="1" applyFill="1" applyBorder="1" applyAlignment="1">
      <alignment horizontal="center"/>
    </xf>
    <xf numFmtId="0" fontId="40" fillId="25" borderId="11" xfId="56" applyFont="1" applyFill="1" applyBorder="1" applyAlignment="1">
      <alignment horizontal="center" vertical="center" wrapText="1"/>
    </xf>
    <xf numFmtId="0" fontId="40" fillId="25" borderId="15" xfId="56" applyFont="1" applyFill="1" applyBorder="1" applyAlignment="1">
      <alignment horizontal="center" vertical="center" wrapText="1"/>
    </xf>
    <xf numFmtId="0" fontId="39" fillId="0" borderId="11" xfId="56" applyFont="1" applyFill="1" applyBorder="1"/>
    <xf numFmtId="0" fontId="40" fillId="0" borderId="11" xfId="56" applyFont="1" applyFill="1" applyBorder="1" applyAlignment="1">
      <alignment horizontal="center"/>
    </xf>
    <xf numFmtId="3" fontId="40" fillId="0" borderId="11" xfId="56" applyNumberFormat="1" applyFont="1" applyFill="1" applyBorder="1" applyAlignment="1">
      <alignment horizontal="center"/>
    </xf>
    <xf numFmtId="166" fontId="40" fillId="0" borderId="11" xfId="56" applyNumberFormat="1" applyFont="1" applyFill="1" applyBorder="1" applyAlignment="1">
      <alignment horizontal="center"/>
    </xf>
    <xf numFmtId="3" fontId="40" fillId="0" borderId="0" xfId="56" applyNumberFormat="1" applyFont="1" applyAlignment="1">
      <alignment horizontal="center"/>
    </xf>
    <xf numFmtId="167" fontId="40" fillId="0" borderId="11" xfId="56" applyNumberFormat="1" applyFont="1" applyFill="1" applyBorder="1" applyAlignment="1">
      <alignment horizontal="center"/>
    </xf>
    <xf numFmtId="167" fontId="40" fillId="0" borderId="11" xfId="56" applyNumberFormat="1" applyFont="1" applyFill="1" applyBorder="1" applyAlignment="1"/>
    <xf numFmtId="4" fontId="40" fillId="0" borderId="11" xfId="56" applyNumberFormat="1" applyFont="1" applyFill="1" applyBorder="1" applyAlignment="1">
      <alignment horizontal="center"/>
    </xf>
    <xf numFmtId="4" fontId="40" fillId="0" borderId="11" xfId="56" applyNumberFormat="1" applyFont="1" applyBorder="1" applyAlignment="1">
      <alignment horizontal="center"/>
    </xf>
    <xf numFmtId="4" fontId="40" fillId="0" borderId="11" xfId="56" applyNumberFormat="1" applyFont="1" applyFill="1" applyBorder="1" applyAlignment="1"/>
    <xf numFmtId="167" fontId="40" fillId="0" borderId="0" xfId="56" applyNumberFormat="1" applyFont="1"/>
    <xf numFmtId="4" fontId="40" fillId="0" borderId="0" xfId="56" applyNumberFormat="1" applyFont="1" applyFill="1" applyAlignment="1">
      <alignment horizontal="center"/>
    </xf>
    <xf numFmtId="167" fontId="40" fillId="0" borderId="11" xfId="56" applyNumberFormat="1" applyFont="1" applyBorder="1"/>
    <xf numFmtId="0" fontId="41" fillId="27" borderId="11" xfId="56" applyFont="1" applyFill="1" applyBorder="1"/>
    <xf numFmtId="0" fontId="40" fillId="27" borderId="11" xfId="56" applyFont="1" applyFill="1" applyBorder="1" applyAlignment="1">
      <alignment horizontal="center"/>
    </xf>
    <xf numFmtId="0" fontId="40" fillId="27" borderId="11" xfId="56" applyNumberFormat="1" applyFont="1" applyFill="1" applyBorder="1" applyAlignment="1">
      <alignment horizontal="center"/>
    </xf>
    <xf numFmtId="3" fontId="40" fillId="27" borderId="11" xfId="56" applyNumberFormat="1" applyFont="1" applyFill="1" applyBorder="1" applyAlignment="1">
      <alignment horizontal="center"/>
    </xf>
    <xf numFmtId="0" fontId="39" fillId="27" borderId="11" xfId="56" applyFont="1" applyFill="1" applyBorder="1" applyAlignment="1">
      <alignment horizontal="center"/>
    </xf>
    <xf numFmtId="168" fontId="39" fillId="27" borderId="11" xfId="56" applyNumberFormat="1" applyFont="1" applyFill="1" applyBorder="1" applyAlignment="1">
      <alignment horizontal="center"/>
    </xf>
    <xf numFmtId="3" fontId="40" fillId="28" borderId="11" xfId="56" applyNumberFormat="1" applyFont="1" applyFill="1" applyBorder="1" applyAlignment="1">
      <alignment horizontal="center"/>
    </xf>
    <xf numFmtId="0" fontId="40" fillId="0" borderId="11" xfId="56" applyNumberFormat="1" applyFont="1" applyFill="1" applyBorder="1" applyAlignment="1">
      <alignment horizontal="center"/>
    </xf>
    <xf numFmtId="0" fontId="39" fillId="0" borderId="11" xfId="56" applyFont="1" applyFill="1" applyBorder="1" applyAlignment="1">
      <alignment horizontal="center"/>
    </xf>
    <xf numFmtId="167" fontId="39" fillId="0" borderId="11" xfId="56" applyNumberFormat="1" applyFont="1" applyFill="1" applyBorder="1" applyAlignment="1">
      <alignment horizontal="center"/>
    </xf>
    <xf numFmtId="3" fontId="39" fillId="0" borderId="11" xfId="56" applyNumberFormat="1" applyFont="1" applyFill="1" applyBorder="1" applyAlignment="1">
      <alignment horizontal="center"/>
    </xf>
    <xf numFmtId="0" fontId="40" fillId="27" borderId="11" xfId="56" applyFont="1" applyFill="1" applyBorder="1"/>
    <xf numFmtId="167" fontId="40" fillId="27" borderId="11" xfId="56" applyNumberFormat="1" applyFont="1" applyFill="1" applyBorder="1" applyAlignment="1">
      <alignment horizontal="center"/>
    </xf>
    <xf numFmtId="0" fontId="40" fillId="27" borderId="15" xfId="56" applyFont="1" applyFill="1" applyBorder="1" applyAlignment="1">
      <alignment horizontal="center"/>
    </xf>
    <xf numFmtId="0" fontId="39" fillId="0" borderId="11" xfId="56" applyNumberFormat="1" applyFont="1" applyFill="1" applyBorder="1" applyAlignment="1">
      <alignment horizontal="center"/>
    </xf>
    <xf numFmtId="3" fontId="39" fillId="0" borderId="15" xfId="56" applyNumberFormat="1" applyFont="1" applyFill="1" applyBorder="1" applyAlignment="1">
      <alignment horizontal="center"/>
    </xf>
    <xf numFmtId="3" fontId="40" fillId="27" borderId="15" xfId="56" applyNumberFormat="1" applyFont="1" applyFill="1" applyBorder="1" applyAlignment="1">
      <alignment horizontal="center"/>
    </xf>
    <xf numFmtId="3" fontId="40" fillId="0" borderId="15" xfId="56" applyNumberFormat="1" applyFont="1" applyFill="1" applyBorder="1" applyAlignment="1">
      <alignment horizontal="center"/>
    </xf>
    <xf numFmtId="9" fontId="40" fillId="0" borderId="11" xfId="57" applyFont="1" applyFill="1" applyBorder="1" applyAlignment="1">
      <alignment horizontal="center"/>
    </xf>
    <xf numFmtId="9" fontId="40" fillId="0" borderId="11" xfId="57" applyNumberFormat="1" applyFont="1" applyFill="1" applyBorder="1" applyAlignment="1">
      <alignment horizontal="center"/>
    </xf>
    <xf numFmtId="167" fontId="1" fillId="0" borderId="0" xfId="56" applyNumberFormat="1"/>
    <xf numFmtId="0" fontId="4" fillId="0" borderId="0" xfId="53"/>
    <xf numFmtId="0" fontId="42" fillId="0" borderId="0" xfId="53" applyFont="1"/>
    <xf numFmtId="0" fontId="42" fillId="0" borderId="0" xfId="53" applyFont="1" applyAlignment="1">
      <alignment horizontal="center" vertical="center"/>
    </xf>
    <xf numFmtId="0" fontId="43" fillId="0" borderId="0" xfId="53" applyFont="1" applyFill="1" applyAlignment="1">
      <alignment vertical="center"/>
    </xf>
    <xf numFmtId="0" fontId="43" fillId="0" borderId="0" xfId="53" applyFont="1" applyAlignment="1">
      <alignment horizontal="center" vertical="center"/>
    </xf>
    <xf numFmtId="10" fontId="43" fillId="0" borderId="0" xfId="53" applyNumberFormat="1" applyFont="1" applyAlignment="1">
      <alignment horizontal="center" vertical="center"/>
    </xf>
    <xf numFmtId="0" fontId="44" fillId="0" borderId="0" xfId="53" applyFont="1" applyAlignment="1">
      <alignment vertical="center" wrapText="1"/>
    </xf>
    <xf numFmtId="0" fontId="46" fillId="0" borderId="0" xfId="53" applyFont="1" applyAlignment="1">
      <alignment vertical="center"/>
    </xf>
    <xf numFmtId="0" fontId="43" fillId="0" borderId="0" xfId="53" applyFont="1" applyFill="1" applyAlignment="1">
      <alignment horizontal="center" vertical="center"/>
    </xf>
    <xf numFmtId="10" fontId="37" fillId="32" borderId="69" xfId="53" applyNumberFormat="1" applyFont="1" applyFill="1" applyBorder="1" applyAlignment="1">
      <alignment horizontal="center" vertical="center" wrapText="1"/>
    </xf>
    <xf numFmtId="0" fontId="42" fillId="0" borderId="0" xfId="53" applyFont="1" applyFill="1" applyBorder="1" applyAlignment="1">
      <alignment horizontal="center" vertical="center"/>
    </xf>
    <xf numFmtId="0" fontId="48" fillId="0" borderId="0" xfId="53" applyFont="1" applyFill="1" applyBorder="1" applyAlignment="1">
      <alignment horizontal="center" vertical="center"/>
    </xf>
    <xf numFmtId="10" fontId="48" fillId="0" borderId="0" xfId="53" applyNumberFormat="1" applyFont="1" applyFill="1" applyBorder="1" applyAlignment="1">
      <alignment horizontal="center" vertical="center" wrapText="1"/>
    </xf>
    <xf numFmtId="0" fontId="37" fillId="33" borderId="0" xfId="53" applyFont="1" applyFill="1" applyBorder="1" applyAlignment="1">
      <alignment horizontal="center" vertical="center"/>
    </xf>
    <xf numFmtId="0" fontId="47" fillId="33" borderId="0" xfId="53" applyFont="1" applyFill="1" applyBorder="1" applyAlignment="1">
      <alignment horizontal="center" vertical="center"/>
    </xf>
    <xf numFmtId="10" fontId="48" fillId="33" borderId="0" xfId="53" applyNumberFormat="1" applyFont="1" applyFill="1" applyBorder="1" applyAlignment="1">
      <alignment horizontal="center" vertical="center" wrapText="1"/>
    </xf>
    <xf numFmtId="0" fontId="42" fillId="33" borderId="0" xfId="53" applyFont="1" applyFill="1"/>
    <xf numFmtId="0" fontId="43" fillId="31" borderId="69" xfId="53" applyFont="1" applyFill="1" applyBorder="1" applyAlignment="1">
      <alignment horizontal="left" vertical="center" wrapText="1"/>
    </xf>
    <xf numFmtId="0" fontId="43" fillId="31" borderId="69" xfId="53" applyFont="1" applyFill="1" applyBorder="1" applyAlignment="1">
      <alignment horizontal="center" vertical="center"/>
    </xf>
    <xf numFmtId="0" fontId="42" fillId="31" borderId="69" xfId="53" applyNumberFormat="1" applyFont="1" applyFill="1" applyBorder="1" applyAlignment="1">
      <alignment horizontal="center" vertical="center"/>
    </xf>
    <xf numFmtId="169" fontId="42" fillId="34" borderId="69" xfId="53" applyNumberFormat="1" applyFont="1" applyFill="1" applyBorder="1" applyAlignment="1">
      <alignment horizontal="center" vertical="center"/>
    </xf>
    <xf numFmtId="1" fontId="48" fillId="0" borderId="69" xfId="53" applyNumberFormat="1" applyFont="1" applyFill="1" applyBorder="1"/>
    <xf numFmtId="0" fontId="43" fillId="0" borderId="69" xfId="53" applyFont="1" applyBorder="1" applyAlignment="1">
      <alignment horizontal="left" vertical="center" wrapText="1"/>
    </xf>
    <xf numFmtId="0" fontId="43" fillId="0" borderId="69" xfId="53" applyFont="1" applyBorder="1" applyAlignment="1">
      <alignment horizontal="center" vertical="center"/>
    </xf>
    <xf numFmtId="0" fontId="43" fillId="0" borderId="69" xfId="58" applyNumberFormat="1" applyFont="1" applyFill="1" applyBorder="1" applyAlignment="1">
      <alignment horizontal="center" vertical="center"/>
    </xf>
    <xf numFmtId="169" fontId="42" fillId="0" borderId="69" xfId="53" applyNumberFormat="1" applyFont="1" applyFill="1" applyBorder="1" applyAlignment="1">
      <alignment horizontal="center" vertical="center"/>
    </xf>
    <xf numFmtId="0" fontId="43" fillId="0" borderId="69" xfId="58" applyNumberFormat="1" applyFont="1" applyBorder="1" applyAlignment="1">
      <alignment horizontal="center" vertical="center"/>
    </xf>
    <xf numFmtId="0" fontId="43" fillId="31" borderId="69" xfId="59" applyNumberFormat="1" applyFont="1" applyFill="1" applyBorder="1" applyAlignment="1" applyProtection="1">
      <alignment horizontal="center" vertical="center"/>
    </xf>
    <xf numFmtId="0" fontId="43" fillId="0" borderId="69" xfId="59" applyNumberFormat="1" applyFont="1" applyFill="1" applyBorder="1" applyAlignment="1" applyProtection="1">
      <alignment horizontal="center" vertical="center"/>
    </xf>
    <xf numFmtId="0" fontId="42" fillId="0" borderId="69" xfId="59" applyNumberFormat="1" applyFont="1" applyFill="1" applyBorder="1" applyAlignment="1" applyProtection="1">
      <alignment horizontal="center" vertical="center"/>
    </xf>
    <xf numFmtId="0" fontId="42" fillId="31" borderId="69" xfId="59" applyNumberFormat="1" applyFont="1" applyFill="1" applyBorder="1" applyAlignment="1" applyProtection="1">
      <alignment horizontal="center" vertical="center"/>
    </xf>
    <xf numFmtId="0" fontId="43" fillId="0" borderId="69" xfId="53" applyFont="1" applyFill="1" applyBorder="1" applyAlignment="1">
      <alignment horizontal="center" vertical="center"/>
    </xf>
    <xf numFmtId="0" fontId="43" fillId="0" borderId="69" xfId="53" applyFont="1" applyFill="1" applyBorder="1" applyAlignment="1">
      <alignment horizontal="left" vertical="center" wrapText="1"/>
    </xf>
    <xf numFmtId="0" fontId="43" fillId="30" borderId="69" xfId="53" applyFont="1" applyFill="1" applyBorder="1" applyAlignment="1">
      <alignment horizontal="left" vertical="center" wrapText="1"/>
    </xf>
    <xf numFmtId="0" fontId="42" fillId="30" borderId="69" xfId="59" applyNumberFormat="1" applyFont="1" applyFill="1" applyBorder="1" applyAlignment="1" applyProtection="1">
      <alignment horizontal="center" vertical="center"/>
    </xf>
    <xf numFmtId="0" fontId="43" fillId="30" borderId="69" xfId="53" applyFont="1" applyFill="1" applyBorder="1" applyAlignment="1">
      <alignment horizontal="center" vertical="center"/>
    </xf>
    <xf numFmtId="0" fontId="43" fillId="30" borderId="69" xfId="59" applyNumberFormat="1" applyFont="1" applyFill="1" applyBorder="1" applyAlignment="1" applyProtection="1">
      <alignment horizontal="center" vertical="center"/>
    </xf>
    <xf numFmtId="0" fontId="43" fillId="0" borderId="0" xfId="53" applyFont="1" applyBorder="1" applyAlignment="1">
      <alignment horizontal="center" vertical="center" wrapText="1"/>
    </xf>
    <xf numFmtId="0" fontId="43" fillId="0" borderId="0" xfId="53" applyFont="1" applyBorder="1" applyAlignment="1">
      <alignment horizontal="center" vertical="center"/>
    </xf>
    <xf numFmtId="0" fontId="43" fillId="0" borderId="0" xfId="53" applyNumberFormat="1" applyFont="1" applyBorder="1" applyAlignment="1">
      <alignment horizontal="center" vertical="center"/>
    </xf>
    <xf numFmtId="0" fontId="37" fillId="33" borderId="0" xfId="53" applyFont="1" applyFill="1" applyBorder="1" applyAlignment="1">
      <alignment horizontal="center" vertical="center" wrapText="1"/>
    </xf>
    <xf numFmtId="0" fontId="48" fillId="33" borderId="0" xfId="53" applyFont="1" applyFill="1" applyBorder="1" applyAlignment="1">
      <alignment horizontal="center" vertical="center"/>
    </xf>
    <xf numFmtId="0" fontId="48" fillId="33" borderId="0" xfId="53" applyNumberFormat="1" applyFont="1" applyFill="1" applyBorder="1" applyAlignment="1">
      <alignment horizontal="center" vertical="center" wrapText="1"/>
    </xf>
    <xf numFmtId="0" fontId="43" fillId="0" borderId="0" xfId="53" applyFont="1" applyFill="1" applyBorder="1" applyAlignment="1">
      <alignment horizontal="center" vertical="center" wrapText="1"/>
    </xf>
    <xf numFmtId="0" fontId="43" fillId="0" borderId="0" xfId="53" applyFont="1" applyFill="1" applyBorder="1" applyAlignment="1">
      <alignment horizontal="center" vertical="center"/>
    </xf>
    <xf numFmtId="0" fontId="43" fillId="0" borderId="0" xfId="59" applyNumberFormat="1" applyFont="1" applyFill="1" applyBorder="1" applyAlignment="1" applyProtection="1">
      <alignment horizontal="center" vertical="center"/>
    </xf>
    <xf numFmtId="0" fontId="42" fillId="0" borderId="0" xfId="59" applyNumberFormat="1" applyFont="1" applyFill="1" applyBorder="1" applyAlignment="1" applyProtection="1">
      <alignment horizontal="center" vertical="center"/>
    </xf>
    <xf numFmtId="0" fontId="29" fillId="33" borderId="0" xfId="53" applyFont="1" applyFill="1" applyBorder="1" applyAlignment="1">
      <alignment horizontal="center" vertical="center" wrapText="1"/>
    </xf>
    <xf numFmtId="0" fontId="50" fillId="33" borderId="0" xfId="53" applyFont="1" applyFill="1" applyBorder="1" applyAlignment="1">
      <alignment horizontal="center" vertical="center"/>
    </xf>
    <xf numFmtId="0" fontId="51" fillId="33" borderId="0" xfId="59" applyNumberFormat="1" applyFont="1" applyFill="1" applyBorder="1" applyAlignment="1" applyProtection="1">
      <alignment horizontal="center" vertical="center"/>
    </xf>
    <xf numFmtId="0" fontId="43" fillId="0" borderId="0" xfId="53" applyFont="1" applyAlignment="1">
      <alignment horizontal="center" vertical="center" wrapText="1"/>
    </xf>
    <xf numFmtId="0" fontId="42" fillId="0" borderId="69" xfId="53" applyFont="1" applyFill="1" applyBorder="1" applyAlignment="1">
      <alignment horizontal="left" vertical="center" wrapText="1"/>
    </xf>
    <xf numFmtId="0" fontId="42" fillId="0" borderId="69" xfId="53" applyFont="1" applyFill="1" applyBorder="1" applyAlignment="1">
      <alignment horizontal="center" vertical="center"/>
    </xf>
    <xf numFmtId="0" fontId="43" fillId="33" borderId="0" xfId="59" applyNumberFormat="1" applyFont="1" applyFill="1" applyBorder="1" applyAlignment="1" applyProtection="1">
      <alignment horizontal="center" vertical="center"/>
    </xf>
    <xf numFmtId="0" fontId="43" fillId="0" borderId="0" xfId="53" applyFont="1" applyFill="1" applyBorder="1" applyAlignment="1">
      <alignment vertical="center"/>
    </xf>
    <xf numFmtId="0" fontId="43" fillId="30" borderId="0" xfId="53" applyFont="1" applyFill="1" applyBorder="1" applyAlignment="1">
      <alignment horizontal="center" vertical="center" wrapText="1"/>
    </xf>
    <xf numFmtId="0" fontId="43" fillId="30" borderId="0" xfId="53" applyFont="1" applyFill="1" applyBorder="1" applyAlignment="1">
      <alignment horizontal="center" vertical="center"/>
    </xf>
    <xf numFmtId="0" fontId="43" fillId="30" borderId="0" xfId="59" applyNumberFormat="1" applyFont="1" applyFill="1" applyBorder="1" applyAlignment="1" applyProtection="1">
      <alignment horizontal="center" vertical="center"/>
    </xf>
    <xf numFmtId="0" fontId="43" fillId="0" borderId="0" xfId="53" applyFont="1" applyFill="1" applyAlignment="1">
      <alignment horizontal="center" vertical="center" wrapText="1"/>
    </xf>
    <xf numFmtId="0" fontId="43" fillId="30" borderId="0" xfId="53" applyFont="1" applyFill="1" applyAlignment="1">
      <alignment vertical="center"/>
    </xf>
    <xf numFmtId="0" fontId="43" fillId="30" borderId="0" xfId="53" applyFont="1" applyFill="1" applyBorder="1" applyAlignment="1">
      <alignment vertical="center"/>
    </xf>
    <xf numFmtId="0" fontId="42" fillId="0" borderId="0" xfId="53" applyFont="1" applyAlignment="1">
      <alignment wrapText="1"/>
    </xf>
    <xf numFmtId="0" fontId="4" fillId="0" borderId="0" xfId="53" applyFill="1"/>
    <xf numFmtId="0" fontId="52" fillId="31" borderId="69" xfId="53" applyFont="1" applyFill="1" applyBorder="1" applyAlignment="1">
      <alignment horizontal="left" vertical="center" wrapText="1"/>
    </xf>
    <xf numFmtId="0" fontId="52" fillId="31" borderId="69" xfId="53" applyFont="1" applyFill="1" applyBorder="1" applyAlignment="1">
      <alignment horizontal="center" vertical="center"/>
    </xf>
    <xf numFmtId="169" fontId="53" fillId="34" borderId="69" xfId="53" applyNumberFormat="1" applyFont="1" applyFill="1" applyBorder="1" applyAlignment="1">
      <alignment horizontal="center" vertical="center"/>
    </xf>
    <xf numFmtId="0" fontId="53" fillId="31" borderId="69" xfId="53" applyNumberFormat="1" applyFont="1" applyFill="1" applyBorder="1" applyAlignment="1">
      <alignment horizontal="center" vertical="center"/>
    </xf>
    <xf numFmtId="1" fontId="53" fillId="35" borderId="69" xfId="53" applyNumberFormat="1" applyFont="1" applyFill="1" applyBorder="1"/>
    <xf numFmtId="0" fontId="43" fillId="36" borderId="69" xfId="53" applyFont="1" applyFill="1" applyBorder="1" applyAlignment="1">
      <alignment horizontal="right" vertical="center" wrapText="1" indent="1"/>
    </xf>
    <xf numFmtId="0" fontId="52" fillId="0" borderId="69" xfId="53" applyFont="1" applyBorder="1" applyAlignment="1">
      <alignment horizontal="left" vertical="center" wrapText="1"/>
    </xf>
    <xf numFmtId="0" fontId="43" fillId="36" borderId="69" xfId="53" applyFont="1" applyFill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1" fillId="24" borderId="10" xfId="0" applyFont="1" applyFill="1" applyBorder="1" applyAlignment="1">
      <alignment horizontal="center"/>
    </xf>
    <xf numFmtId="0" fontId="11" fillId="24" borderId="14" xfId="0" applyFont="1" applyFill="1" applyBorder="1" applyAlignment="1">
      <alignment horizontal="center"/>
    </xf>
    <xf numFmtId="0" fontId="6" fillId="0" borderId="31" xfId="0" applyFont="1" applyBorder="1" applyAlignment="1"/>
    <xf numFmtId="0" fontId="6" fillId="0" borderId="0" xfId="0" applyFont="1" applyBorder="1" applyAlignment="1"/>
    <xf numFmtId="0" fontId="11" fillId="24" borderId="2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0" fontId="11" fillId="24" borderId="19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20" xfId="32" applyNumberFormat="1" applyFont="1" applyFill="1" applyBorder="1" applyAlignment="1">
      <alignment horizontal="center" vertical="center"/>
    </xf>
    <xf numFmtId="1" fontId="11" fillId="24" borderId="56" xfId="32" applyNumberFormat="1" applyFont="1" applyFill="1" applyBorder="1" applyAlignment="1">
      <alignment horizontal="center" vertical="center"/>
    </xf>
    <xf numFmtId="1" fontId="11" fillId="24" borderId="18" xfId="32" applyNumberFormat="1" applyFont="1" applyFill="1" applyBorder="1" applyAlignment="1">
      <alignment horizontal="center" vertical="center"/>
    </xf>
    <xf numFmtId="0" fontId="31" fillId="0" borderId="0" xfId="52" applyFont="1" applyAlignment="1">
      <alignment horizontal="center" vertical="center"/>
    </xf>
    <xf numFmtId="0" fontId="31" fillId="0" borderId="0" xfId="52" applyFont="1" applyAlignment="1"/>
    <xf numFmtId="0" fontId="31" fillId="24" borderId="22" xfId="52" applyFont="1" applyFill="1" applyBorder="1" applyAlignment="1">
      <alignment horizontal="center" vertical="center"/>
    </xf>
    <xf numFmtId="0" fontId="31" fillId="24" borderId="17" xfId="52" applyFont="1" applyFill="1" applyBorder="1" applyAlignment="1">
      <alignment horizontal="center" vertical="center"/>
    </xf>
    <xf numFmtId="0" fontId="31" fillId="24" borderId="19" xfId="52" applyFont="1" applyFill="1" applyBorder="1" applyAlignment="1">
      <alignment horizontal="center" vertical="center"/>
    </xf>
    <xf numFmtId="0" fontId="31" fillId="24" borderId="65" xfId="52" applyFont="1" applyFill="1" applyBorder="1" applyAlignment="1">
      <alignment horizontal="center" vertical="center" wrapText="1"/>
    </xf>
    <xf numFmtId="0" fontId="31" fillId="24" borderId="28" xfId="52" applyFont="1" applyFill="1" applyBorder="1" applyAlignment="1">
      <alignment horizontal="center" vertical="center" wrapText="1"/>
    </xf>
    <xf numFmtId="0" fontId="31" fillId="24" borderId="47" xfId="52" applyFont="1" applyFill="1" applyBorder="1" applyAlignment="1">
      <alignment horizontal="center" vertical="center" wrapText="1"/>
    </xf>
    <xf numFmtId="0" fontId="33" fillId="24" borderId="41" xfId="52" applyFont="1" applyFill="1" applyBorder="1" applyAlignment="1">
      <alignment horizontal="center" vertical="center" wrapText="1"/>
    </xf>
    <xf numFmtId="0" fontId="33" fillId="24" borderId="11" xfId="52" applyFont="1" applyFill="1" applyBorder="1" applyAlignment="1">
      <alignment horizontal="center" vertical="center" wrapText="1"/>
    </xf>
    <xf numFmtId="0" fontId="33" fillId="24" borderId="12" xfId="52" applyFont="1" applyFill="1" applyBorder="1" applyAlignment="1">
      <alignment horizontal="center" vertical="center" wrapText="1"/>
    </xf>
    <xf numFmtId="2" fontId="35" fillId="24" borderId="43" xfId="52" applyNumberFormat="1" applyFont="1" applyFill="1" applyBorder="1" applyAlignment="1">
      <alignment horizontal="center" vertical="center"/>
    </xf>
    <xf numFmtId="0" fontId="4" fillId="0" borderId="37" xfId="52" applyBorder="1" applyAlignment="1">
      <alignment horizontal="center" vertical="center"/>
    </xf>
    <xf numFmtId="0" fontId="4" fillId="0" borderId="38" xfId="52" applyBorder="1" applyAlignment="1">
      <alignment horizontal="center" vertical="center"/>
    </xf>
    <xf numFmtId="2" fontId="31" fillId="24" borderId="43" xfId="32" quotePrefix="1" applyNumberFormat="1" applyFont="1" applyFill="1" applyBorder="1" applyAlignment="1">
      <alignment horizontal="center" vertical="center"/>
    </xf>
    <xf numFmtId="0" fontId="11" fillId="0" borderId="57" xfId="53" applyFont="1" applyBorder="1" applyAlignment="1">
      <alignment horizontal="center" vertical="center" wrapText="1"/>
    </xf>
    <xf numFmtId="0" fontId="11" fillId="0" borderId="60" xfId="53" applyFont="1" applyBorder="1" applyAlignment="1">
      <alignment horizontal="center" vertical="center" wrapText="1"/>
    </xf>
    <xf numFmtId="0" fontId="11" fillId="0" borderId="0" xfId="53" applyFont="1" applyBorder="1" applyAlignment="1">
      <alignment horizontal="center" vertical="center" wrapText="1"/>
    </xf>
    <xf numFmtId="0" fontId="11" fillId="0" borderId="62" xfId="53" applyFont="1" applyBorder="1" applyAlignment="1">
      <alignment horizontal="center" vertical="center" wrapText="1"/>
    </xf>
    <xf numFmtId="0" fontId="11" fillId="0" borderId="58" xfId="53" applyFont="1" applyBorder="1" applyAlignment="1">
      <alignment horizontal="center" vertical="center" wrapText="1"/>
    </xf>
    <xf numFmtId="0" fontId="11" fillId="0" borderId="56" xfId="53" applyFont="1" applyBorder="1" applyAlignment="1">
      <alignment horizontal="center" vertical="center" wrapText="1"/>
    </xf>
    <xf numFmtId="0" fontId="11" fillId="0" borderId="18" xfId="53" applyFont="1" applyBorder="1" applyAlignment="1">
      <alignment horizontal="center" vertical="center" wrapText="1"/>
    </xf>
    <xf numFmtId="0" fontId="6" fillId="0" borderId="0" xfId="53" applyFont="1" applyAlignment="1">
      <alignment horizontal="center" vertical="center"/>
    </xf>
    <xf numFmtId="0" fontId="11" fillId="24" borderId="22" xfId="53" applyFont="1" applyFill="1" applyBorder="1" applyAlignment="1">
      <alignment horizontal="center" vertical="center" wrapText="1"/>
    </xf>
    <xf numFmtId="0" fontId="11" fillId="24" borderId="17" xfId="53" applyFont="1" applyFill="1" applyBorder="1" applyAlignment="1">
      <alignment horizontal="center" vertical="center" wrapText="1"/>
    </xf>
    <xf numFmtId="0" fontId="11" fillId="24" borderId="19" xfId="53" applyFont="1" applyFill="1" applyBorder="1" applyAlignment="1">
      <alignment horizontal="center" vertical="center" wrapText="1"/>
    </xf>
    <xf numFmtId="0" fontId="11" fillId="24" borderId="10" xfId="53" applyFont="1" applyFill="1" applyBorder="1" applyAlignment="1">
      <alignment horizontal="center" vertical="center" wrapText="1"/>
    </xf>
    <xf numFmtId="0" fontId="11" fillId="24" borderId="11" xfId="53" applyFont="1" applyFill="1" applyBorder="1" applyAlignment="1">
      <alignment horizontal="center" vertical="center" wrapText="1"/>
    </xf>
    <xf numFmtId="0" fontId="11" fillId="24" borderId="12" xfId="53" applyFont="1" applyFill="1" applyBorder="1" applyAlignment="1">
      <alignment horizontal="center" vertical="center" wrapText="1"/>
    </xf>
    <xf numFmtId="0" fontId="5" fillId="24" borderId="13" xfId="53" applyFont="1" applyFill="1" applyBorder="1" applyAlignment="1">
      <alignment horizontal="center" vertical="center"/>
    </xf>
    <xf numFmtId="0" fontId="5" fillId="24" borderId="59" xfId="53" applyFont="1" applyFill="1" applyBorder="1" applyAlignment="1">
      <alignment horizontal="center" vertical="center"/>
    </xf>
    <xf numFmtId="1" fontId="11" fillId="24" borderId="57" xfId="54" applyNumberFormat="1" applyFont="1" applyFill="1" applyBorder="1" applyAlignment="1">
      <alignment horizontal="center" vertical="center"/>
    </xf>
    <xf numFmtId="1" fontId="11" fillId="24" borderId="60" xfId="54" applyNumberFormat="1" applyFont="1" applyFill="1" applyBorder="1" applyAlignment="1">
      <alignment horizontal="center" vertical="center"/>
    </xf>
    <xf numFmtId="1" fontId="11" fillId="24" borderId="66" xfId="54" applyNumberFormat="1" applyFont="1" applyFill="1" applyBorder="1" applyAlignment="1">
      <alignment horizontal="center" vertical="center"/>
    </xf>
    <xf numFmtId="0" fontId="39" fillId="25" borderId="17" xfId="56" applyFont="1" applyFill="1" applyBorder="1" applyAlignment="1">
      <alignment horizontal="center" vertical="center" wrapText="1"/>
    </xf>
    <xf numFmtId="0" fontId="40" fillId="25" borderId="17" xfId="56" applyFont="1" applyFill="1" applyBorder="1" applyAlignment="1">
      <alignment horizontal="center" vertical="center" wrapText="1"/>
    </xf>
    <xf numFmtId="0" fontId="40" fillId="25" borderId="17" xfId="56" applyFont="1" applyFill="1" applyBorder="1" applyAlignment="1">
      <alignment wrapText="1"/>
    </xf>
    <xf numFmtId="0" fontId="40" fillId="25" borderId="19" xfId="56" applyFont="1" applyFill="1" applyBorder="1" applyAlignment="1">
      <alignment wrapText="1"/>
    </xf>
    <xf numFmtId="0" fontId="39" fillId="25" borderId="17" xfId="56" applyFont="1" applyFill="1" applyBorder="1" applyAlignment="1"/>
    <xf numFmtId="0" fontId="39" fillId="25" borderId="11" xfId="56" applyFont="1" applyFill="1" applyBorder="1" applyAlignment="1"/>
    <xf numFmtId="0" fontId="39" fillId="25" borderId="27" xfId="56" applyFont="1" applyFill="1" applyBorder="1" applyAlignment="1">
      <alignment horizontal="center" vertical="center"/>
    </xf>
    <xf numFmtId="0" fontId="40" fillId="25" borderId="63" xfId="56" applyFont="1" applyFill="1" applyBorder="1" applyAlignment="1"/>
    <xf numFmtId="0" fontId="40" fillId="25" borderId="64" xfId="56" applyFont="1" applyFill="1" applyBorder="1" applyAlignment="1"/>
    <xf numFmtId="0" fontId="40" fillId="25" borderId="35" xfId="56" applyFont="1" applyFill="1" applyBorder="1" applyAlignment="1"/>
    <xf numFmtId="0" fontId="40" fillId="25" borderId="61" xfId="56" applyFont="1" applyFill="1" applyBorder="1" applyAlignment="1"/>
    <xf numFmtId="0" fontId="40" fillId="25" borderId="62" xfId="56" applyFont="1" applyFill="1" applyBorder="1" applyAlignment="1"/>
    <xf numFmtId="0" fontId="39" fillId="25" borderId="20" xfId="56" applyFont="1" applyFill="1" applyBorder="1" applyAlignment="1">
      <alignment horizontal="center" vertical="center"/>
    </xf>
    <xf numFmtId="0" fontId="40" fillId="25" borderId="56" xfId="56" applyFont="1" applyFill="1" applyBorder="1" applyAlignment="1"/>
    <xf numFmtId="0" fontId="40" fillId="25" borderId="18" xfId="56" applyFont="1" applyFill="1" applyBorder="1" applyAlignment="1"/>
    <xf numFmtId="0" fontId="39" fillId="25" borderId="11" xfId="56" applyFont="1" applyFill="1" applyBorder="1" applyAlignment="1">
      <alignment wrapText="1"/>
    </xf>
    <xf numFmtId="0" fontId="39" fillId="25" borderId="17" xfId="56" applyFont="1" applyFill="1" applyBorder="1" applyAlignment="1">
      <alignment wrapText="1"/>
    </xf>
    <xf numFmtId="0" fontId="40" fillId="25" borderId="11" xfId="56" applyFont="1" applyFill="1" applyBorder="1" applyAlignment="1">
      <alignment horizontal="center" vertical="center" wrapText="1"/>
    </xf>
    <xf numFmtId="0" fontId="40" fillId="25" borderId="11" xfId="56" applyFont="1" applyFill="1" applyBorder="1" applyAlignment="1"/>
    <xf numFmtId="0" fontId="40" fillId="25" borderId="11" xfId="56" applyFont="1" applyFill="1" applyBorder="1" applyAlignment="1">
      <alignment wrapText="1"/>
    </xf>
    <xf numFmtId="0" fontId="39" fillId="25" borderId="11" xfId="56" applyFont="1" applyFill="1" applyBorder="1" applyAlignment="1">
      <alignment horizontal="center" vertical="center"/>
    </xf>
    <xf numFmtId="0" fontId="39" fillId="25" borderId="15" xfId="56" applyFont="1" applyFill="1" applyBorder="1" applyAlignment="1">
      <alignment horizontal="center" vertical="center"/>
    </xf>
    <xf numFmtId="0" fontId="45" fillId="0" borderId="0" xfId="53" applyFont="1" applyBorder="1" applyAlignment="1">
      <alignment horizontal="center" vertical="center" wrapText="1"/>
    </xf>
    <xf numFmtId="0" fontId="46" fillId="0" borderId="0" xfId="53" applyFont="1" applyBorder="1" applyAlignment="1">
      <alignment horizontal="center" vertical="center" wrapText="1"/>
    </xf>
    <xf numFmtId="0" fontId="46" fillId="32" borderId="69" xfId="53" applyFont="1" applyFill="1" applyBorder="1" applyAlignment="1">
      <alignment horizontal="center" vertical="center" wrapText="1"/>
    </xf>
    <xf numFmtId="10" fontId="47" fillId="32" borderId="69" xfId="53" applyNumberFormat="1" applyFont="1" applyFill="1" applyBorder="1" applyAlignment="1">
      <alignment horizontal="center" vertical="center" wrapText="1"/>
    </xf>
    <xf numFmtId="10" fontId="48" fillId="32" borderId="69" xfId="53" applyNumberFormat="1" applyFont="1" applyFill="1" applyBorder="1" applyAlignment="1">
      <alignment horizontal="center" vertical="center" wrapText="1"/>
    </xf>
    <xf numFmtId="0" fontId="43" fillId="36" borderId="69" xfId="53" applyFont="1" applyFill="1" applyBorder="1" applyAlignment="1">
      <alignment horizontal="right" vertical="center" wrapText="1"/>
    </xf>
    <xf numFmtId="0" fontId="44" fillId="0" borderId="0" xfId="53" applyFont="1" applyBorder="1" applyAlignment="1">
      <alignment horizontal="center" vertical="center" wrapText="1"/>
    </xf>
  </cellXfs>
  <cellStyles count="6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tas" xfId="34" builtinId="10" customBuiltin="1"/>
    <cellStyle name="Porcentaje 2" xfId="46"/>
    <cellStyle name="Porcentaje 3" xfId="49"/>
    <cellStyle name="Porcentaje 4" xfId="51"/>
    <cellStyle name="Porcentaje 5" xfId="57"/>
    <cellStyle name="Porcentaje 6" xfId="59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2638425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1937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123825</xdr:rowOff>
    </xdr:from>
    <xdr:to>
      <xdr:col>1</xdr:col>
      <xdr:colOff>2638425</xdr:colOff>
      <xdr:row>5</xdr:row>
      <xdr:rowOff>114300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23825"/>
          <a:ext cx="261937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4" zoomScaleNormal="75" zoomScaleSheetLayoutView="100" workbookViewId="0">
      <selection activeCell="A7" sqref="A7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66" t="s">
        <v>89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8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71" t="s">
        <v>161</v>
      </c>
      <c r="B3" s="372"/>
      <c r="C3" s="372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165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73" t="s">
        <v>3</v>
      </c>
      <c r="B9" s="376" t="s">
        <v>0</v>
      </c>
      <c r="C9" s="376" t="s">
        <v>1</v>
      </c>
      <c r="D9" s="75"/>
      <c r="E9" s="75"/>
      <c r="F9" s="369"/>
      <c r="G9" s="369"/>
      <c r="H9" s="369"/>
      <c r="I9" s="369"/>
      <c r="J9" s="369"/>
      <c r="K9" s="370"/>
      <c r="L9" s="79"/>
      <c r="M9" s="4"/>
      <c r="N9" s="4"/>
      <c r="O9" s="73"/>
    </row>
    <row r="10" spans="1:15" x14ac:dyDescent="0.2">
      <c r="A10" s="374"/>
      <c r="B10" s="377"/>
      <c r="C10" s="377"/>
      <c r="D10" s="76"/>
      <c r="E10" s="76">
        <v>2006</v>
      </c>
      <c r="F10" s="3">
        <v>2015</v>
      </c>
      <c r="G10" s="3">
        <v>2016</v>
      </c>
      <c r="H10" s="379">
        <v>2016</v>
      </c>
      <c r="I10" s="380"/>
      <c r="J10" s="380"/>
      <c r="K10" s="381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75"/>
      <c r="B11" s="378"/>
      <c r="C11" s="378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>
        <v>0</v>
      </c>
      <c r="J13" s="57">
        <v>0</v>
      </c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>
        <v>100</v>
      </c>
      <c r="J14" s="105">
        <v>27</v>
      </c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>
        <v>139</v>
      </c>
      <c r="J15" s="105">
        <v>156</v>
      </c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>
        <v>28</v>
      </c>
      <c r="J16" s="105">
        <v>44</v>
      </c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>
        <v>40</v>
      </c>
      <c r="J17" s="105">
        <v>55</v>
      </c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>
        <v>234</v>
      </c>
      <c r="J18" s="105">
        <v>238</v>
      </c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>
        <v>18</v>
      </c>
      <c r="J19" s="105">
        <v>25</v>
      </c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>
        <v>8</v>
      </c>
      <c r="J20" s="61">
        <v>7</v>
      </c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>
        <v>13</v>
      </c>
      <c r="J21" s="105">
        <v>1</v>
      </c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>
        <v>110</v>
      </c>
      <c r="J22" s="105">
        <v>99</v>
      </c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>
        <v>20</v>
      </c>
      <c r="J23" s="61">
        <v>90</v>
      </c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>
        <v>3400</v>
      </c>
      <c r="J36" s="105">
        <v>2150</v>
      </c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>
        <v>85</v>
      </c>
      <c r="J37" s="105">
        <v>270</v>
      </c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>
        <v>220</v>
      </c>
      <c r="J38" s="105">
        <v>310</v>
      </c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>
        <v>400</v>
      </c>
      <c r="J39" s="105">
        <v>400</v>
      </c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>
        <v>76</v>
      </c>
      <c r="J40" s="122">
        <v>86</v>
      </c>
      <c r="K40" s="123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>
        <v>4710</v>
      </c>
      <c r="J42" s="57">
        <v>5806</v>
      </c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>
        <v>5391</v>
      </c>
      <c r="J43" s="61">
        <v>6584</v>
      </c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>
        <v>100</v>
      </c>
      <c r="J45" s="57">
        <v>226</v>
      </c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>
        <v>700</v>
      </c>
      <c r="J46" s="130">
        <v>70</v>
      </c>
      <c r="K46" s="131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7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activeCell="A7" sqref="A7"/>
    </sheetView>
  </sheetViews>
  <sheetFormatPr baseColWidth="10" defaultRowHeight="12.75" x14ac:dyDescent="0.2"/>
  <cols>
    <col min="1" max="1" width="76.7109375" style="139" bestFit="1" customWidth="1"/>
    <col min="2" max="2" width="17" style="139" customWidth="1"/>
    <col min="3" max="3" width="13.5703125" style="139" customWidth="1"/>
    <col min="4" max="5" width="14.7109375" style="139" customWidth="1"/>
    <col min="6" max="6" width="13.5703125" style="139" customWidth="1"/>
    <col min="7" max="7" width="13.140625" style="139" customWidth="1"/>
    <col min="8" max="8" width="14" style="139" customWidth="1"/>
    <col min="9" max="9" width="14.28515625" style="139" customWidth="1"/>
    <col min="10" max="16384" width="11.42578125" style="139"/>
  </cols>
  <sheetData>
    <row r="1" spans="1:11" s="133" customFormat="1" ht="15.75" x14ac:dyDescent="0.25">
      <c r="A1" s="382" t="s">
        <v>89</v>
      </c>
      <c r="B1" s="382"/>
      <c r="C1" s="382"/>
      <c r="D1" s="382"/>
      <c r="E1" s="382"/>
      <c r="F1" s="382"/>
      <c r="G1" s="382"/>
      <c r="H1" s="382"/>
    </row>
    <row r="2" spans="1:11" s="133" customFormat="1" ht="15" customHeight="1" x14ac:dyDescent="0.25">
      <c r="A2" s="134"/>
      <c r="B2" s="134"/>
      <c r="C2" s="135"/>
    </row>
    <row r="3" spans="1:11" s="133" customFormat="1" ht="15" customHeight="1" x14ac:dyDescent="0.25">
      <c r="A3" s="383" t="s">
        <v>77</v>
      </c>
      <c r="B3" s="383"/>
      <c r="C3" s="383"/>
    </row>
    <row r="4" spans="1:11" s="133" customFormat="1" ht="15" customHeight="1" x14ac:dyDescent="0.25">
      <c r="A4" s="136" t="s">
        <v>54</v>
      </c>
      <c r="B4" s="134"/>
      <c r="C4" s="135"/>
    </row>
    <row r="5" spans="1:11" s="133" customFormat="1" ht="15" customHeight="1" x14ac:dyDescent="0.25">
      <c r="A5" s="136" t="s">
        <v>148</v>
      </c>
      <c r="B5" s="134"/>
      <c r="C5" s="135"/>
    </row>
    <row r="6" spans="1:11" s="133" customFormat="1" ht="15" customHeight="1" x14ac:dyDescent="0.25">
      <c r="A6" s="136"/>
      <c r="B6" s="134"/>
      <c r="C6" s="135"/>
    </row>
    <row r="7" spans="1:11" s="133" customFormat="1" ht="15" customHeight="1" x14ac:dyDescent="0.25">
      <c r="A7" s="30" t="s">
        <v>165</v>
      </c>
      <c r="B7" s="134"/>
      <c r="C7" s="135"/>
    </row>
    <row r="8" spans="1:11" ht="15" customHeight="1" thickBot="1" x14ac:dyDescent="0.25">
      <c r="A8" s="136"/>
      <c r="B8" s="137"/>
      <c r="C8" s="138"/>
    </row>
    <row r="9" spans="1:11" ht="13.5" thickBot="1" x14ac:dyDescent="0.25">
      <c r="A9" s="384" t="s">
        <v>3</v>
      </c>
      <c r="B9" s="387" t="s">
        <v>0</v>
      </c>
      <c r="C9" s="390" t="s">
        <v>1</v>
      </c>
      <c r="D9" s="393"/>
      <c r="E9" s="394"/>
      <c r="F9" s="394"/>
      <c r="G9" s="394"/>
      <c r="H9" s="394"/>
      <c r="I9" s="395"/>
    </row>
    <row r="10" spans="1:11" ht="16.5" thickBot="1" x14ac:dyDescent="0.25">
      <c r="A10" s="385"/>
      <c r="B10" s="388"/>
      <c r="C10" s="391"/>
      <c r="D10" s="132" t="s">
        <v>149</v>
      </c>
      <c r="E10" s="396" t="s">
        <v>150</v>
      </c>
      <c r="F10" s="394"/>
      <c r="G10" s="394"/>
      <c r="H10" s="394"/>
      <c r="I10" s="395"/>
    </row>
    <row r="11" spans="1:11" ht="26.25" thickBot="1" x14ac:dyDescent="0.25">
      <c r="A11" s="386"/>
      <c r="B11" s="389"/>
      <c r="C11" s="392"/>
      <c r="D11" s="140" t="s">
        <v>82</v>
      </c>
      <c r="E11" s="140" t="s">
        <v>2</v>
      </c>
      <c r="F11" s="140" t="s">
        <v>83</v>
      </c>
      <c r="G11" s="140" t="s">
        <v>86</v>
      </c>
      <c r="H11" s="140" t="s">
        <v>88</v>
      </c>
      <c r="I11" s="141" t="s">
        <v>90</v>
      </c>
    </row>
    <row r="12" spans="1:11" s="147" customFormat="1" ht="24.95" customHeight="1" x14ac:dyDescent="0.2">
      <c r="A12" s="142" t="s">
        <v>80</v>
      </c>
      <c r="B12" s="143" t="s">
        <v>5</v>
      </c>
      <c r="C12" s="143" t="s">
        <v>78</v>
      </c>
      <c r="D12" s="143">
        <v>1029</v>
      </c>
      <c r="E12" s="144">
        <f>D12*1.1</f>
        <v>1131.9000000000001</v>
      </c>
      <c r="F12" s="144">
        <v>256</v>
      </c>
      <c r="G12" s="144">
        <v>264</v>
      </c>
      <c r="H12" s="145">
        <v>255</v>
      </c>
      <c r="I12" s="146">
        <v>0</v>
      </c>
    </row>
    <row r="13" spans="1:11" s="147" customFormat="1" ht="24.95" customHeight="1" x14ac:dyDescent="0.2">
      <c r="A13" s="148" t="s">
        <v>79</v>
      </c>
      <c r="B13" s="149" t="s">
        <v>5</v>
      </c>
      <c r="C13" s="149" t="s">
        <v>78</v>
      </c>
      <c r="D13" s="143">
        <v>347</v>
      </c>
      <c r="E13" s="144">
        <f t="shared" ref="E13:E15" si="0">D13*1.1</f>
        <v>381.70000000000005</v>
      </c>
      <c r="F13" s="150">
        <v>102</v>
      </c>
      <c r="G13" s="150">
        <v>92</v>
      </c>
      <c r="H13" s="151">
        <v>186</v>
      </c>
      <c r="I13" s="152">
        <v>0</v>
      </c>
    </row>
    <row r="14" spans="1:11" s="147" customFormat="1" ht="24.95" customHeight="1" x14ac:dyDescent="0.2">
      <c r="A14" s="148" t="s">
        <v>81</v>
      </c>
      <c r="B14" s="149" t="s">
        <v>5</v>
      </c>
      <c r="C14" s="149" t="s">
        <v>78</v>
      </c>
      <c r="D14" s="149">
        <v>152</v>
      </c>
      <c r="E14" s="144">
        <f t="shared" si="0"/>
        <v>167.20000000000002</v>
      </c>
      <c r="F14" s="150">
        <v>31</v>
      </c>
      <c r="G14" s="150">
        <v>33</v>
      </c>
      <c r="H14" s="151">
        <v>39</v>
      </c>
      <c r="I14" s="152">
        <v>0</v>
      </c>
    </row>
    <row r="15" spans="1:11" ht="24.95" customHeight="1" x14ac:dyDescent="0.2">
      <c r="A15" s="153" t="s">
        <v>87</v>
      </c>
      <c r="B15" s="149" t="s">
        <v>5</v>
      </c>
      <c r="C15" s="149" t="s">
        <v>78</v>
      </c>
      <c r="D15" s="154">
        <v>1528</v>
      </c>
      <c r="E15" s="155">
        <f t="shared" si="0"/>
        <v>1680.8000000000002</v>
      </c>
      <c r="F15" s="156">
        <f>SUM(F12:F14)</f>
        <v>389</v>
      </c>
      <c r="G15" s="156">
        <f>SUM(G12:G14)</f>
        <v>389</v>
      </c>
      <c r="H15" s="156">
        <f>SUM(H12:H14)</f>
        <v>480</v>
      </c>
      <c r="I15" s="156">
        <f>SUM(I12:I14)</f>
        <v>0</v>
      </c>
      <c r="K15" s="157"/>
    </row>
    <row r="16" spans="1:11" ht="24.95" customHeight="1" thickBot="1" x14ac:dyDescent="0.25">
      <c r="A16" s="158"/>
      <c r="B16" s="159"/>
      <c r="C16" s="159"/>
      <c r="D16" s="159"/>
      <c r="E16" s="159"/>
      <c r="F16" s="159"/>
      <c r="G16" s="159"/>
      <c r="H16" s="160"/>
      <c r="I16" s="161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7" right="0.7" top="0.75" bottom="0.75" header="0.3" footer="0.3"/>
  <pageSetup paperSize="9" scale="7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19" zoomScaleNormal="100" zoomScaleSheetLayoutView="100" workbookViewId="0">
      <selection activeCell="A17" sqref="A17"/>
    </sheetView>
  </sheetViews>
  <sheetFormatPr baseColWidth="10" defaultRowHeight="12.75" x14ac:dyDescent="0.2"/>
  <cols>
    <col min="1" max="1" width="42.5703125" style="165" customWidth="1"/>
    <col min="2" max="3" width="11.42578125" style="165"/>
    <col min="4" max="4" width="13.140625" style="165" customWidth="1"/>
    <col min="5" max="7" width="12.5703125" style="165" hidden="1" customWidth="1"/>
    <col min="8" max="9" width="13.42578125" style="165" hidden="1" customWidth="1"/>
    <col min="10" max="10" width="11.7109375" style="165" customWidth="1"/>
    <col min="11" max="11" width="11.85546875" style="165" customWidth="1"/>
    <col min="12" max="12" width="14.140625" style="165" customWidth="1"/>
    <col min="13" max="14" width="11.85546875" style="165" customWidth="1"/>
    <col min="15" max="15" width="12.140625" style="166" customWidth="1"/>
    <col min="16" max="16" width="13.42578125" style="241" bestFit="1" customWidth="1"/>
    <col min="17" max="256" width="11.42578125" style="165"/>
    <col min="257" max="257" width="42.5703125" style="165" customWidth="1"/>
    <col min="258" max="259" width="11.42578125" style="165"/>
    <col min="260" max="260" width="13.140625" style="165" customWidth="1"/>
    <col min="261" max="265" width="0" style="165" hidden="1" customWidth="1"/>
    <col min="266" max="266" width="11.7109375" style="165" customWidth="1"/>
    <col min="267" max="267" width="11.85546875" style="165" customWidth="1"/>
    <col min="268" max="268" width="14.140625" style="165" customWidth="1"/>
    <col min="269" max="270" width="11.85546875" style="165" customWidth="1"/>
    <col min="271" max="271" width="12.140625" style="165" customWidth="1"/>
    <col min="272" max="272" width="13.42578125" style="165" bestFit="1" customWidth="1"/>
    <col min="273" max="512" width="11.42578125" style="165"/>
    <col min="513" max="513" width="42.5703125" style="165" customWidth="1"/>
    <col min="514" max="515" width="11.42578125" style="165"/>
    <col min="516" max="516" width="13.140625" style="165" customWidth="1"/>
    <col min="517" max="521" width="0" style="165" hidden="1" customWidth="1"/>
    <col min="522" max="522" width="11.7109375" style="165" customWidth="1"/>
    <col min="523" max="523" width="11.85546875" style="165" customWidth="1"/>
    <col min="524" max="524" width="14.140625" style="165" customWidth="1"/>
    <col min="525" max="526" width="11.85546875" style="165" customWidth="1"/>
    <col min="527" max="527" width="12.140625" style="165" customWidth="1"/>
    <col min="528" max="528" width="13.42578125" style="165" bestFit="1" customWidth="1"/>
    <col min="529" max="768" width="11.42578125" style="165"/>
    <col min="769" max="769" width="42.5703125" style="165" customWidth="1"/>
    <col min="770" max="771" width="11.42578125" style="165"/>
    <col min="772" max="772" width="13.140625" style="165" customWidth="1"/>
    <col min="773" max="777" width="0" style="165" hidden="1" customWidth="1"/>
    <col min="778" max="778" width="11.7109375" style="165" customWidth="1"/>
    <col min="779" max="779" width="11.85546875" style="165" customWidth="1"/>
    <col min="780" max="780" width="14.140625" style="165" customWidth="1"/>
    <col min="781" max="782" width="11.85546875" style="165" customWidth="1"/>
    <col min="783" max="783" width="12.140625" style="165" customWidth="1"/>
    <col min="784" max="784" width="13.42578125" style="165" bestFit="1" customWidth="1"/>
    <col min="785" max="1024" width="11.42578125" style="165"/>
    <col min="1025" max="1025" width="42.5703125" style="165" customWidth="1"/>
    <col min="1026" max="1027" width="11.42578125" style="165"/>
    <col min="1028" max="1028" width="13.140625" style="165" customWidth="1"/>
    <col min="1029" max="1033" width="0" style="165" hidden="1" customWidth="1"/>
    <col min="1034" max="1034" width="11.7109375" style="165" customWidth="1"/>
    <col min="1035" max="1035" width="11.85546875" style="165" customWidth="1"/>
    <col min="1036" max="1036" width="14.140625" style="165" customWidth="1"/>
    <col min="1037" max="1038" width="11.85546875" style="165" customWidth="1"/>
    <col min="1039" max="1039" width="12.140625" style="165" customWidth="1"/>
    <col min="1040" max="1040" width="13.42578125" style="165" bestFit="1" customWidth="1"/>
    <col min="1041" max="1280" width="11.42578125" style="165"/>
    <col min="1281" max="1281" width="42.5703125" style="165" customWidth="1"/>
    <col min="1282" max="1283" width="11.42578125" style="165"/>
    <col min="1284" max="1284" width="13.140625" style="165" customWidth="1"/>
    <col min="1285" max="1289" width="0" style="165" hidden="1" customWidth="1"/>
    <col min="1290" max="1290" width="11.7109375" style="165" customWidth="1"/>
    <col min="1291" max="1291" width="11.85546875" style="165" customWidth="1"/>
    <col min="1292" max="1292" width="14.140625" style="165" customWidth="1"/>
    <col min="1293" max="1294" width="11.85546875" style="165" customWidth="1"/>
    <col min="1295" max="1295" width="12.140625" style="165" customWidth="1"/>
    <col min="1296" max="1296" width="13.42578125" style="165" bestFit="1" customWidth="1"/>
    <col min="1297" max="1536" width="11.42578125" style="165"/>
    <col min="1537" max="1537" width="42.5703125" style="165" customWidth="1"/>
    <col min="1538" max="1539" width="11.42578125" style="165"/>
    <col min="1540" max="1540" width="13.140625" style="165" customWidth="1"/>
    <col min="1541" max="1545" width="0" style="165" hidden="1" customWidth="1"/>
    <col min="1546" max="1546" width="11.7109375" style="165" customWidth="1"/>
    <col min="1547" max="1547" width="11.85546875" style="165" customWidth="1"/>
    <col min="1548" max="1548" width="14.140625" style="165" customWidth="1"/>
    <col min="1549" max="1550" width="11.85546875" style="165" customWidth="1"/>
    <col min="1551" max="1551" width="12.140625" style="165" customWidth="1"/>
    <col min="1552" max="1552" width="13.42578125" style="165" bestFit="1" customWidth="1"/>
    <col min="1553" max="1792" width="11.42578125" style="165"/>
    <col min="1793" max="1793" width="42.5703125" style="165" customWidth="1"/>
    <col min="1794" max="1795" width="11.42578125" style="165"/>
    <col min="1796" max="1796" width="13.140625" style="165" customWidth="1"/>
    <col min="1797" max="1801" width="0" style="165" hidden="1" customWidth="1"/>
    <col min="1802" max="1802" width="11.7109375" style="165" customWidth="1"/>
    <col min="1803" max="1803" width="11.85546875" style="165" customWidth="1"/>
    <col min="1804" max="1804" width="14.140625" style="165" customWidth="1"/>
    <col min="1805" max="1806" width="11.85546875" style="165" customWidth="1"/>
    <col min="1807" max="1807" width="12.140625" style="165" customWidth="1"/>
    <col min="1808" max="1808" width="13.42578125" style="165" bestFit="1" customWidth="1"/>
    <col min="1809" max="2048" width="11.42578125" style="165"/>
    <col min="2049" max="2049" width="42.5703125" style="165" customWidth="1"/>
    <col min="2050" max="2051" width="11.42578125" style="165"/>
    <col min="2052" max="2052" width="13.140625" style="165" customWidth="1"/>
    <col min="2053" max="2057" width="0" style="165" hidden="1" customWidth="1"/>
    <col min="2058" max="2058" width="11.7109375" style="165" customWidth="1"/>
    <col min="2059" max="2059" width="11.85546875" style="165" customWidth="1"/>
    <col min="2060" max="2060" width="14.140625" style="165" customWidth="1"/>
    <col min="2061" max="2062" width="11.85546875" style="165" customWidth="1"/>
    <col min="2063" max="2063" width="12.140625" style="165" customWidth="1"/>
    <col min="2064" max="2064" width="13.42578125" style="165" bestFit="1" customWidth="1"/>
    <col min="2065" max="2304" width="11.42578125" style="165"/>
    <col min="2305" max="2305" width="42.5703125" style="165" customWidth="1"/>
    <col min="2306" max="2307" width="11.42578125" style="165"/>
    <col min="2308" max="2308" width="13.140625" style="165" customWidth="1"/>
    <col min="2309" max="2313" width="0" style="165" hidden="1" customWidth="1"/>
    <col min="2314" max="2314" width="11.7109375" style="165" customWidth="1"/>
    <col min="2315" max="2315" width="11.85546875" style="165" customWidth="1"/>
    <col min="2316" max="2316" width="14.140625" style="165" customWidth="1"/>
    <col min="2317" max="2318" width="11.85546875" style="165" customWidth="1"/>
    <col min="2319" max="2319" width="12.140625" style="165" customWidth="1"/>
    <col min="2320" max="2320" width="13.42578125" style="165" bestFit="1" customWidth="1"/>
    <col min="2321" max="2560" width="11.42578125" style="165"/>
    <col min="2561" max="2561" width="42.5703125" style="165" customWidth="1"/>
    <col min="2562" max="2563" width="11.42578125" style="165"/>
    <col min="2564" max="2564" width="13.140625" style="165" customWidth="1"/>
    <col min="2565" max="2569" width="0" style="165" hidden="1" customWidth="1"/>
    <col min="2570" max="2570" width="11.7109375" style="165" customWidth="1"/>
    <col min="2571" max="2571" width="11.85546875" style="165" customWidth="1"/>
    <col min="2572" max="2572" width="14.140625" style="165" customWidth="1"/>
    <col min="2573" max="2574" width="11.85546875" style="165" customWidth="1"/>
    <col min="2575" max="2575" width="12.140625" style="165" customWidth="1"/>
    <col min="2576" max="2576" width="13.42578125" style="165" bestFit="1" customWidth="1"/>
    <col min="2577" max="2816" width="11.42578125" style="165"/>
    <col min="2817" max="2817" width="42.5703125" style="165" customWidth="1"/>
    <col min="2818" max="2819" width="11.42578125" style="165"/>
    <col min="2820" max="2820" width="13.140625" style="165" customWidth="1"/>
    <col min="2821" max="2825" width="0" style="165" hidden="1" customWidth="1"/>
    <col min="2826" max="2826" width="11.7109375" style="165" customWidth="1"/>
    <col min="2827" max="2827" width="11.85546875" style="165" customWidth="1"/>
    <col min="2828" max="2828" width="14.140625" style="165" customWidth="1"/>
    <col min="2829" max="2830" width="11.85546875" style="165" customWidth="1"/>
    <col min="2831" max="2831" width="12.140625" style="165" customWidth="1"/>
    <col min="2832" max="2832" width="13.42578125" style="165" bestFit="1" customWidth="1"/>
    <col min="2833" max="3072" width="11.42578125" style="165"/>
    <col min="3073" max="3073" width="42.5703125" style="165" customWidth="1"/>
    <col min="3074" max="3075" width="11.42578125" style="165"/>
    <col min="3076" max="3076" width="13.140625" style="165" customWidth="1"/>
    <col min="3077" max="3081" width="0" style="165" hidden="1" customWidth="1"/>
    <col min="3082" max="3082" width="11.7109375" style="165" customWidth="1"/>
    <col min="3083" max="3083" width="11.85546875" style="165" customWidth="1"/>
    <col min="3084" max="3084" width="14.140625" style="165" customWidth="1"/>
    <col min="3085" max="3086" width="11.85546875" style="165" customWidth="1"/>
    <col min="3087" max="3087" width="12.140625" style="165" customWidth="1"/>
    <col min="3088" max="3088" width="13.42578125" style="165" bestFit="1" customWidth="1"/>
    <col min="3089" max="3328" width="11.42578125" style="165"/>
    <col min="3329" max="3329" width="42.5703125" style="165" customWidth="1"/>
    <col min="3330" max="3331" width="11.42578125" style="165"/>
    <col min="3332" max="3332" width="13.140625" style="165" customWidth="1"/>
    <col min="3333" max="3337" width="0" style="165" hidden="1" customWidth="1"/>
    <col min="3338" max="3338" width="11.7109375" style="165" customWidth="1"/>
    <col min="3339" max="3339" width="11.85546875" style="165" customWidth="1"/>
    <col min="3340" max="3340" width="14.140625" style="165" customWidth="1"/>
    <col min="3341" max="3342" width="11.85546875" style="165" customWidth="1"/>
    <col min="3343" max="3343" width="12.140625" style="165" customWidth="1"/>
    <col min="3344" max="3344" width="13.42578125" style="165" bestFit="1" customWidth="1"/>
    <col min="3345" max="3584" width="11.42578125" style="165"/>
    <col min="3585" max="3585" width="42.5703125" style="165" customWidth="1"/>
    <col min="3586" max="3587" width="11.42578125" style="165"/>
    <col min="3588" max="3588" width="13.140625" style="165" customWidth="1"/>
    <col min="3589" max="3593" width="0" style="165" hidden="1" customWidth="1"/>
    <col min="3594" max="3594" width="11.7109375" style="165" customWidth="1"/>
    <col min="3595" max="3595" width="11.85546875" style="165" customWidth="1"/>
    <col min="3596" max="3596" width="14.140625" style="165" customWidth="1"/>
    <col min="3597" max="3598" width="11.85546875" style="165" customWidth="1"/>
    <col min="3599" max="3599" width="12.140625" style="165" customWidth="1"/>
    <col min="3600" max="3600" width="13.42578125" style="165" bestFit="1" customWidth="1"/>
    <col min="3601" max="3840" width="11.42578125" style="165"/>
    <col min="3841" max="3841" width="42.5703125" style="165" customWidth="1"/>
    <col min="3842" max="3843" width="11.42578125" style="165"/>
    <col min="3844" max="3844" width="13.140625" style="165" customWidth="1"/>
    <col min="3845" max="3849" width="0" style="165" hidden="1" customWidth="1"/>
    <col min="3850" max="3850" width="11.7109375" style="165" customWidth="1"/>
    <col min="3851" max="3851" width="11.85546875" style="165" customWidth="1"/>
    <col min="3852" max="3852" width="14.140625" style="165" customWidth="1"/>
    <col min="3853" max="3854" width="11.85546875" style="165" customWidth="1"/>
    <col min="3855" max="3855" width="12.140625" style="165" customWidth="1"/>
    <col min="3856" max="3856" width="13.42578125" style="165" bestFit="1" customWidth="1"/>
    <col min="3857" max="4096" width="11.42578125" style="165"/>
    <col min="4097" max="4097" width="42.5703125" style="165" customWidth="1"/>
    <col min="4098" max="4099" width="11.42578125" style="165"/>
    <col min="4100" max="4100" width="13.140625" style="165" customWidth="1"/>
    <col min="4101" max="4105" width="0" style="165" hidden="1" customWidth="1"/>
    <col min="4106" max="4106" width="11.7109375" style="165" customWidth="1"/>
    <col min="4107" max="4107" width="11.85546875" style="165" customWidth="1"/>
    <col min="4108" max="4108" width="14.140625" style="165" customWidth="1"/>
    <col min="4109" max="4110" width="11.85546875" style="165" customWidth="1"/>
    <col min="4111" max="4111" width="12.140625" style="165" customWidth="1"/>
    <col min="4112" max="4112" width="13.42578125" style="165" bestFit="1" customWidth="1"/>
    <col min="4113" max="4352" width="11.42578125" style="165"/>
    <col min="4353" max="4353" width="42.5703125" style="165" customWidth="1"/>
    <col min="4354" max="4355" width="11.42578125" style="165"/>
    <col min="4356" max="4356" width="13.140625" style="165" customWidth="1"/>
    <col min="4357" max="4361" width="0" style="165" hidden="1" customWidth="1"/>
    <col min="4362" max="4362" width="11.7109375" style="165" customWidth="1"/>
    <col min="4363" max="4363" width="11.85546875" style="165" customWidth="1"/>
    <col min="4364" max="4364" width="14.140625" style="165" customWidth="1"/>
    <col min="4365" max="4366" width="11.85546875" style="165" customWidth="1"/>
    <col min="4367" max="4367" width="12.140625" style="165" customWidth="1"/>
    <col min="4368" max="4368" width="13.42578125" style="165" bestFit="1" customWidth="1"/>
    <col min="4369" max="4608" width="11.42578125" style="165"/>
    <col min="4609" max="4609" width="42.5703125" style="165" customWidth="1"/>
    <col min="4610" max="4611" width="11.42578125" style="165"/>
    <col min="4612" max="4612" width="13.140625" style="165" customWidth="1"/>
    <col min="4613" max="4617" width="0" style="165" hidden="1" customWidth="1"/>
    <col min="4618" max="4618" width="11.7109375" style="165" customWidth="1"/>
    <col min="4619" max="4619" width="11.85546875" style="165" customWidth="1"/>
    <col min="4620" max="4620" width="14.140625" style="165" customWidth="1"/>
    <col min="4621" max="4622" width="11.85546875" style="165" customWidth="1"/>
    <col min="4623" max="4623" width="12.140625" style="165" customWidth="1"/>
    <col min="4624" max="4624" width="13.42578125" style="165" bestFit="1" customWidth="1"/>
    <col min="4625" max="4864" width="11.42578125" style="165"/>
    <col min="4865" max="4865" width="42.5703125" style="165" customWidth="1"/>
    <col min="4866" max="4867" width="11.42578125" style="165"/>
    <col min="4868" max="4868" width="13.140625" style="165" customWidth="1"/>
    <col min="4869" max="4873" width="0" style="165" hidden="1" customWidth="1"/>
    <col min="4874" max="4874" width="11.7109375" style="165" customWidth="1"/>
    <col min="4875" max="4875" width="11.85546875" style="165" customWidth="1"/>
    <col min="4876" max="4876" width="14.140625" style="165" customWidth="1"/>
    <col min="4877" max="4878" width="11.85546875" style="165" customWidth="1"/>
    <col min="4879" max="4879" width="12.140625" style="165" customWidth="1"/>
    <col min="4880" max="4880" width="13.42578125" style="165" bestFit="1" customWidth="1"/>
    <col min="4881" max="5120" width="11.42578125" style="165"/>
    <col min="5121" max="5121" width="42.5703125" style="165" customWidth="1"/>
    <col min="5122" max="5123" width="11.42578125" style="165"/>
    <col min="5124" max="5124" width="13.140625" style="165" customWidth="1"/>
    <col min="5125" max="5129" width="0" style="165" hidden="1" customWidth="1"/>
    <col min="5130" max="5130" width="11.7109375" style="165" customWidth="1"/>
    <col min="5131" max="5131" width="11.85546875" style="165" customWidth="1"/>
    <col min="5132" max="5132" width="14.140625" style="165" customWidth="1"/>
    <col min="5133" max="5134" width="11.85546875" style="165" customWidth="1"/>
    <col min="5135" max="5135" width="12.140625" style="165" customWidth="1"/>
    <col min="5136" max="5136" width="13.42578125" style="165" bestFit="1" customWidth="1"/>
    <col min="5137" max="5376" width="11.42578125" style="165"/>
    <col min="5377" max="5377" width="42.5703125" style="165" customWidth="1"/>
    <col min="5378" max="5379" width="11.42578125" style="165"/>
    <col min="5380" max="5380" width="13.140625" style="165" customWidth="1"/>
    <col min="5381" max="5385" width="0" style="165" hidden="1" customWidth="1"/>
    <col min="5386" max="5386" width="11.7109375" style="165" customWidth="1"/>
    <col min="5387" max="5387" width="11.85546875" style="165" customWidth="1"/>
    <col min="5388" max="5388" width="14.140625" style="165" customWidth="1"/>
    <col min="5389" max="5390" width="11.85546875" style="165" customWidth="1"/>
    <col min="5391" max="5391" width="12.140625" style="165" customWidth="1"/>
    <col min="5392" max="5392" width="13.42578125" style="165" bestFit="1" customWidth="1"/>
    <col min="5393" max="5632" width="11.42578125" style="165"/>
    <col min="5633" max="5633" width="42.5703125" style="165" customWidth="1"/>
    <col min="5634" max="5635" width="11.42578125" style="165"/>
    <col min="5636" max="5636" width="13.140625" style="165" customWidth="1"/>
    <col min="5637" max="5641" width="0" style="165" hidden="1" customWidth="1"/>
    <col min="5642" max="5642" width="11.7109375" style="165" customWidth="1"/>
    <col min="5643" max="5643" width="11.85546875" style="165" customWidth="1"/>
    <col min="5644" max="5644" width="14.140625" style="165" customWidth="1"/>
    <col min="5645" max="5646" width="11.85546875" style="165" customWidth="1"/>
    <col min="5647" max="5647" width="12.140625" style="165" customWidth="1"/>
    <col min="5648" max="5648" width="13.42578125" style="165" bestFit="1" customWidth="1"/>
    <col min="5649" max="5888" width="11.42578125" style="165"/>
    <col min="5889" max="5889" width="42.5703125" style="165" customWidth="1"/>
    <col min="5890" max="5891" width="11.42578125" style="165"/>
    <col min="5892" max="5892" width="13.140625" style="165" customWidth="1"/>
    <col min="5893" max="5897" width="0" style="165" hidden="1" customWidth="1"/>
    <col min="5898" max="5898" width="11.7109375" style="165" customWidth="1"/>
    <col min="5899" max="5899" width="11.85546875" style="165" customWidth="1"/>
    <col min="5900" max="5900" width="14.140625" style="165" customWidth="1"/>
    <col min="5901" max="5902" width="11.85546875" style="165" customWidth="1"/>
    <col min="5903" max="5903" width="12.140625" style="165" customWidth="1"/>
    <col min="5904" max="5904" width="13.42578125" style="165" bestFit="1" customWidth="1"/>
    <col min="5905" max="6144" width="11.42578125" style="165"/>
    <col min="6145" max="6145" width="42.5703125" style="165" customWidth="1"/>
    <col min="6146" max="6147" width="11.42578125" style="165"/>
    <col min="6148" max="6148" width="13.140625" style="165" customWidth="1"/>
    <col min="6149" max="6153" width="0" style="165" hidden="1" customWidth="1"/>
    <col min="6154" max="6154" width="11.7109375" style="165" customWidth="1"/>
    <col min="6155" max="6155" width="11.85546875" style="165" customWidth="1"/>
    <col min="6156" max="6156" width="14.140625" style="165" customWidth="1"/>
    <col min="6157" max="6158" width="11.85546875" style="165" customWidth="1"/>
    <col min="6159" max="6159" width="12.140625" style="165" customWidth="1"/>
    <col min="6160" max="6160" width="13.42578125" style="165" bestFit="1" customWidth="1"/>
    <col min="6161" max="6400" width="11.42578125" style="165"/>
    <col min="6401" max="6401" width="42.5703125" style="165" customWidth="1"/>
    <col min="6402" max="6403" width="11.42578125" style="165"/>
    <col min="6404" max="6404" width="13.140625" style="165" customWidth="1"/>
    <col min="6405" max="6409" width="0" style="165" hidden="1" customWidth="1"/>
    <col min="6410" max="6410" width="11.7109375" style="165" customWidth="1"/>
    <col min="6411" max="6411" width="11.85546875" style="165" customWidth="1"/>
    <col min="6412" max="6412" width="14.140625" style="165" customWidth="1"/>
    <col min="6413" max="6414" width="11.85546875" style="165" customWidth="1"/>
    <col min="6415" max="6415" width="12.140625" style="165" customWidth="1"/>
    <col min="6416" max="6416" width="13.42578125" style="165" bestFit="1" customWidth="1"/>
    <col min="6417" max="6656" width="11.42578125" style="165"/>
    <col min="6657" max="6657" width="42.5703125" style="165" customWidth="1"/>
    <col min="6658" max="6659" width="11.42578125" style="165"/>
    <col min="6660" max="6660" width="13.140625" style="165" customWidth="1"/>
    <col min="6661" max="6665" width="0" style="165" hidden="1" customWidth="1"/>
    <col min="6666" max="6666" width="11.7109375" style="165" customWidth="1"/>
    <col min="6667" max="6667" width="11.85546875" style="165" customWidth="1"/>
    <col min="6668" max="6668" width="14.140625" style="165" customWidth="1"/>
    <col min="6669" max="6670" width="11.85546875" style="165" customWidth="1"/>
    <col min="6671" max="6671" width="12.140625" style="165" customWidth="1"/>
    <col min="6672" max="6672" width="13.42578125" style="165" bestFit="1" customWidth="1"/>
    <col min="6673" max="6912" width="11.42578125" style="165"/>
    <col min="6913" max="6913" width="42.5703125" style="165" customWidth="1"/>
    <col min="6914" max="6915" width="11.42578125" style="165"/>
    <col min="6916" max="6916" width="13.140625" style="165" customWidth="1"/>
    <col min="6917" max="6921" width="0" style="165" hidden="1" customWidth="1"/>
    <col min="6922" max="6922" width="11.7109375" style="165" customWidth="1"/>
    <col min="6923" max="6923" width="11.85546875" style="165" customWidth="1"/>
    <col min="6924" max="6924" width="14.140625" style="165" customWidth="1"/>
    <col min="6925" max="6926" width="11.85546875" style="165" customWidth="1"/>
    <col min="6927" max="6927" width="12.140625" style="165" customWidth="1"/>
    <col min="6928" max="6928" width="13.42578125" style="165" bestFit="1" customWidth="1"/>
    <col min="6929" max="7168" width="11.42578125" style="165"/>
    <col min="7169" max="7169" width="42.5703125" style="165" customWidth="1"/>
    <col min="7170" max="7171" width="11.42578125" style="165"/>
    <col min="7172" max="7172" width="13.140625" style="165" customWidth="1"/>
    <col min="7173" max="7177" width="0" style="165" hidden="1" customWidth="1"/>
    <col min="7178" max="7178" width="11.7109375" style="165" customWidth="1"/>
    <col min="7179" max="7179" width="11.85546875" style="165" customWidth="1"/>
    <col min="7180" max="7180" width="14.140625" style="165" customWidth="1"/>
    <col min="7181" max="7182" width="11.85546875" style="165" customWidth="1"/>
    <col min="7183" max="7183" width="12.140625" style="165" customWidth="1"/>
    <col min="7184" max="7184" width="13.42578125" style="165" bestFit="1" customWidth="1"/>
    <col min="7185" max="7424" width="11.42578125" style="165"/>
    <col min="7425" max="7425" width="42.5703125" style="165" customWidth="1"/>
    <col min="7426" max="7427" width="11.42578125" style="165"/>
    <col min="7428" max="7428" width="13.140625" style="165" customWidth="1"/>
    <col min="7429" max="7433" width="0" style="165" hidden="1" customWidth="1"/>
    <col min="7434" max="7434" width="11.7109375" style="165" customWidth="1"/>
    <col min="7435" max="7435" width="11.85546875" style="165" customWidth="1"/>
    <col min="7436" max="7436" width="14.140625" style="165" customWidth="1"/>
    <col min="7437" max="7438" width="11.85546875" style="165" customWidth="1"/>
    <col min="7439" max="7439" width="12.140625" style="165" customWidth="1"/>
    <col min="7440" max="7440" width="13.42578125" style="165" bestFit="1" customWidth="1"/>
    <col min="7441" max="7680" width="11.42578125" style="165"/>
    <col min="7681" max="7681" width="42.5703125" style="165" customWidth="1"/>
    <col min="7682" max="7683" width="11.42578125" style="165"/>
    <col min="7684" max="7684" width="13.140625" style="165" customWidth="1"/>
    <col min="7685" max="7689" width="0" style="165" hidden="1" customWidth="1"/>
    <col min="7690" max="7690" width="11.7109375" style="165" customWidth="1"/>
    <col min="7691" max="7691" width="11.85546875" style="165" customWidth="1"/>
    <col min="7692" max="7692" width="14.140625" style="165" customWidth="1"/>
    <col min="7693" max="7694" width="11.85546875" style="165" customWidth="1"/>
    <col min="7695" max="7695" width="12.140625" style="165" customWidth="1"/>
    <col min="7696" max="7696" width="13.42578125" style="165" bestFit="1" customWidth="1"/>
    <col min="7697" max="7936" width="11.42578125" style="165"/>
    <col min="7937" max="7937" width="42.5703125" style="165" customWidth="1"/>
    <col min="7938" max="7939" width="11.42578125" style="165"/>
    <col min="7940" max="7940" width="13.140625" style="165" customWidth="1"/>
    <col min="7941" max="7945" width="0" style="165" hidden="1" customWidth="1"/>
    <col min="7946" max="7946" width="11.7109375" style="165" customWidth="1"/>
    <col min="7947" max="7947" width="11.85546875" style="165" customWidth="1"/>
    <col min="7948" max="7948" width="14.140625" style="165" customWidth="1"/>
    <col min="7949" max="7950" width="11.85546875" style="165" customWidth="1"/>
    <col min="7951" max="7951" width="12.140625" style="165" customWidth="1"/>
    <col min="7952" max="7952" width="13.42578125" style="165" bestFit="1" customWidth="1"/>
    <col min="7953" max="8192" width="11.42578125" style="165"/>
    <col min="8193" max="8193" width="42.5703125" style="165" customWidth="1"/>
    <col min="8194" max="8195" width="11.42578125" style="165"/>
    <col min="8196" max="8196" width="13.140625" style="165" customWidth="1"/>
    <col min="8197" max="8201" width="0" style="165" hidden="1" customWidth="1"/>
    <col min="8202" max="8202" width="11.7109375" style="165" customWidth="1"/>
    <col min="8203" max="8203" width="11.85546875" style="165" customWidth="1"/>
    <col min="8204" max="8204" width="14.140625" style="165" customWidth="1"/>
    <col min="8205" max="8206" width="11.85546875" style="165" customWidth="1"/>
    <col min="8207" max="8207" width="12.140625" style="165" customWidth="1"/>
    <col min="8208" max="8208" width="13.42578125" style="165" bestFit="1" customWidth="1"/>
    <col min="8209" max="8448" width="11.42578125" style="165"/>
    <col min="8449" max="8449" width="42.5703125" style="165" customWidth="1"/>
    <col min="8450" max="8451" width="11.42578125" style="165"/>
    <col min="8452" max="8452" width="13.140625" style="165" customWidth="1"/>
    <col min="8453" max="8457" width="0" style="165" hidden="1" customWidth="1"/>
    <col min="8458" max="8458" width="11.7109375" style="165" customWidth="1"/>
    <col min="8459" max="8459" width="11.85546875" style="165" customWidth="1"/>
    <col min="8460" max="8460" width="14.140625" style="165" customWidth="1"/>
    <col min="8461" max="8462" width="11.85546875" style="165" customWidth="1"/>
    <col min="8463" max="8463" width="12.140625" style="165" customWidth="1"/>
    <col min="8464" max="8464" width="13.42578125" style="165" bestFit="1" customWidth="1"/>
    <col min="8465" max="8704" width="11.42578125" style="165"/>
    <col min="8705" max="8705" width="42.5703125" style="165" customWidth="1"/>
    <col min="8706" max="8707" width="11.42578125" style="165"/>
    <col min="8708" max="8708" width="13.140625" style="165" customWidth="1"/>
    <col min="8709" max="8713" width="0" style="165" hidden="1" customWidth="1"/>
    <col min="8714" max="8714" width="11.7109375" style="165" customWidth="1"/>
    <col min="8715" max="8715" width="11.85546875" style="165" customWidth="1"/>
    <col min="8716" max="8716" width="14.140625" style="165" customWidth="1"/>
    <col min="8717" max="8718" width="11.85546875" style="165" customWidth="1"/>
    <col min="8719" max="8719" width="12.140625" style="165" customWidth="1"/>
    <col min="8720" max="8720" width="13.42578125" style="165" bestFit="1" customWidth="1"/>
    <col min="8721" max="8960" width="11.42578125" style="165"/>
    <col min="8961" max="8961" width="42.5703125" style="165" customWidth="1"/>
    <col min="8962" max="8963" width="11.42578125" style="165"/>
    <col min="8964" max="8964" width="13.140625" style="165" customWidth="1"/>
    <col min="8965" max="8969" width="0" style="165" hidden="1" customWidth="1"/>
    <col min="8970" max="8970" width="11.7109375" style="165" customWidth="1"/>
    <col min="8971" max="8971" width="11.85546875" style="165" customWidth="1"/>
    <col min="8972" max="8972" width="14.140625" style="165" customWidth="1"/>
    <col min="8973" max="8974" width="11.85546875" style="165" customWidth="1"/>
    <col min="8975" max="8975" width="12.140625" style="165" customWidth="1"/>
    <col min="8976" max="8976" width="13.42578125" style="165" bestFit="1" customWidth="1"/>
    <col min="8977" max="9216" width="11.42578125" style="165"/>
    <col min="9217" max="9217" width="42.5703125" style="165" customWidth="1"/>
    <col min="9218" max="9219" width="11.42578125" style="165"/>
    <col min="9220" max="9220" width="13.140625" style="165" customWidth="1"/>
    <col min="9221" max="9225" width="0" style="165" hidden="1" customWidth="1"/>
    <col min="9226" max="9226" width="11.7109375" style="165" customWidth="1"/>
    <col min="9227" max="9227" width="11.85546875" style="165" customWidth="1"/>
    <col min="9228" max="9228" width="14.140625" style="165" customWidth="1"/>
    <col min="9229" max="9230" width="11.85546875" style="165" customWidth="1"/>
    <col min="9231" max="9231" width="12.140625" style="165" customWidth="1"/>
    <col min="9232" max="9232" width="13.42578125" style="165" bestFit="1" customWidth="1"/>
    <col min="9233" max="9472" width="11.42578125" style="165"/>
    <col min="9473" max="9473" width="42.5703125" style="165" customWidth="1"/>
    <col min="9474" max="9475" width="11.42578125" style="165"/>
    <col min="9476" max="9476" width="13.140625" style="165" customWidth="1"/>
    <col min="9477" max="9481" width="0" style="165" hidden="1" customWidth="1"/>
    <col min="9482" max="9482" width="11.7109375" style="165" customWidth="1"/>
    <col min="9483" max="9483" width="11.85546875" style="165" customWidth="1"/>
    <col min="9484" max="9484" width="14.140625" style="165" customWidth="1"/>
    <col min="9485" max="9486" width="11.85546875" style="165" customWidth="1"/>
    <col min="9487" max="9487" width="12.140625" style="165" customWidth="1"/>
    <col min="9488" max="9488" width="13.42578125" style="165" bestFit="1" customWidth="1"/>
    <col min="9489" max="9728" width="11.42578125" style="165"/>
    <col min="9729" max="9729" width="42.5703125" style="165" customWidth="1"/>
    <col min="9730" max="9731" width="11.42578125" style="165"/>
    <col min="9732" max="9732" width="13.140625" style="165" customWidth="1"/>
    <col min="9733" max="9737" width="0" style="165" hidden="1" customWidth="1"/>
    <col min="9738" max="9738" width="11.7109375" style="165" customWidth="1"/>
    <col min="9739" max="9739" width="11.85546875" style="165" customWidth="1"/>
    <col min="9740" max="9740" width="14.140625" style="165" customWidth="1"/>
    <col min="9741" max="9742" width="11.85546875" style="165" customWidth="1"/>
    <col min="9743" max="9743" width="12.140625" style="165" customWidth="1"/>
    <col min="9744" max="9744" width="13.42578125" style="165" bestFit="1" customWidth="1"/>
    <col min="9745" max="9984" width="11.42578125" style="165"/>
    <col min="9985" max="9985" width="42.5703125" style="165" customWidth="1"/>
    <col min="9986" max="9987" width="11.42578125" style="165"/>
    <col min="9988" max="9988" width="13.140625" style="165" customWidth="1"/>
    <col min="9989" max="9993" width="0" style="165" hidden="1" customWidth="1"/>
    <col min="9994" max="9994" width="11.7109375" style="165" customWidth="1"/>
    <col min="9995" max="9995" width="11.85546875" style="165" customWidth="1"/>
    <col min="9996" max="9996" width="14.140625" style="165" customWidth="1"/>
    <col min="9997" max="9998" width="11.85546875" style="165" customWidth="1"/>
    <col min="9999" max="9999" width="12.140625" style="165" customWidth="1"/>
    <col min="10000" max="10000" width="13.42578125" style="165" bestFit="1" customWidth="1"/>
    <col min="10001" max="10240" width="11.42578125" style="165"/>
    <col min="10241" max="10241" width="42.5703125" style="165" customWidth="1"/>
    <col min="10242" max="10243" width="11.42578125" style="165"/>
    <col min="10244" max="10244" width="13.140625" style="165" customWidth="1"/>
    <col min="10245" max="10249" width="0" style="165" hidden="1" customWidth="1"/>
    <col min="10250" max="10250" width="11.7109375" style="165" customWidth="1"/>
    <col min="10251" max="10251" width="11.85546875" style="165" customWidth="1"/>
    <col min="10252" max="10252" width="14.140625" style="165" customWidth="1"/>
    <col min="10253" max="10254" width="11.85546875" style="165" customWidth="1"/>
    <col min="10255" max="10255" width="12.140625" style="165" customWidth="1"/>
    <col min="10256" max="10256" width="13.42578125" style="165" bestFit="1" customWidth="1"/>
    <col min="10257" max="10496" width="11.42578125" style="165"/>
    <col min="10497" max="10497" width="42.5703125" style="165" customWidth="1"/>
    <col min="10498" max="10499" width="11.42578125" style="165"/>
    <col min="10500" max="10500" width="13.140625" style="165" customWidth="1"/>
    <col min="10501" max="10505" width="0" style="165" hidden="1" customWidth="1"/>
    <col min="10506" max="10506" width="11.7109375" style="165" customWidth="1"/>
    <col min="10507" max="10507" width="11.85546875" style="165" customWidth="1"/>
    <col min="10508" max="10508" width="14.140625" style="165" customWidth="1"/>
    <col min="10509" max="10510" width="11.85546875" style="165" customWidth="1"/>
    <col min="10511" max="10511" width="12.140625" style="165" customWidth="1"/>
    <col min="10512" max="10512" width="13.42578125" style="165" bestFit="1" customWidth="1"/>
    <col min="10513" max="10752" width="11.42578125" style="165"/>
    <col min="10753" max="10753" width="42.5703125" style="165" customWidth="1"/>
    <col min="10754" max="10755" width="11.42578125" style="165"/>
    <col min="10756" max="10756" width="13.140625" style="165" customWidth="1"/>
    <col min="10757" max="10761" width="0" style="165" hidden="1" customWidth="1"/>
    <col min="10762" max="10762" width="11.7109375" style="165" customWidth="1"/>
    <col min="10763" max="10763" width="11.85546875" style="165" customWidth="1"/>
    <col min="10764" max="10764" width="14.140625" style="165" customWidth="1"/>
    <col min="10765" max="10766" width="11.85546875" style="165" customWidth="1"/>
    <col min="10767" max="10767" width="12.140625" style="165" customWidth="1"/>
    <col min="10768" max="10768" width="13.42578125" style="165" bestFit="1" customWidth="1"/>
    <col min="10769" max="11008" width="11.42578125" style="165"/>
    <col min="11009" max="11009" width="42.5703125" style="165" customWidth="1"/>
    <col min="11010" max="11011" width="11.42578125" style="165"/>
    <col min="11012" max="11012" width="13.140625" style="165" customWidth="1"/>
    <col min="11013" max="11017" width="0" style="165" hidden="1" customWidth="1"/>
    <col min="11018" max="11018" width="11.7109375" style="165" customWidth="1"/>
    <col min="11019" max="11019" width="11.85546875" style="165" customWidth="1"/>
    <col min="11020" max="11020" width="14.140625" style="165" customWidth="1"/>
    <col min="11021" max="11022" width="11.85546875" style="165" customWidth="1"/>
    <col min="11023" max="11023" width="12.140625" style="165" customWidth="1"/>
    <col min="11024" max="11024" width="13.42578125" style="165" bestFit="1" customWidth="1"/>
    <col min="11025" max="11264" width="11.42578125" style="165"/>
    <col min="11265" max="11265" width="42.5703125" style="165" customWidth="1"/>
    <col min="11266" max="11267" width="11.42578125" style="165"/>
    <col min="11268" max="11268" width="13.140625" style="165" customWidth="1"/>
    <col min="11269" max="11273" width="0" style="165" hidden="1" customWidth="1"/>
    <col min="11274" max="11274" width="11.7109375" style="165" customWidth="1"/>
    <col min="11275" max="11275" width="11.85546875" style="165" customWidth="1"/>
    <col min="11276" max="11276" width="14.140625" style="165" customWidth="1"/>
    <col min="11277" max="11278" width="11.85546875" style="165" customWidth="1"/>
    <col min="11279" max="11279" width="12.140625" style="165" customWidth="1"/>
    <col min="11280" max="11280" width="13.42578125" style="165" bestFit="1" customWidth="1"/>
    <col min="11281" max="11520" width="11.42578125" style="165"/>
    <col min="11521" max="11521" width="42.5703125" style="165" customWidth="1"/>
    <col min="11522" max="11523" width="11.42578125" style="165"/>
    <col min="11524" max="11524" width="13.140625" style="165" customWidth="1"/>
    <col min="11525" max="11529" width="0" style="165" hidden="1" customWidth="1"/>
    <col min="11530" max="11530" width="11.7109375" style="165" customWidth="1"/>
    <col min="11531" max="11531" width="11.85546875" style="165" customWidth="1"/>
    <col min="11532" max="11532" width="14.140625" style="165" customWidth="1"/>
    <col min="11533" max="11534" width="11.85546875" style="165" customWidth="1"/>
    <col min="11535" max="11535" width="12.140625" style="165" customWidth="1"/>
    <col min="11536" max="11536" width="13.42578125" style="165" bestFit="1" customWidth="1"/>
    <col min="11537" max="11776" width="11.42578125" style="165"/>
    <col min="11777" max="11777" width="42.5703125" style="165" customWidth="1"/>
    <col min="11778" max="11779" width="11.42578125" style="165"/>
    <col min="11780" max="11780" width="13.140625" style="165" customWidth="1"/>
    <col min="11781" max="11785" width="0" style="165" hidden="1" customWidth="1"/>
    <col min="11786" max="11786" width="11.7109375" style="165" customWidth="1"/>
    <col min="11787" max="11787" width="11.85546875" style="165" customWidth="1"/>
    <col min="11788" max="11788" width="14.140625" style="165" customWidth="1"/>
    <col min="11789" max="11790" width="11.85546875" style="165" customWidth="1"/>
    <col min="11791" max="11791" width="12.140625" style="165" customWidth="1"/>
    <col min="11792" max="11792" width="13.42578125" style="165" bestFit="1" customWidth="1"/>
    <col min="11793" max="12032" width="11.42578125" style="165"/>
    <col min="12033" max="12033" width="42.5703125" style="165" customWidth="1"/>
    <col min="12034" max="12035" width="11.42578125" style="165"/>
    <col min="12036" max="12036" width="13.140625" style="165" customWidth="1"/>
    <col min="12037" max="12041" width="0" style="165" hidden="1" customWidth="1"/>
    <col min="12042" max="12042" width="11.7109375" style="165" customWidth="1"/>
    <col min="12043" max="12043" width="11.85546875" style="165" customWidth="1"/>
    <col min="12044" max="12044" width="14.140625" style="165" customWidth="1"/>
    <col min="12045" max="12046" width="11.85546875" style="165" customWidth="1"/>
    <col min="12047" max="12047" width="12.140625" style="165" customWidth="1"/>
    <col min="12048" max="12048" width="13.42578125" style="165" bestFit="1" customWidth="1"/>
    <col min="12049" max="12288" width="11.42578125" style="165"/>
    <col min="12289" max="12289" width="42.5703125" style="165" customWidth="1"/>
    <col min="12290" max="12291" width="11.42578125" style="165"/>
    <col min="12292" max="12292" width="13.140625" style="165" customWidth="1"/>
    <col min="12293" max="12297" width="0" style="165" hidden="1" customWidth="1"/>
    <col min="12298" max="12298" width="11.7109375" style="165" customWidth="1"/>
    <col min="12299" max="12299" width="11.85546875" style="165" customWidth="1"/>
    <col min="12300" max="12300" width="14.140625" style="165" customWidth="1"/>
    <col min="12301" max="12302" width="11.85546875" style="165" customWidth="1"/>
    <col min="12303" max="12303" width="12.140625" style="165" customWidth="1"/>
    <col min="12304" max="12304" width="13.42578125" style="165" bestFit="1" customWidth="1"/>
    <col min="12305" max="12544" width="11.42578125" style="165"/>
    <col min="12545" max="12545" width="42.5703125" style="165" customWidth="1"/>
    <col min="12546" max="12547" width="11.42578125" style="165"/>
    <col min="12548" max="12548" width="13.140625" style="165" customWidth="1"/>
    <col min="12549" max="12553" width="0" style="165" hidden="1" customWidth="1"/>
    <col min="12554" max="12554" width="11.7109375" style="165" customWidth="1"/>
    <col min="12555" max="12555" width="11.85546875" style="165" customWidth="1"/>
    <col min="12556" max="12556" width="14.140625" style="165" customWidth="1"/>
    <col min="12557" max="12558" width="11.85546875" style="165" customWidth="1"/>
    <col min="12559" max="12559" width="12.140625" style="165" customWidth="1"/>
    <col min="12560" max="12560" width="13.42578125" style="165" bestFit="1" customWidth="1"/>
    <col min="12561" max="12800" width="11.42578125" style="165"/>
    <col min="12801" max="12801" width="42.5703125" style="165" customWidth="1"/>
    <col min="12802" max="12803" width="11.42578125" style="165"/>
    <col min="12804" max="12804" width="13.140625" style="165" customWidth="1"/>
    <col min="12805" max="12809" width="0" style="165" hidden="1" customWidth="1"/>
    <col min="12810" max="12810" width="11.7109375" style="165" customWidth="1"/>
    <col min="12811" max="12811" width="11.85546875" style="165" customWidth="1"/>
    <col min="12812" max="12812" width="14.140625" style="165" customWidth="1"/>
    <col min="12813" max="12814" width="11.85546875" style="165" customWidth="1"/>
    <col min="12815" max="12815" width="12.140625" style="165" customWidth="1"/>
    <col min="12816" max="12816" width="13.42578125" style="165" bestFit="1" customWidth="1"/>
    <col min="12817" max="13056" width="11.42578125" style="165"/>
    <col min="13057" max="13057" width="42.5703125" style="165" customWidth="1"/>
    <col min="13058" max="13059" width="11.42578125" style="165"/>
    <col min="13060" max="13060" width="13.140625" style="165" customWidth="1"/>
    <col min="13061" max="13065" width="0" style="165" hidden="1" customWidth="1"/>
    <col min="13066" max="13066" width="11.7109375" style="165" customWidth="1"/>
    <col min="13067" max="13067" width="11.85546875" style="165" customWidth="1"/>
    <col min="13068" max="13068" width="14.140625" style="165" customWidth="1"/>
    <col min="13069" max="13070" width="11.85546875" style="165" customWidth="1"/>
    <col min="13071" max="13071" width="12.140625" style="165" customWidth="1"/>
    <col min="13072" max="13072" width="13.42578125" style="165" bestFit="1" customWidth="1"/>
    <col min="13073" max="13312" width="11.42578125" style="165"/>
    <col min="13313" max="13313" width="42.5703125" style="165" customWidth="1"/>
    <col min="13314" max="13315" width="11.42578125" style="165"/>
    <col min="13316" max="13316" width="13.140625" style="165" customWidth="1"/>
    <col min="13317" max="13321" width="0" style="165" hidden="1" customWidth="1"/>
    <col min="13322" max="13322" width="11.7109375" style="165" customWidth="1"/>
    <col min="13323" max="13323" width="11.85546875" style="165" customWidth="1"/>
    <col min="13324" max="13324" width="14.140625" style="165" customWidth="1"/>
    <col min="13325" max="13326" width="11.85546875" style="165" customWidth="1"/>
    <col min="13327" max="13327" width="12.140625" style="165" customWidth="1"/>
    <col min="13328" max="13328" width="13.42578125" style="165" bestFit="1" customWidth="1"/>
    <col min="13329" max="13568" width="11.42578125" style="165"/>
    <col min="13569" max="13569" width="42.5703125" style="165" customWidth="1"/>
    <col min="13570" max="13571" width="11.42578125" style="165"/>
    <col min="13572" max="13572" width="13.140625" style="165" customWidth="1"/>
    <col min="13573" max="13577" width="0" style="165" hidden="1" customWidth="1"/>
    <col min="13578" max="13578" width="11.7109375" style="165" customWidth="1"/>
    <col min="13579" max="13579" width="11.85546875" style="165" customWidth="1"/>
    <col min="13580" max="13580" width="14.140625" style="165" customWidth="1"/>
    <col min="13581" max="13582" width="11.85546875" style="165" customWidth="1"/>
    <col min="13583" max="13583" width="12.140625" style="165" customWidth="1"/>
    <col min="13584" max="13584" width="13.42578125" style="165" bestFit="1" customWidth="1"/>
    <col min="13585" max="13824" width="11.42578125" style="165"/>
    <col min="13825" max="13825" width="42.5703125" style="165" customWidth="1"/>
    <col min="13826" max="13827" width="11.42578125" style="165"/>
    <col min="13828" max="13828" width="13.140625" style="165" customWidth="1"/>
    <col min="13829" max="13833" width="0" style="165" hidden="1" customWidth="1"/>
    <col min="13834" max="13834" width="11.7109375" style="165" customWidth="1"/>
    <col min="13835" max="13835" width="11.85546875" style="165" customWidth="1"/>
    <col min="13836" max="13836" width="14.140625" style="165" customWidth="1"/>
    <col min="13837" max="13838" width="11.85546875" style="165" customWidth="1"/>
    <col min="13839" max="13839" width="12.140625" style="165" customWidth="1"/>
    <col min="13840" max="13840" width="13.42578125" style="165" bestFit="1" customWidth="1"/>
    <col min="13841" max="14080" width="11.42578125" style="165"/>
    <col min="14081" max="14081" width="42.5703125" style="165" customWidth="1"/>
    <col min="14082" max="14083" width="11.42578125" style="165"/>
    <col min="14084" max="14084" width="13.140625" style="165" customWidth="1"/>
    <col min="14085" max="14089" width="0" style="165" hidden="1" customWidth="1"/>
    <col min="14090" max="14090" width="11.7109375" style="165" customWidth="1"/>
    <col min="14091" max="14091" width="11.85546875" style="165" customWidth="1"/>
    <col min="14092" max="14092" width="14.140625" style="165" customWidth="1"/>
    <col min="14093" max="14094" width="11.85546875" style="165" customWidth="1"/>
    <col min="14095" max="14095" width="12.140625" style="165" customWidth="1"/>
    <col min="14096" max="14096" width="13.42578125" style="165" bestFit="1" customWidth="1"/>
    <col min="14097" max="14336" width="11.42578125" style="165"/>
    <col min="14337" max="14337" width="42.5703125" style="165" customWidth="1"/>
    <col min="14338" max="14339" width="11.42578125" style="165"/>
    <col min="14340" max="14340" width="13.140625" style="165" customWidth="1"/>
    <col min="14341" max="14345" width="0" style="165" hidden="1" customWidth="1"/>
    <col min="14346" max="14346" width="11.7109375" style="165" customWidth="1"/>
    <col min="14347" max="14347" width="11.85546875" style="165" customWidth="1"/>
    <col min="14348" max="14348" width="14.140625" style="165" customWidth="1"/>
    <col min="14349" max="14350" width="11.85546875" style="165" customWidth="1"/>
    <col min="14351" max="14351" width="12.140625" style="165" customWidth="1"/>
    <col min="14352" max="14352" width="13.42578125" style="165" bestFit="1" customWidth="1"/>
    <col min="14353" max="14592" width="11.42578125" style="165"/>
    <col min="14593" max="14593" width="42.5703125" style="165" customWidth="1"/>
    <col min="14594" max="14595" width="11.42578125" style="165"/>
    <col min="14596" max="14596" width="13.140625" style="165" customWidth="1"/>
    <col min="14597" max="14601" width="0" style="165" hidden="1" customWidth="1"/>
    <col min="14602" max="14602" width="11.7109375" style="165" customWidth="1"/>
    <col min="14603" max="14603" width="11.85546875" style="165" customWidth="1"/>
    <col min="14604" max="14604" width="14.140625" style="165" customWidth="1"/>
    <col min="14605" max="14606" width="11.85546875" style="165" customWidth="1"/>
    <col min="14607" max="14607" width="12.140625" style="165" customWidth="1"/>
    <col min="14608" max="14608" width="13.42578125" style="165" bestFit="1" customWidth="1"/>
    <col min="14609" max="14848" width="11.42578125" style="165"/>
    <col min="14849" max="14849" width="42.5703125" style="165" customWidth="1"/>
    <col min="14850" max="14851" width="11.42578125" style="165"/>
    <col min="14852" max="14852" width="13.140625" style="165" customWidth="1"/>
    <col min="14853" max="14857" width="0" style="165" hidden="1" customWidth="1"/>
    <col min="14858" max="14858" width="11.7109375" style="165" customWidth="1"/>
    <col min="14859" max="14859" width="11.85546875" style="165" customWidth="1"/>
    <col min="14860" max="14860" width="14.140625" style="165" customWidth="1"/>
    <col min="14861" max="14862" width="11.85546875" style="165" customWidth="1"/>
    <col min="14863" max="14863" width="12.140625" style="165" customWidth="1"/>
    <col min="14864" max="14864" width="13.42578125" style="165" bestFit="1" customWidth="1"/>
    <col min="14865" max="15104" width="11.42578125" style="165"/>
    <col min="15105" max="15105" width="42.5703125" style="165" customWidth="1"/>
    <col min="15106" max="15107" width="11.42578125" style="165"/>
    <col min="15108" max="15108" width="13.140625" style="165" customWidth="1"/>
    <col min="15109" max="15113" width="0" style="165" hidden="1" customWidth="1"/>
    <col min="15114" max="15114" width="11.7109375" style="165" customWidth="1"/>
    <col min="15115" max="15115" width="11.85546875" style="165" customWidth="1"/>
    <col min="15116" max="15116" width="14.140625" style="165" customWidth="1"/>
    <col min="15117" max="15118" width="11.85546875" style="165" customWidth="1"/>
    <col min="15119" max="15119" width="12.140625" style="165" customWidth="1"/>
    <col min="15120" max="15120" width="13.42578125" style="165" bestFit="1" customWidth="1"/>
    <col min="15121" max="15360" width="11.42578125" style="165"/>
    <col min="15361" max="15361" width="42.5703125" style="165" customWidth="1"/>
    <col min="15362" max="15363" width="11.42578125" style="165"/>
    <col min="15364" max="15364" width="13.140625" style="165" customWidth="1"/>
    <col min="15365" max="15369" width="0" style="165" hidden="1" customWidth="1"/>
    <col min="15370" max="15370" width="11.7109375" style="165" customWidth="1"/>
    <col min="15371" max="15371" width="11.85546875" style="165" customWidth="1"/>
    <col min="15372" max="15372" width="14.140625" style="165" customWidth="1"/>
    <col min="15373" max="15374" width="11.85546875" style="165" customWidth="1"/>
    <col min="15375" max="15375" width="12.140625" style="165" customWidth="1"/>
    <col min="15376" max="15376" width="13.42578125" style="165" bestFit="1" customWidth="1"/>
    <col min="15377" max="15616" width="11.42578125" style="165"/>
    <col min="15617" max="15617" width="42.5703125" style="165" customWidth="1"/>
    <col min="15618" max="15619" width="11.42578125" style="165"/>
    <col min="15620" max="15620" width="13.140625" style="165" customWidth="1"/>
    <col min="15621" max="15625" width="0" style="165" hidden="1" customWidth="1"/>
    <col min="15626" max="15626" width="11.7109375" style="165" customWidth="1"/>
    <col min="15627" max="15627" width="11.85546875" style="165" customWidth="1"/>
    <col min="15628" max="15628" width="14.140625" style="165" customWidth="1"/>
    <col min="15629" max="15630" width="11.85546875" style="165" customWidth="1"/>
    <col min="15631" max="15631" width="12.140625" style="165" customWidth="1"/>
    <col min="15632" max="15632" width="13.42578125" style="165" bestFit="1" customWidth="1"/>
    <col min="15633" max="15872" width="11.42578125" style="165"/>
    <col min="15873" max="15873" width="42.5703125" style="165" customWidth="1"/>
    <col min="15874" max="15875" width="11.42578125" style="165"/>
    <col min="15876" max="15876" width="13.140625" style="165" customWidth="1"/>
    <col min="15877" max="15881" width="0" style="165" hidden="1" customWidth="1"/>
    <col min="15882" max="15882" width="11.7109375" style="165" customWidth="1"/>
    <col min="15883" max="15883" width="11.85546875" style="165" customWidth="1"/>
    <col min="15884" max="15884" width="14.140625" style="165" customWidth="1"/>
    <col min="15885" max="15886" width="11.85546875" style="165" customWidth="1"/>
    <col min="15887" max="15887" width="12.140625" style="165" customWidth="1"/>
    <col min="15888" max="15888" width="13.42578125" style="165" bestFit="1" customWidth="1"/>
    <col min="15889" max="16128" width="11.42578125" style="165"/>
    <col min="16129" max="16129" width="42.5703125" style="165" customWidth="1"/>
    <col min="16130" max="16131" width="11.42578125" style="165"/>
    <col min="16132" max="16132" width="13.140625" style="165" customWidth="1"/>
    <col min="16133" max="16137" width="0" style="165" hidden="1" customWidth="1"/>
    <col min="16138" max="16138" width="11.7109375" style="165" customWidth="1"/>
    <col min="16139" max="16139" width="11.85546875" style="165" customWidth="1"/>
    <col min="16140" max="16140" width="14.140625" style="165" customWidth="1"/>
    <col min="16141" max="16142" width="11.85546875" style="165" customWidth="1"/>
    <col min="16143" max="16143" width="12.140625" style="165" customWidth="1"/>
    <col min="16144" max="16144" width="13.42578125" style="165" bestFit="1" customWidth="1"/>
    <col min="16145" max="16384" width="11.42578125" style="165"/>
  </cols>
  <sheetData>
    <row r="1" spans="1:16" s="163" customFormat="1" ht="15.75" x14ac:dyDescent="0.2">
      <c r="A1" s="404" t="s">
        <v>89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162"/>
    </row>
    <row r="2" spans="1:16" ht="12" customHeight="1" x14ac:dyDescent="0.2">
      <c r="A2" s="164"/>
      <c r="P2" s="167"/>
    </row>
    <row r="3" spans="1:16" s="169" customFormat="1" ht="15.75" x14ac:dyDescent="0.2">
      <c r="A3" s="168" t="s">
        <v>164</v>
      </c>
      <c r="O3" s="170"/>
      <c r="P3" s="171"/>
    </row>
    <row r="4" spans="1:16" s="169" customFormat="1" ht="15.75" x14ac:dyDescent="0.2">
      <c r="A4" s="168" t="s">
        <v>152</v>
      </c>
      <c r="O4" s="170"/>
      <c r="P4" s="171"/>
    </row>
    <row r="5" spans="1:16" s="169" customFormat="1" ht="15.75" x14ac:dyDescent="0.2">
      <c r="A5" s="168" t="s">
        <v>147</v>
      </c>
      <c r="O5" s="170"/>
      <c r="P5" s="171"/>
    </row>
    <row r="6" spans="1:16" x14ac:dyDescent="0.2">
      <c r="P6" s="171"/>
    </row>
    <row r="7" spans="1:16" ht="21" customHeight="1" thickBot="1" x14ac:dyDescent="0.25">
      <c r="A7" s="30" t="s">
        <v>165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1"/>
    </row>
    <row r="8" spans="1:16" s="174" customFormat="1" ht="23.25" customHeight="1" thickBot="1" x14ac:dyDescent="0.25">
      <c r="A8" s="405" t="s">
        <v>8</v>
      </c>
      <c r="B8" s="408" t="s">
        <v>9</v>
      </c>
      <c r="C8" s="408" t="s">
        <v>10</v>
      </c>
      <c r="D8" s="408" t="s">
        <v>11</v>
      </c>
      <c r="E8" s="173" t="s">
        <v>12</v>
      </c>
      <c r="F8" s="173"/>
      <c r="G8" s="173"/>
      <c r="H8" s="173"/>
      <c r="I8" s="173"/>
      <c r="J8" s="411"/>
      <c r="K8" s="411"/>
      <c r="L8" s="411"/>
      <c r="M8" s="411"/>
      <c r="N8" s="411"/>
      <c r="O8" s="412"/>
      <c r="P8" s="171"/>
    </row>
    <row r="9" spans="1:16" s="174" customFormat="1" ht="12.75" customHeight="1" x14ac:dyDescent="0.2">
      <c r="A9" s="406"/>
      <c r="B9" s="409"/>
      <c r="C9" s="409"/>
      <c r="D9" s="409"/>
      <c r="E9" s="175">
        <v>2002</v>
      </c>
      <c r="F9" s="175">
        <v>2003</v>
      </c>
      <c r="G9" s="175">
        <v>2004</v>
      </c>
      <c r="H9" s="175">
        <v>2005</v>
      </c>
      <c r="I9" s="176">
        <v>2006</v>
      </c>
      <c r="J9" s="177">
        <v>2015</v>
      </c>
      <c r="K9" s="413">
        <v>2016</v>
      </c>
      <c r="L9" s="414"/>
      <c r="M9" s="414"/>
      <c r="N9" s="415"/>
      <c r="O9" s="178"/>
      <c r="P9" s="171"/>
    </row>
    <row r="10" spans="1:16" s="174" customFormat="1" ht="36.75" thickBot="1" x14ac:dyDescent="0.25">
      <c r="A10" s="407"/>
      <c r="B10" s="410"/>
      <c r="C10" s="410"/>
      <c r="D10" s="410"/>
      <c r="E10" s="179" t="s">
        <v>13</v>
      </c>
      <c r="F10" s="179" t="s">
        <v>13</v>
      </c>
      <c r="G10" s="179" t="s">
        <v>13</v>
      </c>
      <c r="H10" s="179" t="s">
        <v>14</v>
      </c>
      <c r="I10" s="180" t="s">
        <v>82</v>
      </c>
      <c r="J10" s="181" t="s">
        <v>82</v>
      </c>
      <c r="K10" s="181" t="s">
        <v>83</v>
      </c>
      <c r="L10" s="179" t="s">
        <v>86</v>
      </c>
      <c r="M10" s="179" t="s">
        <v>88</v>
      </c>
      <c r="N10" s="182" t="s">
        <v>91</v>
      </c>
      <c r="O10" s="183"/>
      <c r="P10" s="171"/>
    </row>
    <row r="11" spans="1:16" s="174" customFormat="1" ht="20.25" customHeight="1" thickBot="1" x14ac:dyDescent="0.25">
      <c r="A11" s="397" t="s">
        <v>15</v>
      </c>
      <c r="B11" s="398"/>
      <c r="C11" s="398"/>
      <c r="D11" s="398"/>
      <c r="E11" s="398"/>
      <c r="F11" s="398"/>
      <c r="G11" s="398"/>
      <c r="H11" s="398"/>
      <c r="I11" s="398"/>
      <c r="J11" s="399"/>
      <c r="K11" s="399"/>
      <c r="L11" s="399"/>
      <c r="M11" s="399"/>
      <c r="N11" s="399"/>
      <c r="O11" s="400"/>
      <c r="P11" s="171"/>
    </row>
    <row r="12" spans="1:16" s="174" customFormat="1" ht="12" x14ac:dyDescent="0.2">
      <c r="A12" s="184" t="s">
        <v>16</v>
      </c>
      <c r="B12" s="185" t="s">
        <v>5</v>
      </c>
      <c r="C12" s="185" t="s">
        <v>17</v>
      </c>
      <c r="D12" s="185" t="s">
        <v>18</v>
      </c>
      <c r="E12" s="186" t="s">
        <v>19</v>
      </c>
      <c r="F12" s="186" t="s">
        <v>19</v>
      </c>
      <c r="G12" s="186" t="s">
        <v>19</v>
      </c>
      <c r="H12" s="187">
        <v>150</v>
      </c>
      <c r="I12" s="187">
        <v>100</v>
      </c>
      <c r="J12" s="188">
        <v>75</v>
      </c>
      <c r="K12" s="189">
        <v>75</v>
      </c>
      <c r="L12" s="190">
        <v>75</v>
      </c>
      <c r="M12" s="190">
        <v>75</v>
      </c>
      <c r="N12" s="191"/>
      <c r="O12" s="192"/>
      <c r="P12" s="171"/>
    </row>
    <row r="13" spans="1:16" s="174" customFormat="1" ht="12" x14ac:dyDescent="0.2">
      <c r="A13" s="184" t="s">
        <v>20</v>
      </c>
      <c r="B13" s="185" t="s">
        <v>5</v>
      </c>
      <c r="C13" s="185" t="s">
        <v>17</v>
      </c>
      <c r="D13" s="185" t="s">
        <v>18</v>
      </c>
      <c r="E13" s="186" t="s">
        <v>19</v>
      </c>
      <c r="F13" s="186" t="s">
        <v>19</v>
      </c>
      <c r="G13" s="186" t="s">
        <v>19</v>
      </c>
      <c r="H13" s="185">
        <v>130</v>
      </c>
      <c r="I13" s="185">
        <v>122</v>
      </c>
      <c r="J13" s="188">
        <v>405</v>
      </c>
      <c r="K13" s="193">
        <v>405</v>
      </c>
      <c r="L13" s="194">
        <v>405</v>
      </c>
      <c r="M13" s="194">
        <v>405</v>
      </c>
      <c r="N13" s="195"/>
      <c r="O13" s="192"/>
      <c r="P13" s="171"/>
    </row>
    <row r="14" spans="1:16" s="174" customFormat="1" ht="12" x14ac:dyDescent="0.2">
      <c r="A14" s="184" t="s">
        <v>21</v>
      </c>
      <c r="B14" s="185" t="s">
        <v>5</v>
      </c>
      <c r="C14" s="185" t="s">
        <v>22</v>
      </c>
      <c r="D14" s="185" t="s">
        <v>18</v>
      </c>
      <c r="E14" s="186" t="s">
        <v>19</v>
      </c>
      <c r="F14" s="186" t="s">
        <v>19</v>
      </c>
      <c r="G14" s="186" t="s">
        <v>19</v>
      </c>
      <c r="H14" s="186" t="s">
        <v>19</v>
      </c>
      <c r="I14" s="186" t="s">
        <v>84</v>
      </c>
      <c r="J14" s="196">
        <v>1</v>
      </c>
      <c r="K14" s="197">
        <v>0</v>
      </c>
      <c r="L14" s="198">
        <v>0</v>
      </c>
      <c r="M14" s="198">
        <v>0</v>
      </c>
      <c r="N14" s="199"/>
      <c r="O14" s="200"/>
      <c r="P14" s="171"/>
    </row>
    <row r="15" spans="1:16" s="174" customFormat="1" ht="12" x14ac:dyDescent="0.2">
      <c r="A15" s="184" t="s">
        <v>23</v>
      </c>
      <c r="B15" s="185" t="s">
        <v>5</v>
      </c>
      <c r="C15" s="185" t="s">
        <v>22</v>
      </c>
      <c r="D15" s="185" t="s">
        <v>18</v>
      </c>
      <c r="E15" s="186" t="s">
        <v>19</v>
      </c>
      <c r="F15" s="186" t="s">
        <v>19</v>
      </c>
      <c r="G15" s="186" t="s">
        <v>19</v>
      </c>
      <c r="H15" s="186" t="s">
        <v>19</v>
      </c>
      <c r="I15" s="186" t="s">
        <v>84</v>
      </c>
      <c r="J15" s="196">
        <v>0</v>
      </c>
      <c r="K15" s="197">
        <v>0</v>
      </c>
      <c r="L15" s="198">
        <v>0</v>
      </c>
      <c r="M15" s="201">
        <v>0</v>
      </c>
      <c r="N15" s="202"/>
      <c r="O15" s="200"/>
      <c r="P15" s="171"/>
    </row>
    <row r="16" spans="1:16" s="174" customFormat="1" ht="12" x14ac:dyDescent="0.2">
      <c r="A16" s="184" t="s">
        <v>23</v>
      </c>
      <c r="B16" s="185" t="s">
        <v>24</v>
      </c>
      <c r="C16" s="185" t="s">
        <v>22</v>
      </c>
      <c r="D16" s="185" t="s">
        <v>18</v>
      </c>
      <c r="E16" s="186" t="s">
        <v>19</v>
      </c>
      <c r="F16" s="186" t="s">
        <v>19</v>
      </c>
      <c r="G16" s="186" t="s">
        <v>19</v>
      </c>
      <c r="H16" s="186" t="s">
        <v>19</v>
      </c>
      <c r="I16" s="186" t="s">
        <v>84</v>
      </c>
      <c r="J16" s="196">
        <v>0</v>
      </c>
      <c r="K16" s="197">
        <v>0</v>
      </c>
      <c r="L16" s="198">
        <v>0</v>
      </c>
      <c r="M16" s="198">
        <v>0</v>
      </c>
      <c r="N16" s="199"/>
      <c r="O16" s="200"/>
      <c r="P16" s="171"/>
    </row>
    <row r="17" spans="1:16" s="174" customFormat="1" ht="12" x14ac:dyDescent="0.2">
      <c r="A17" s="184" t="s">
        <v>25</v>
      </c>
      <c r="B17" s="185" t="s">
        <v>24</v>
      </c>
      <c r="C17" s="185" t="s">
        <v>26</v>
      </c>
      <c r="D17" s="185" t="s">
        <v>18</v>
      </c>
      <c r="E17" s="203">
        <v>6026929</v>
      </c>
      <c r="F17" s="203">
        <v>4858726</v>
      </c>
      <c r="G17" s="203">
        <v>4801465</v>
      </c>
      <c r="H17" s="204">
        <v>5760000</v>
      </c>
      <c r="I17" s="204">
        <v>9200000</v>
      </c>
      <c r="J17" s="205">
        <v>5126009.0100000007</v>
      </c>
      <c r="K17" s="206">
        <v>476264.49</v>
      </c>
      <c r="L17" s="207">
        <v>403403.21</v>
      </c>
      <c r="M17" s="208">
        <v>1371255.81</v>
      </c>
      <c r="N17" s="209"/>
      <c r="O17" s="210"/>
      <c r="P17" s="211">
        <f>SUM(K17:N17)</f>
        <v>2250923.5099999998</v>
      </c>
    </row>
    <row r="18" spans="1:16" s="174" customFormat="1" ht="12" x14ac:dyDescent="0.2">
      <c r="A18" s="184" t="s">
        <v>27</v>
      </c>
      <c r="B18" s="185" t="s">
        <v>24</v>
      </c>
      <c r="C18" s="185" t="s">
        <v>17</v>
      </c>
      <c r="D18" s="185" t="s">
        <v>18</v>
      </c>
      <c r="E18" s="212">
        <v>14280</v>
      </c>
      <c r="F18" s="212">
        <v>14280</v>
      </c>
      <c r="G18" s="212">
        <v>14280</v>
      </c>
      <c r="H18" s="213">
        <v>14280</v>
      </c>
      <c r="I18" s="213">
        <v>14280</v>
      </c>
      <c r="J18" s="214">
        <v>0</v>
      </c>
      <c r="K18" s="215">
        <v>0</v>
      </c>
      <c r="L18" s="216">
        <v>0</v>
      </c>
      <c r="M18" s="216">
        <v>0</v>
      </c>
      <c r="N18" s="217"/>
      <c r="O18" s="210"/>
      <c r="P18" s="171"/>
    </row>
    <row r="19" spans="1:16" s="174" customFormat="1" ht="12" x14ac:dyDescent="0.2">
      <c r="A19" s="184" t="s">
        <v>28</v>
      </c>
      <c r="B19" s="185" t="s">
        <v>24</v>
      </c>
      <c r="C19" s="185" t="s">
        <v>22</v>
      </c>
      <c r="D19" s="185" t="s">
        <v>18</v>
      </c>
      <c r="E19" s="212">
        <v>20492</v>
      </c>
      <c r="F19" s="212">
        <v>971505</v>
      </c>
      <c r="G19" s="212">
        <v>3837</v>
      </c>
      <c r="H19" s="186" t="s">
        <v>19</v>
      </c>
      <c r="I19" s="218"/>
      <c r="J19" s="219">
        <v>255981</v>
      </c>
      <c r="K19" s="220">
        <v>0</v>
      </c>
      <c r="L19" s="221">
        <v>0</v>
      </c>
      <c r="M19" s="222">
        <v>98360</v>
      </c>
      <c r="N19" s="223"/>
      <c r="O19" s="224"/>
      <c r="P19" s="211">
        <f>SUM(K19:N19)</f>
        <v>98360</v>
      </c>
    </row>
    <row r="20" spans="1:16" s="174" customFormat="1" thickBot="1" x14ac:dyDescent="0.25">
      <c r="A20" s="184"/>
      <c r="B20" s="185"/>
      <c r="C20" s="185"/>
      <c r="D20" s="185"/>
      <c r="E20" s="185"/>
      <c r="F20" s="185"/>
      <c r="G20" s="185"/>
      <c r="H20" s="185"/>
      <c r="I20" s="185"/>
      <c r="J20" s="188"/>
      <c r="K20" s="225"/>
      <c r="L20" s="226"/>
      <c r="M20" s="227"/>
      <c r="N20" s="228" t="s">
        <v>153</v>
      </c>
      <c r="O20" s="192"/>
      <c r="P20" s="171"/>
    </row>
    <row r="21" spans="1:16" s="174" customFormat="1" ht="18" customHeight="1" thickBot="1" x14ac:dyDescent="0.25">
      <c r="A21" s="401"/>
      <c r="B21" s="402"/>
      <c r="C21" s="402"/>
      <c r="D21" s="402"/>
      <c r="E21" s="402"/>
      <c r="F21" s="402"/>
      <c r="G21" s="402"/>
      <c r="H21" s="402"/>
      <c r="I21" s="402"/>
      <c r="J21" s="399"/>
      <c r="K21" s="399"/>
      <c r="L21" s="399"/>
      <c r="M21" s="399"/>
      <c r="N21" s="399"/>
      <c r="O21" s="403"/>
      <c r="P21" s="171"/>
    </row>
    <row r="22" spans="1:16" s="174" customFormat="1" ht="12" x14ac:dyDescent="0.2">
      <c r="A22" s="229" t="s">
        <v>30</v>
      </c>
      <c r="B22" s="230"/>
      <c r="C22" s="230"/>
      <c r="D22" s="230"/>
      <c r="E22" s="230"/>
      <c r="F22" s="230"/>
      <c r="G22" s="230"/>
      <c r="H22" s="230"/>
      <c r="I22" s="230"/>
      <c r="J22" s="231"/>
      <c r="K22" s="232"/>
      <c r="L22" s="233"/>
      <c r="M22" s="233"/>
      <c r="N22" s="234"/>
      <c r="O22" s="235"/>
      <c r="P22" s="171"/>
    </row>
    <row r="23" spans="1:16" s="174" customFormat="1" ht="12" x14ac:dyDescent="0.2">
      <c r="A23" s="236" t="s">
        <v>31</v>
      </c>
      <c r="B23" s="185" t="s">
        <v>5</v>
      </c>
      <c r="C23" s="185" t="s">
        <v>32</v>
      </c>
      <c r="D23" s="185" t="s">
        <v>33</v>
      </c>
      <c r="E23" s="185">
        <v>33</v>
      </c>
      <c r="F23" s="185">
        <v>33</v>
      </c>
      <c r="G23" s="185">
        <v>48</v>
      </c>
      <c r="H23" s="185">
        <v>48</v>
      </c>
      <c r="I23" s="185">
        <v>47</v>
      </c>
      <c r="J23" s="237">
        <v>34</v>
      </c>
      <c r="K23" s="238">
        <f>+K24+K28+K29+K31</f>
        <v>34</v>
      </c>
      <c r="L23" s="239">
        <v>34</v>
      </c>
      <c r="M23" s="240">
        <v>33</v>
      </c>
      <c r="N23" s="195"/>
      <c r="O23" s="192"/>
      <c r="P23" s="171"/>
    </row>
    <row r="24" spans="1:16" s="174" customFormat="1" ht="12" x14ac:dyDescent="0.2">
      <c r="A24" s="236" t="s">
        <v>34</v>
      </c>
      <c r="B24" s="185" t="s">
        <v>5</v>
      </c>
      <c r="C24" s="185" t="s">
        <v>32</v>
      </c>
      <c r="D24" s="185" t="s">
        <v>33</v>
      </c>
      <c r="E24" s="185">
        <v>16</v>
      </c>
      <c r="F24" s="185">
        <v>16</v>
      </c>
      <c r="G24" s="185">
        <v>22</v>
      </c>
      <c r="H24" s="185">
        <v>22</v>
      </c>
      <c r="I24" s="185">
        <v>19</v>
      </c>
      <c r="J24" s="237">
        <v>17</v>
      </c>
      <c r="K24" s="238">
        <v>17</v>
      </c>
      <c r="L24" s="239">
        <v>17</v>
      </c>
      <c r="M24" s="240">
        <v>17</v>
      </c>
      <c r="N24" s="195"/>
      <c r="O24" s="192"/>
      <c r="P24" s="171"/>
    </row>
    <row r="25" spans="1:16" s="174" customFormat="1" ht="12" x14ac:dyDescent="0.2">
      <c r="A25" s="184" t="s">
        <v>35</v>
      </c>
      <c r="B25" s="185" t="s">
        <v>5</v>
      </c>
      <c r="C25" s="185" t="s">
        <v>32</v>
      </c>
      <c r="D25" s="185" t="s">
        <v>33</v>
      </c>
      <c r="E25" s="185">
        <v>1</v>
      </c>
      <c r="F25" s="185">
        <v>1</v>
      </c>
      <c r="G25" s="185">
        <v>1</v>
      </c>
      <c r="H25" s="185">
        <v>1</v>
      </c>
      <c r="I25" s="185">
        <v>1</v>
      </c>
      <c r="J25" s="237">
        <v>2</v>
      </c>
      <c r="K25" s="238">
        <v>2</v>
      </c>
      <c r="L25" s="239">
        <v>2</v>
      </c>
      <c r="M25" s="240">
        <v>2</v>
      </c>
      <c r="N25" s="195"/>
      <c r="O25" s="192"/>
      <c r="P25" s="171" t="s">
        <v>154</v>
      </c>
    </row>
    <row r="26" spans="1:16" s="174" customFormat="1" ht="12" x14ac:dyDescent="0.2">
      <c r="A26" s="184" t="s">
        <v>36</v>
      </c>
      <c r="B26" s="185" t="s">
        <v>5</v>
      </c>
      <c r="C26" s="185" t="s">
        <v>32</v>
      </c>
      <c r="D26" s="185" t="s">
        <v>33</v>
      </c>
      <c r="E26" s="185">
        <v>5</v>
      </c>
      <c r="F26" s="185">
        <v>5</v>
      </c>
      <c r="G26" s="185">
        <v>6</v>
      </c>
      <c r="H26" s="185">
        <v>6</v>
      </c>
      <c r="I26" s="185">
        <v>5</v>
      </c>
      <c r="J26" s="237">
        <v>2</v>
      </c>
      <c r="K26" s="238">
        <v>2</v>
      </c>
      <c r="L26" s="239">
        <v>2</v>
      </c>
      <c r="M26" s="240">
        <v>2</v>
      </c>
      <c r="N26" s="195"/>
      <c r="O26" s="192"/>
      <c r="P26" s="171" t="s">
        <v>155</v>
      </c>
    </row>
    <row r="27" spans="1:16" s="174" customFormat="1" ht="12" x14ac:dyDescent="0.2">
      <c r="A27" s="184" t="s">
        <v>37</v>
      </c>
      <c r="B27" s="185" t="s">
        <v>5</v>
      </c>
      <c r="C27" s="185" t="s">
        <v>32</v>
      </c>
      <c r="D27" s="185" t="s">
        <v>33</v>
      </c>
      <c r="E27" s="185">
        <v>10</v>
      </c>
      <c r="F27" s="185">
        <v>10</v>
      </c>
      <c r="G27" s="185">
        <v>15</v>
      </c>
      <c r="H27" s="185">
        <v>15</v>
      </c>
      <c r="I27" s="185">
        <v>13</v>
      </c>
      <c r="J27" s="237">
        <v>13</v>
      </c>
      <c r="K27" s="238">
        <v>13</v>
      </c>
      <c r="L27" s="239">
        <v>13</v>
      </c>
      <c r="M27" s="240">
        <v>13</v>
      </c>
      <c r="N27" s="195"/>
      <c r="O27" s="192"/>
      <c r="P27" s="171" t="s">
        <v>156</v>
      </c>
    </row>
    <row r="28" spans="1:16" s="174" customFormat="1" ht="12" x14ac:dyDescent="0.2">
      <c r="A28" s="236" t="s">
        <v>38</v>
      </c>
      <c r="B28" s="185" t="s">
        <v>5</v>
      </c>
      <c r="C28" s="185" t="s">
        <v>32</v>
      </c>
      <c r="D28" s="185" t="s">
        <v>33</v>
      </c>
      <c r="E28" s="185">
        <v>15</v>
      </c>
      <c r="F28" s="185">
        <v>15</v>
      </c>
      <c r="G28" s="185">
        <v>24</v>
      </c>
      <c r="H28" s="185">
        <v>24</v>
      </c>
      <c r="I28" s="185">
        <v>26</v>
      </c>
      <c r="J28" s="237">
        <v>15</v>
      </c>
      <c r="K28" s="238">
        <v>15</v>
      </c>
      <c r="L28" s="239">
        <v>15</v>
      </c>
      <c r="M28" s="240">
        <v>14</v>
      </c>
      <c r="N28" s="195"/>
      <c r="O28" s="192"/>
      <c r="P28" s="171" t="s">
        <v>157</v>
      </c>
    </row>
    <row r="29" spans="1:16" s="174" customFormat="1" ht="12" x14ac:dyDescent="0.2">
      <c r="A29" s="184" t="s">
        <v>39</v>
      </c>
      <c r="B29" s="185" t="s">
        <v>5</v>
      </c>
      <c r="C29" s="185" t="s">
        <v>32</v>
      </c>
      <c r="D29" s="185" t="s">
        <v>33</v>
      </c>
      <c r="E29" s="185">
        <v>2</v>
      </c>
      <c r="F29" s="185">
        <v>2</v>
      </c>
      <c r="G29" s="185">
        <v>2</v>
      </c>
      <c r="H29" s="185">
        <v>2</v>
      </c>
      <c r="I29" s="185">
        <v>2</v>
      </c>
      <c r="J29" s="237">
        <v>1</v>
      </c>
      <c r="K29" s="238">
        <v>1</v>
      </c>
      <c r="L29" s="239">
        <v>1</v>
      </c>
      <c r="M29" s="240">
        <v>1</v>
      </c>
      <c r="N29" s="195"/>
      <c r="O29" s="192"/>
      <c r="P29" s="171" t="s">
        <v>158</v>
      </c>
    </row>
    <row r="30" spans="1:16" s="174" customFormat="1" ht="12" x14ac:dyDescent="0.2">
      <c r="A30" s="184" t="s">
        <v>40</v>
      </c>
      <c r="B30" s="185" t="s">
        <v>5</v>
      </c>
      <c r="C30" s="185" t="s">
        <v>32</v>
      </c>
      <c r="D30" s="185" t="s">
        <v>33</v>
      </c>
      <c r="E30" s="185">
        <v>35</v>
      </c>
      <c r="F30" s="185">
        <v>33</v>
      </c>
      <c r="G30" s="185">
        <v>48</v>
      </c>
      <c r="H30" s="185">
        <v>48</v>
      </c>
      <c r="I30" s="185">
        <v>47</v>
      </c>
      <c r="J30" s="237">
        <v>34</v>
      </c>
      <c r="K30" s="238">
        <v>34</v>
      </c>
      <c r="L30" s="239">
        <v>34</v>
      </c>
      <c r="M30" s="240">
        <v>33</v>
      </c>
      <c r="N30" s="195"/>
      <c r="O30" s="192"/>
      <c r="P30" s="171"/>
    </row>
    <row r="31" spans="1:16" s="174" customFormat="1" ht="12" x14ac:dyDescent="0.2">
      <c r="A31" s="184" t="s">
        <v>41</v>
      </c>
      <c r="B31" s="185" t="s">
        <v>5</v>
      </c>
      <c r="C31" s="185" t="s">
        <v>32</v>
      </c>
      <c r="D31" s="185" t="s">
        <v>33</v>
      </c>
      <c r="E31" s="185">
        <v>1</v>
      </c>
      <c r="F31" s="185">
        <v>1</v>
      </c>
      <c r="G31" s="185">
        <v>1</v>
      </c>
      <c r="H31" s="185">
        <v>1</v>
      </c>
      <c r="I31" s="185">
        <v>1</v>
      </c>
      <c r="J31" s="237">
        <v>1</v>
      </c>
      <c r="K31" s="238">
        <v>1</v>
      </c>
      <c r="L31" s="239">
        <v>1</v>
      </c>
      <c r="M31" s="240">
        <v>1</v>
      </c>
      <c r="N31" s="195"/>
      <c r="O31" s="192"/>
      <c r="P31" s="171"/>
    </row>
    <row r="32" spans="1:16" s="174" customFormat="1" ht="12" x14ac:dyDescent="0.2">
      <c r="A32" s="184" t="s">
        <v>42</v>
      </c>
      <c r="B32" s="185" t="s">
        <v>5</v>
      </c>
      <c r="C32" s="185" t="s">
        <v>32</v>
      </c>
      <c r="D32" s="185" t="s">
        <v>33</v>
      </c>
      <c r="E32" s="185">
        <v>6</v>
      </c>
      <c r="F32" s="185">
        <v>6</v>
      </c>
      <c r="G32" s="185">
        <v>28</v>
      </c>
      <c r="H32" s="185">
        <v>30</v>
      </c>
      <c r="I32" s="185">
        <v>30</v>
      </c>
      <c r="J32" s="237">
        <v>24</v>
      </c>
      <c r="K32" s="238">
        <v>24</v>
      </c>
      <c r="L32" s="239">
        <v>24</v>
      </c>
      <c r="M32" s="240">
        <v>23</v>
      </c>
      <c r="N32" s="195"/>
      <c r="O32" s="192"/>
      <c r="P32" s="171"/>
    </row>
    <row r="33" spans="1:16" s="174" customFormat="1" ht="12" x14ac:dyDescent="0.2">
      <c r="A33" s="184" t="s">
        <v>43</v>
      </c>
      <c r="B33" s="185" t="s">
        <v>5</v>
      </c>
      <c r="C33" s="185" t="s">
        <v>32</v>
      </c>
      <c r="D33" s="185" t="s">
        <v>33</v>
      </c>
      <c r="E33" s="185">
        <v>22</v>
      </c>
      <c r="F33" s="185">
        <v>22</v>
      </c>
      <c r="G33" s="185">
        <v>2</v>
      </c>
      <c r="H33" s="185">
        <v>2</v>
      </c>
      <c r="I33" s="185">
        <v>3</v>
      </c>
      <c r="J33" s="237">
        <v>2</v>
      </c>
      <c r="K33" s="238">
        <v>2</v>
      </c>
      <c r="L33" s="239">
        <v>2</v>
      </c>
      <c r="M33" s="240">
        <v>2</v>
      </c>
      <c r="N33" s="195"/>
      <c r="O33" s="192"/>
      <c r="P33" s="171"/>
    </row>
    <row r="34" spans="1:16" s="174" customFormat="1" ht="12" x14ac:dyDescent="0.2">
      <c r="A34" s="184" t="s">
        <v>44</v>
      </c>
      <c r="B34" s="185" t="s">
        <v>5</v>
      </c>
      <c r="C34" s="185" t="s">
        <v>32</v>
      </c>
      <c r="D34" s="185" t="s">
        <v>33</v>
      </c>
      <c r="E34" s="185">
        <v>2</v>
      </c>
      <c r="F34" s="185">
        <v>2</v>
      </c>
      <c r="G34" s="185">
        <v>4</v>
      </c>
      <c r="H34" s="185">
        <v>2</v>
      </c>
      <c r="I34" s="185">
        <v>3</v>
      </c>
      <c r="J34" s="237">
        <v>2</v>
      </c>
      <c r="K34" s="238">
        <v>1</v>
      </c>
      <c r="L34" s="239">
        <v>1</v>
      </c>
      <c r="M34" s="240">
        <v>1</v>
      </c>
      <c r="N34" s="195"/>
      <c r="O34" s="192"/>
      <c r="P34" s="171"/>
    </row>
    <row r="35" spans="1:16" s="174" customFormat="1" ht="12" x14ac:dyDescent="0.2">
      <c r="A35" s="184" t="s">
        <v>45</v>
      </c>
      <c r="B35" s="185" t="s">
        <v>5</v>
      </c>
      <c r="C35" s="185" t="s">
        <v>32</v>
      </c>
      <c r="D35" s="185" t="s">
        <v>33</v>
      </c>
      <c r="E35" s="185">
        <v>2</v>
      </c>
      <c r="F35" s="185">
        <v>2</v>
      </c>
      <c r="G35" s="185">
        <v>13</v>
      </c>
      <c r="H35" s="185">
        <v>13</v>
      </c>
      <c r="I35" s="185">
        <v>13</v>
      </c>
      <c r="J35" s="237">
        <v>1</v>
      </c>
      <c r="K35" s="238">
        <v>1</v>
      </c>
      <c r="L35" s="239">
        <v>1</v>
      </c>
      <c r="M35" s="240">
        <v>1</v>
      </c>
      <c r="N35" s="195"/>
      <c r="O35" s="192"/>
      <c r="P35" s="171"/>
    </row>
    <row r="36" spans="1:16" s="174" customFormat="1" ht="12" x14ac:dyDescent="0.2">
      <c r="A36" s="184" t="s">
        <v>46</v>
      </c>
      <c r="B36" s="185" t="s">
        <v>5</v>
      </c>
      <c r="C36" s="185" t="s">
        <v>32</v>
      </c>
      <c r="D36" s="185" t="s">
        <v>33</v>
      </c>
      <c r="E36" s="185">
        <v>0</v>
      </c>
      <c r="F36" s="185">
        <v>0</v>
      </c>
      <c r="G36" s="185">
        <v>0</v>
      </c>
      <c r="H36" s="185">
        <v>0</v>
      </c>
      <c r="I36" s="185">
        <v>0</v>
      </c>
      <c r="J36" s="237">
        <v>0</v>
      </c>
      <c r="K36" s="238">
        <v>0</v>
      </c>
      <c r="L36" s="239">
        <v>0</v>
      </c>
      <c r="M36" s="240">
        <v>0</v>
      </c>
      <c r="N36" s="195"/>
      <c r="O36" s="192"/>
      <c r="P36" s="171"/>
    </row>
    <row r="37" spans="1:16" s="174" customFormat="1" x14ac:dyDescent="0.2">
      <c r="A37" s="184" t="s">
        <v>47</v>
      </c>
      <c r="B37" s="185" t="s">
        <v>5</v>
      </c>
      <c r="C37" s="185"/>
      <c r="D37" s="185" t="s">
        <v>33</v>
      </c>
      <c r="E37" s="185">
        <v>2</v>
      </c>
      <c r="F37" s="185">
        <v>2</v>
      </c>
      <c r="G37" s="185">
        <v>2</v>
      </c>
      <c r="H37" s="185">
        <v>2</v>
      </c>
      <c r="I37" s="185">
        <v>0</v>
      </c>
      <c r="J37" s="237">
        <v>0</v>
      </c>
      <c r="K37" s="238">
        <v>0</v>
      </c>
      <c r="L37" s="239">
        <v>0</v>
      </c>
      <c r="M37" s="240">
        <v>0</v>
      </c>
      <c r="N37" s="195"/>
      <c r="O37" s="192"/>
      <c r="P37" s="241"/>
    </row>
    <row r="38" spans="1:16" s="174" customFormat="1" x14ac:dyDescent="0.2">
      <c r="A38" s="229" t="s">
        <v>48</v>
      </c>
      <c r="B38" s="230"/>
      <c r="C38" s="230"/>
      <c r="D38" s="230"/>
      <c r="E38" s="230"/>
      <c r="F38" s="230"/>
      <c r="G38" s="230"/>
      <c r="H38" s="230"/>
      <c r="I38" s="230"/>
      <c r="J38" s="242"/>
      <c r="K38" s="243"/>
      <c r="L38" s="244"/>
      <c r="M38" s="230"/>
      <c r="N38" s="245"/>
      <c r="O38" s="235"/>
      <c r="P38" s="241"/>
    </row>
    <row r="39" spans="1:16" s="174" customFormat="1" x14ac:dyDescent="0.2">
      <c r="A39" s="236" t="s">
        <v>49</v>
      </c>
      <c r="B39" s="185" t="s">
        <v>5</v>
      </c>
      <c r="C39" s="185" t="s">
        <v>32</v>
      </c>
      <c r="D39" s="185" t="s">
        <v>18</v>
      </c>
      <c r="E39" s="185">
        <v>0</v>
      </c>
      <c r="F39" s="185">
        <v>0</v>
      </c>
      <c r="G39" s="185">
        <v>0</v>
      </c>
      <c r="H39" s="185">
        <v>0</v>
      </c>
      <c r="I39" s="185">
        <v>0</v>
      </c>
      <c r="J39" s="246">
        <v>0</v>
      </c>
      <c r="K39" s="238">
        <v>0</v>
      </c>
      <c r="L39" s="247">
        <v>0</v>
      </c>
      <c r="M39" s="240">
        <v>0</v>
      </c>
      <c r="N39" s="195"/>
      <c r="O39" s="192"/>
      <c r="P39" s="241"/>
    </row>
    <row r="40" spans="1:16" s="174" customFormat="1" x14ac:dyDescent="0.2">
      <c r="A40" s="236" t="s">
        <v>50</v>
      </c>
      <c r="B40" s="185" t="s">
        <v>5</v>
      </c>
      <c r="C40" s="185" t="s">
        <v>32</v>
      </c>
      <c r="D40" s="185" t="s">
        <v>33</v>
      </c>
      <c r="E40" s="185">
        <v>77</v>
      </c>
      <c r="F40" s="185">
        <v>77</v>
      </c>
      <c r="G40" s="185">
        <v>83</v>
      </c>
      <c r="H40" s="185">
        <v>111</v>
      </c>
      <c r="I40" s="185">
        <v>99</v>
      </c>
      <c r="J40" s="246">
        <v>109</v>
      </c>
      <c r="K40" s="238">
        <v>109</v>
      </c>
      <c r="L40" s="239">
        <v>109</v>
      </c>
      <c r="M40" s="240">
        <v>109</v>
      </c>
      <c r="N40" s="195"/>
      <c r="O40" s="192"/>
      <c r="P40" s="241"/>
    </row>
    <row r="41" spans="1:16" s="174" customFormat="1" x14ac:dyDescent="0.2">
      <c r="A41" s="184" t="s">
        <v>51</v>
      </c>
      <c r="B41" s="185" t="s">
        <v>5</v>
      </c>
      <c r="C41" s="185" t="s">
        <v>32</v>
      </c>
      <c r="D41" s="185" t="s">
        <v>33</v>
      </c>
      <c r="E41" s="185">
        <v>58</v>
      </c>
      <c r="F41" s="185">
        <v>58</v>
      </c>
      <c r="G41" s="185">
        <v>64</v>
      </c>
      <c r="H41" s="185">
        <v>87</v>
      </c>
      <c r="I41" s="185">
        <v>80</v>
      </c>
      <c r="J41" s="246">
        <v>78</v>
      </c>
      <c r="K41" s="238">
        <v>78</v>
      </c>
      <c r="L41" s="239">
        <v>78</v>
      </c>
      <c r="M41" s="240">
        <v>78</v>
      </c>
      <c r="N41" s="195"/>
      <c r="O41" s="192"/>
      <c r="P41" s="241"/>
    </row>
    <row r="42" spans="1:16" s="174" customFormat="1" ht="13.5" thickBot="1" x14ac:dyDescent="0.25">
      <c r="A42" s="248" t="s">
        <v>52</v>
      </c>
      <c r="B42" s="249" t="s">
        <v>5</v>
      </c>
      <c r="C42" s="249" t="s">
        <v>32</v>
      </c>
      <c r="D42" s="249" t="s">
        <v>33</v>
      </c>
      <c r="E42" s="249">
        <v>19</v>
      </c>
      <c r="F42" s="249">
        <v>19</v>
      </c>
      <c r="G42" s="249">
        <v>19</v>
      </c>
      <c r="H42" s="249">
        <v>24</v>
      </c>
      <c r="I42" s="249">
        <v>19</v>
      </c>
      <c r="J42" s="250">
        <v>31</v>
      </c>
      <c r="K42" s="251">
        <v>31</v>
      </c>
      <c r="L42" s="252">
        <v>31</v>
      </c>
      <c r="M42" s="227">
        <v>31</v>
      </c>
      <c r="N42" s="228"/>
      <c r="O42" s="253"/>
      <c r="P42" s="241"/>
    </row>
    <row r="43" spans="1:16" x14ac:dyDescent="0.2">
      <c r="L43" s="254"/>
      <c r="M43" s="254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rintOptions horizontalCentered="1"/>
  <pageMargins left="0.43307086614173229" right="0.47244094488188981" top="0.47244094488188981" bottom="0.15748031496062992" header="0" footer="0"/>
  <pageSetup paperSize="9" scale="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E1" workbookViewId="0">
      <selection activeCell="G22" sqref="G22"/>
    </sheetView>
  </sheetViews>
  <sheetFormatPr baseColWidth="10" defaultRowHeight="15" x14ac:dyDescent="0.25"/>
  <cols>
    <col min="1" max="1" width="14.42578125" style="255" customWidth="1"/>
    <col min="2" max="2" width="45.42578125" style="255" customWidth="1"/>
    <col min="3" max="4" width="11.42578125" style="255"/>
    <col min="5" max="5" width="18" style="255" customWidth="1"/>
    <col min="6" max="7" width="18.5703125" style="255" customWidth="1"/>
    <col min="8" max="8" width="17.85546875" style="255" customWidth="1"/>
    <col min="9" max="9" width="15" style="255" customWidth="1"/>
    <col min="10" max="10" width="16.140625" style="255" customWidth="1"/>
    <col min="11" max="11" width="18.5703125" style="255" customWidth="1"/>
    <col min="12" max="12" width="17.28515625" style="255" customWidth="1"/>
    <col min="13" max="13" width="18.28515625" style="255" customWidth="1"/>
    <col min="14" max="14" width="20.140625" style="255" customWidth="1"/>
    <col min="15" max="15" width="11.42578125" style="255" customWidth="1"/>
    <col min="16" max="16384" width="11.42578125" style="255"/>
  </cols>
  <sheetData>
    <row r="1" spans="1:14" x14ac:dyDescent="0.25">
      <c r="A1" s="420" t="s">
        <v>162</v>
      </c>
      <c r="B1" s="421"/>
      <c r="C1" s="422" t="s">
        <v>4</v>
      </c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4"/>
    </row>
    <row r="2" spans="1:14" x14ac:dyDescent="0.25">
      <c r="A2" s="420" t="s">
        <v>98</v>
      </c>
      <c r="B2" s="421"/>
      <c r="C2" s="425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7"/>
    </row>
    <row r="3" spans="1:14" x14ac:dyDescent="0.25">
      <c r="A3" s="420" t="s">
        <v>163</v>
      </c>
      <c r="B3" s="421"/>
      <c r="C3" s="428" t="s">
        <v>99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30"/>
    </row>
    <row r="4" spans="1:14" x14ac:dyDescent="0.25">
      <c r="A4" s="416" t="s">
        <v>100</v>
      </c>
      <c r="B4" s="431"/>
      <c r="C4" s="433" t="s">
        <v>101</v>
      </c>
      <c r="D4" s="433" t="s">
        <v>102</v>
      </c>
      <c r="E4" s="436"/>
      <c r="F4" s="436"/>
      <c r="G4" s="436"/>
      <c r="H4" s="436"/>
      <c r="I4" s="436"/>
      <c r="J4" s="436"/>
      <c r="K4" s="436"/>
      <c r="L4" s="436"/>
      <c r="M4" s="436"/>
      <c r="N4" s="437"/>
    </row>
    <row r="5" spans="1:14" x14ac:dyDescent="0.25">
      <c r="A5" s="432"/>
      <c r="B5" s="431"/>
      <c r="C5" s="434"/>
      <c r="D5" s="435"/>
      <c r="E5" s="256">
        <v>2014</v>
      </c>
      <c r="F5" s="256">
        <v>2015</v>
      </c>
      <c r="G5" s="256">
        <v>2016</v>
      </c>
      <c r="H5" s="436">
        <v>2016</v>
      </c>
      <c r="I5" s="436"/>
      <c r="J5" s="436"/>
      <c r="K5" s="436"/>
      <c r="L5" s="257">
        <v>2016</v>
      </c>
      <c r="M5" s="256">
        <v>2017</v>
      </c>
      <c r="N5" s="258">
        <v>2018</v>
      </c>
    </row>
    <row r="6" spans="1:14" ht="25.5" x14ac:dyDescent="0.25">
      <c r="A6" s="432"/>
      <c r="B6" s="431"/>
      <c r="C6" s="434"/>
      <c r="D6" s="435"/>
      <c r="E6" s="259" t="s">
        <v>103</v>
      </c>
      <c r="F6" s="259" t="s">
        <v>103</v>
      </c>
      <c r="G6" s="259" t="s">
        <v>104</v>
      </c>
      <c r="H6" s="259" t="s">
        <v>105</v>
      </c>
      <c r="I6" s="259" t="s">
        <v>106</v>
      </c>
      <c r="J6" s="259" t="s">
        <v>107</v>
      </c>
      <c r="K6" s="259" t="s">
        <v>108</v>
      </c>
      <c r="L6" s="259" t="s">
        <v>103</v>
      </c>
      <c r="M6" s="259" t="s">
        <v>104</v>
      </c>
      <c r="N6" s="260" t="s">
        <v>104</v>
      </c>
    </row>
    <row r="7" spans="1:14" x14ac:dyDescent="0.25">
      <c r="A7" s="416" t="s">
        <v>109</v>
      </c>
      <c r="B7" s="261" t="s">
        <v>110</v>
      </c>
      <c r="C7" s="262" t="s">
        <v>5</v>
      </c>
      <c r="D7" s="262" t="s">
        <v>53</v>
      </c>
      <c r="E7" s="263">
        <v>34422738</v>
      </c>
      <c r="F7" s="263">
        <v>28537924</v>
      </c>
      <c r="G7" s="264">
        <v>34245508.799999997</v>
      </c>
      <c r="H7" s="265">
        <v>6087840</v>
      </c>
      <c r="I7" s="263">
        <v>6317692</v>
      </c>
      <c r="J7" s="263">
        <v>7170079</v>
      </c>
      <c r="K7" s="263"/>
      <c r="L7" s="263"/>
      <c r="M7" s="264">
        <v>41094610.559999995</v>
      </c>
      <c r="N7" s="264">
        <f t="shared" ref="N7:N15" si="0">+M7*1.2</f>
        <v>49313532.671999991</v>
      </c>
    </row>
    <row r="8" spans="1:14" x14ac:dyDescent="0.25">
      <c r="A8" s="416"/>
      <c r="B8" s="261" t="s">
        <v>111</v>
      </c>
      <c r="C8" s="262" t="s">
        <v>24</v>
      </c>
      <c r="D8" s="262" t="s">
        <v>53</v>
      </c>
      <c r="E8" s="266">
        <v>809077509.5</v>
      </c>
      <c r="F8" s="263">
        <v>1171827973.158</v>
      </c>
      <c r="G8" s="267">
        <v>1406193567.7895999</v>
      </c>
      <c r="H8" s="266">
        <v>316920163.30000001</v>
      </c>
      <c r="I8" s="268">
        <v>339170661.62</v>
      </c>
      <c r="J8" s="269">
        <v>382635898.16000003</v>
      </c>
      <c r="K8" s="270"/>
      <c r="L8" s="263"/>
      <c r="M8" s="267">
        <v>1687432281.3475199</v>
      </c>
      <c r="N8" s="267">
        <f t="shared" si="0"/>
        <v>2024918737.6170237</v>
      </c>
    </row>
    <row r="9" spans="1:14" x14ac:dyDescent="0.25">
      <c r="A9" s="416"/>
      <c r="B9" s="261" t="s">
        <v>112</v>
      </c>
      <c r="C9" s="262" t="s">
        <v>24</v>
      </c>
      <c r="D9" s="262" t="s">
        <v>53</v>
      </c>
      <c r="E9" s="266">
        <v>75541889.799999997</v>
      </c>
      <c r="F9" s="263">
        <v>73637576</v>
      </c>
      <c r="G9" s="267">
        <v>88365091.200000003</v>
      </c>
      <c r="H9" s="271">
        <v>15235931</v>
      </c>
      <c r="I9" s="272">
        <v>18992377</v>
      </c>
      <c r="J9" s="273">
        <v>26618657</v>
      </c>
      <c r="K9" s="270"/>
      <c r="L9" s="263"/>
      <c r="M9" s="267">
        <v>106038109.44</v>
      </c>
      <c r="N9" s="267">
        <f t="shared" si="0"/>
        <v>127245731.32799999</v>
      </c>
    </row>
    <row r="10" spans="1:14" x14ac:dyDescent="0.25">
      <c r="A10" s="416"/>
      <c r="B10" s="274" t="s">
        <v>113</v>
      </c>
      <c r="C10" s="275" t="s">
        <v>5</v>
      </c>
      <c r="D10" s="275" t="s">
        <v>53</v>
      </c>
      <c r="E10" s="276">
        <v>630</v>
      </c>
      <c r="F10" s="277">
        <v>593</v>
      </c>
      <c r="G10" s="277">
        <v>711.6</v>
      </c>
      <c r="H10" s="278">
        <v>593</v>
      </c>
      <c r="I10" s="277">
        <v>593</v>
      </c>
      <c r="J10" s="277">
        <v>593</v>
      </c>
      <c r="K10" s="277"/>
      <c r="L10" s="277"/>
      <c r="M10" s="277">
        <v>853.92</v>
      </c>
      <c r="N10" s="277">
        <f t="shared" si="0"/>
        <v>1024.704</v>
      </c>
    </row>
    <row r="11" spans="1:14" x14ac:dyDescent="0.25">
      <c r="A11" s="416"/>
      <c r="B11" s="261" t="s">
        <v>114</v>
      </c>
      <c r="C11" s="262" t="s">
        <v>24</v>
      </c>
      <c r="D11" s="262" t="s">
        <v>53</v>
      </c>
      <c r="E11" s="266">
        <v>649435464.61000001</v>
      </c>
      <c r="F11" s="263">
        <v>849681774</v>
      </c>
      <c r="G11" s="266">
        <v>1019618128.8</v>
      </c>
      <c r="H11" s="266">
        <v>173818664</v>
      </c>
      <c r="I11" s="263">
        <v>207232286</v>
      </c>
      <c r="J11" s="263">
        <v>231155134</v>
      </c>
      <c r="K11" s="263"/>
      <c r="L11" s="263"/>
      <c r="M11" s="266">
        <v>1223541754.5599999</v>
      </c>
      <c r="N11" s="266">
        <f t="shared" si="0"/>
        <v>1468250105.4719999</v>
      </c>
    </row>
    <row r="12" spans="1:14" x14ac:dyDescent="0.25">
      <c r="A12" s="416"/>
      <c r="B12" s="261" t="s">
        <v>115</v>
      </c>
      <c r="C12" s="262" t="s">
        <v>116</v>
      </c>
      <c r="D12" s="262" t="s">
        <v>53</v>
      </c>
      <c r="E12" s="266">
        <v>1109733.95</v>
      </c>
      <c r="F12" s="263">
        <v>1405822.3675203959</v>
      </c>
      <c r="G12" s="266">
        <v>1686986.8410244749</v>
      </c>
      <c r="H12" s="266">
        <f>H11/H10</f>
        <v>293117.47723440133</v>
      </c>
      <c r="I12" s="268">
        <f>I11/I10</f>
        <v>349464.22596964589</v>
      </c>
      <c r="J12" s="268">
        <f>J11/J10</f>
        <v>389806.29679595277</v>
      </c>
      <c r="K12" s="268"/>
      <c r="L12" s="263"/>
      <c r="M12" s="266">
        <v>2024384.2092293699</v>
      </c>
      <c r="N12" s="266">
        <f t="shared" si="0"/>
        <v>2429261.0510752439</v>
      </c>
    </row>
    <row r="13" spans="1:14" x14ac:dyDescent="0.25">
      <c r="A13" s="416"/>
      <c r="B13" s="274" t="s">
        <v>117</v>
      </c>
      <c r="C13" s="275" t="s">
        <v>5</v>
      </c>
      <c r="D13" s="275" t="s">
        <v>53</v>
      </c>
      <c r="E13" s="276">
        <v>1720</v>
      </c>
      <c r="F13" s="277">
        <v>1722</v>
      </c>
      <c r="G13" s="277">
        <v>2066.4</v>
      </c>
      <c r="H13" s="279">
        <v>1722</v>
      </c>
      <c r="I13" s="277">
        <v>1722</v>
      </c>
      <c r="J13" s="280">
        <v>1722</v>
      </c>
      <c r="K13" s="277"/>
      <c r="L13" s="277"/>
      <c r="M13" s="277">
        <v>2479.6799999999998</v>
      </c>
      <c r="N13" s="277">
        <f t="shared" si="0"/>
        <v>2975.6159999999995</v>
      </c>
    </row>
    <row r="14" spans="1:14" x14ac:dyDescent="0.25">
      <c r="A14" s="416"/>
      <c r="B14" s="261" t="s">
        <v>118</v>
      </c>
      <c r="C14" s="262" t="s">
        <v>24</v>
      </c>
      <c r="D14" s="262" t="s">
        <v>53</v>
      </c>
      <c r="E14" s="266">
        <v>1551547389.6000001</v>
      </c>
      <c r="F14" s="268">
        <v>1847201081</v>
      </c>
      <c r="G14" s="266">
        <v>2216641297.1999998</v>
      </c>
      <c r="H14" s="266">
        <v>479106759</v>
      </c>
      <c r="I14" s="268">
        <v>546325175</v>
      </c>
      <c r="J14" s="268">
        <v>562067181</v>
      </c>
      <c r="K14" s="268"/>
      <c r="L14" s="268"/>
      <c r="M14" s="266">
        <v>2659969556.6399999</v>
      </c>
      <c r="N14" s="266">
        <f t="shared" si="0"/>
        <v>3191963467.9679999</v>
      </c>
    </row>
    <row r="15" spans="1:14" x14ac:dyDescent="0.25">
      <c r="A15" s="416"/>
      <c r="B15" s="261" t="s">
        <v>119</v>
      </c>
      <c r="C15" s="262" t="s">
        <v>116</v>
      </c>
      <c r="D15" s="262" t="s">
        <v>7</v>
      </c>
      <c r="E15" s="266">
        <v>929627</v>
      </c>
      <c r="F15" s="268">
        <v>484017545.65635592</v>
      </c>
      <c r="G15" s="266">
        <v>580821054.7876271</v>
      </c>
      <c r="H15" s="266">
        <f>H14/H13</f>
        <v>278226.92160278745</v>
      </c>
      <c r="I15" s="263">
        <f>I14/I13</f>
        <v>317262.00638792105</v>
      </c>
      <c r="J15" s="263">
        <f>J14/J13</f>
        <v>326403.70557491289</v>
      </c>
      <c r="K15" s="263"/>
      <c r="L15" s="268"/>
      <c r="M15" s="266">
        <v>696985265.74515247</v>
      </c>
      <c r="N15" s="266">
        <f t="shared" si="0"/>
        <v>836382318.89418292</v>
      </c>
    </row>
    <row r="16" spans="1:14" x14ac:dyDescent="0.25">
      <c r="A16" s="416"/>
      <c r="B16" s="261" t="s">
        <v>120</v>
      </c>
      <c r="C16" s="262" t="s">
        <v>5</v>
      </c>
      <c r="D16" s="262" t="s">
        <v>53</v>
      </c>
      <c r="E16" s="266">
        <v>0</v>
      </c>
      <c r="F16" s="268">
        <v>0</v>
      </c>
      <c r="G16" s="263">
        <v>0</v>
      </c>
      <c r="H16" s="267">
        <v>0</v>
      </c>
      <c r="I16" s="263">
        <v>0</v>
      </c>
      <c r="J16" s="263">
        <v>0</v>
      </c>
      <c r="K16" s="263"/>
      <c r="L16" s="268"/>
      <c r="M16" s="263">
        <v>0</v>
      </c>
      <c r="N16" s="263">
        <v>0</v>
      </c>
    </row>
    <row r="17" spans="1:14" x14ac:dyDescent="0.25">
      <c r="A17" s="416"/>
      <c r="B17" s="261" t="s">
        <v>121</v>
      </c>
      <c r="C17" s="262" t="s">
        <v>5</v>
      </c>
      <c r="D17" s="262" t="s">
        <v>53</v>
      </c>
      <c r="E17" s="281">
        <v>22</v>
      </c>
      <c r="F17" s="263">
        <v>21</v>
      </c>
      <c r="G17" s="263">
        <v>22</v>
      </c>
      <c r="H17" s="281">
        <v>4</v>
      </c>
      <c r="I17" s="263">
        <v>4</v>
      </c>
      <c r="J17" s="263">
        <v>5</v>
      </c>
      <c r="K17" s="263"/>
      <c r="L17" s="263"/>
      <c r="M17" s="263">
        <v>22</v>
      </c>
      <c r="N17" s="263">
        <v>22</v>
      </c>
    </row>
    <row r="18" spans="1:14" x14ac:dyDescent="0.25">
      <c r="A18" s="416"/>
      <c r="B18" s="261" t="s">
        <v>122</v>
      </c>
      <c r="C18" s="282" t="s">
        <v>24</v>
      </c>
      <c r="D18" s="282" t="s">
        <v>53</v>
      </c>
      <c r="E18" s="283">
        <v>2092586.4675000003</v>
      </c>
      <c r="F18" s="284">
        <v>2408759.5300000003</v>
      </c>
      <c r="G18" s="283">
        <v>2890511.4360000002</v>
      </c>
      <c r="H18" s="283">
        <v>521378.39</v>
      </c>
      <c r="I18" s="263">
        <f>H18</f>
        <v>521378.39</v>
      </c>
      <c r="J18" s="283">
        <v>114087.47</v>
      </c>
      <c r="K18" s="284"/>
      <c r="L18" s="284"/>
      <c r="M18" s="283">
        <v>3468613.7232000004</v>
      </c>
      <c r="N18" s="283">
        <f>+M18*1.2</f>
        <v>4162336.4678400001</v>
      </c>
    </row>
    <row r="19" spans="1:14" x14ac:dyDescent="0.25">
      <c r="A19" s="416"/>
      <c r="B19" s="261" t="s">
        <v>123</v>
      </c>
      <c r="C19" s="262" t="s">
        <v>5</v>
      </c>
      <c r="D19" s="262" t="s">
        <v>53</v>
      </c>
      <c r="E19" s="281">
        <v>284</v>
      </c>
      <c r="F19" s="263">
        <v>309</v>
      </c>
      <c r="G19" s="263">
        <v>339.90000000000003</v>
      </c>
      <c r="H19" s="281">
        <v>90</v>
      </c>
      <c r="I19" s="263">
        <v>83</v>
      </c>
      <c r="J19" s="263">
        <v>87</v>
      </c>
      <c r="K19" s="263"/>
      <c r="L19" s="263"/>
      <c r="M19" s="263">
        <v>373.89000000000004</v>
      </c>
      <c r="N19" s="263">
        <f>+M19*1.1</f>
        <v>411.27900000000005</v>
      </c>
    </row>
    <row r="20" spans="1:14" x14ac:dyDescent="0.25">
      <c r="A20" s="416"/>
      <c r="B20" s="261" t="s">
        <v>124</v>
      </c>
      <c r="C20" s="262" t="s">
        <v>5</v>
      </c>
      <c r="D20" s="262" t="s">
        <v>53</v>
      </c>
      <c r="E20" s="281">
        <v>304</v>
      </c>
      <c r="F20" s="263">
        <v>328</v>
      </c>
      <c r="G20" s="263">
        <v>360.8</v>
      </c>
      <c r="H20" s="281">
        <v>81</v>
      </c>
      <c r="I20" s="263">
        <v>93</v>
      </c>
      <c r="J20" s="263">
        <v>80</v>
      </c>
      <c r="K20" s="263"/>
      <c r="L20" s="263"/>
      <c r="M20" s="263">
        <v>396.88000000000005</v>
      </c>
      <c r="N20" s="263">
        <f>+M20*1.1</f>
        <v>436.5680000000001</v>
      </c>
    </row>
    <row r="21" spans="1:14" x14ac:dyDescent="0.25">
      <c r="A21" s="417" t="s">
        <v>29</v>
      </c>
      <c r="B21" s="274" t="s">
        <v>125</v>
      </c>
      <c r="C21" s="275"/>
      <c r="D21" s="285"/>
      <c r="E21" s="286">
        <v>0</v>
      </c>
      <c r="F21" s="275"/>
      <c r="G21" s="275"/>
      <c r="H21" s="286"/>
      <c r="I21" s="275"/>
      <c r="J21" s="275"/>
      <c r="K21" s="275"/>
      <c r="L21" s="275"/>
      <c r="M21" s="275"/>
      <c r="N21" s="287"/>
    </row>
    <row r="22" spans="1:14" x14ac:dyDescent="0.25">
      <c r="A22" s="417"/>
      <c r="B22" s="261" t="s">
        <v>126</v>
      </c>
      <c r="C22" s="282" t="s">
        <v>5</v>
      </c>
      <c r="D22" s="282" t="s">
        <v>53</v>
      </c>
      <c r="E22" s="288">
        <v>708</v>
      </c>
      <c r="F22" s="284">
        <v>738</v>
      </c>
      <c r="G22" s="284">
        <v>811.80000000000007</v>
      </c>
      <c r="H22" s="288">
        <v>673</v>
      </c>
      <c r="I22" s="263">
        <v>663</v>
      </c>
      <c r="J22" s="284">
        <v>650</v>
      </c>
      <c r="K22" s="284"/>
      <c r="L22" s="284"/>
      <c r="M22" s="284">
        <v>892.98000000000013</v>
      </c>
      <c r="N22" s="289">
        <f>+M22*1.1</f>
        <v>982.27800000000025</v>
      </c>
    </row>
    <row r="23" spans="1:14" x14ac:dyDescent="0.25">
      <c r="A23" s="417"/>
      <c r="B23" s="261" t="s">
        <v>127</v>
      </c>
      <c r="C23" s="282" t="s">
        <v>5</v>
      </c>
      <c r="D23" s="282" t="s">
        <v>53</v>
      </c>
      <c r="E23" s="288">
        <v>69</v>
      </c>
      <c r="F23" s="284">
        <v>65</v>
      </c>
      <c r="G23" s="284">
        <v>74</v>
      </c>
      <c r="H23" s="288">
        <v>74</v>
      </c>
      <c r="I23" s="263">
        <v>73</v>
      </c>
      <c r="J23" s="284">
        <v>72</v>
      </c>
      <c r="K23" s="284"/>
      <c r="L23" s="284"/>
      <c r="M23" s="284">
        <v>79</v>
      </c>
      <c r="N23" s="289">
        <v>79</v>
      </c>
    </row>
    <row r="24" spans="1:14" x14ac:dyDescent="0.25">
      <c r="A24" s="417"/>
      <c r="B24" s="261" t="s">
        <v>128</v>
      </c>
      <c r="C24" s="282" t="s">
        <v>5</v>
      </c>
      <c r="D24" s="282" t="s">
        <v>53</v>
      </c>
      <c r="E24" s="288">
        <v>130</v>
      </c>
      <c r="F24" s="284">
        <v>119</v>
      </c>
      <c r="G24" s="284">
        <v>138</v>
      </c>
      <c r="H24" s="288">
        <v>118</v>
      </c>
      <c r="I24" s="263">
        <v>115</v>
      </c>
      <c r="J24" s="284">
        <v>115</v>
      </c>
      <c r="K24" s="284"/>
      <c r="L24" s="284"/>
      <c r="M24" s="284">
        <v>146</v>
      </c>
      <c r="N24" s="289">
        <v>146</v>
      </c>
    </row>
    <row r="25" spans="1:14" x14ac:dyDescent="0.25">
      <c r="A25" s="417"/>
      <c r="B25" s="261" t="s">
        <v>129</v>
      </c>
      <c r="C25" s="282" t="s">
        <v>5</v>
      </c>
      <c r="D25" s="282" t="s">
        <v>53</v>
      </c>
      <c r="E25" s="288">
        <v>509</v>
      </c>
      <c r="F25" s="284">
        <v>633</v>
      </c>
      <c r="G25" s="284">
        <v>518</v>
      </c>
      <c r="H25" s="288">
        <v>544</v>
      </c>
      <c r="I25" s="263">
        <v>538</v>
      </c>
      <c r="J25" s="284">
        <v>535</v>
      </c>
      <c r="K25" s="284"/>
      <c r="L25" s="284"/>
      <c r="M25" s="284">
        <v>525</v>
      </c>
      <c r="N25" s="289">
        <v>525</v>
      </c>
    </row>
    <row r="26" spans="1:14" x14ac:dyDescent="0.25">
      <c r="A26" s="417"/>
      <c r="B26" s="261" t="s">
        <v>130</v>
      </c>
      <c r="C26" s="282" t="s">
        <v>5</v>
      </c>
      <c r="D26" s="282" t="s">
        <v>53</v>
      </c>
      <c r="E26" s="288">
        <v>736</v>
      </c>
      <c r="F26" s="284">
        <v>733</v>
      </c>
      <c r="G26" s="284">
        <v>806.30000000000007</v>
      </c>
      <c r="H26" s="288">
        <f>H27+H28+H29+H30+H31+H32</f>
        <v>678</v>
      </c>
      <c r="I26" s="263">
        <f>I27+I28+I29+I30+I31+I32</f>
        <v>671</v>
      </c>
      <c r="J26" s="284">
        <f>J27+J28+J29+J30+J31+J32</f>
        <v>668</v>
      </c>
      <c r="K26" s="284"/>
      <c r="L26" s="284"/>
      <c r="M26" s="284">
        <v>886.93000000000018</v>
      </c>
      <c r="N26" s="289">
        <f>+M26*1.1</f>
        <v>975.62300000000027</v>
      </c>
    </row>
    <row r="27" spans="1:14" x14ac:dyDescent="0.25">
      <c r="A27" s="417"/>
      <c r="B27" s="261" t="s">
        <v>131</v>
      </c>
      <c r="C27" s="282" t="s">
        <v>5</v>
      </c>
      <c r="D27" s="282" t="s">
        <v>53</v>
      </c>
      <c r="E27" s="288">
        <v>5</v>
      </c>
      <c r="F27" s="284">
        <v>5</v>
      </c>
      <c r="G27" s="284">
        <v>5</v>
      </c>
      <c r="H27" s="288">
        <v>4</v>
      </c>
      <c r="I27" s="263">
        <v>4</v>
      </c>
      <c r="J27" s="284">
        <v>4</v>
      </c>
      <c r="K27" s="284"/>
      <c r="L27" s="284"/>
      <c r="M27" s="284">
        <v>5</v>
      </c>
      <c r="N27" s="289">
        <v>5</v>
      </c>
    </row>
    <row r="28" spans="1:14" x14ac:dyDescent="0.25">
      <c r="A28" s="417"/>
      <c r="B28" s="261" t="s">
        <v>132</v>
      </c>
      <c r="C28" s="282" t="s">
        <v>5</v>
      </c>
      <c r="D28" s="282" t="s">
        <v>53</v>
      </c>
      <c r="E28" s="288">
        <v>541</v>
      </c>
      <c r="F28" s="284">
        <v>633</v>
      </c>
      <c r="G28" s="284">
        <v>696.30000000000007</v>
      </c>
      <c r="H28" s="288">
        <v>646</v>
      </c>
      <c r="I28" s="263">
        <v>639</v>
      </c>
      <c r="J28" s="284">
        <v>635</v>
      </c>
      <c r="K28" s="284"/>
      <c r="L28" s="284"/>
      <c r="M28" s="284">
        <v>765.93000000000018</v>
      </c>
      <c r="N28" s="289">
        <f>+M28*1.1</f>
        <v>842.52300000000025</v>
      </c>
    </row>
    <row r="29" spans="1:14" x14ac:dyDescent="0.25">
      <c r="A29" s="417"/>
      <c r="B29" s="261" t="s">
        <v>133</v>
      </c>
      <c r="C29" s="282" t="s">
        <v>5</v>
      </c>
      <c r="D29" s="282" t="s">
        <v>53</v>
      </c>
      <c r="E29" s="288">
        <v>98</v>
      </c>
      <c r="F29" s="284">
        <v>84</v>
      </c>
      <c r="G29" s="284">
        <v>92.4</v>
      </c>
      <c r="H29" s="288">
        <v>14</v>
      </c>
      <c r="I29" s="263">
        <v>14</v>
      </c>
      <c r="J29" s="284">
        <v>15</v>
      </c>
      <c r="K29" s="284"/>
      <c r="L29" s="284"/>
      <c r="M29" s="284">
        <v>101.64000000000001</v>
      </c>
      <c r="N29" s="289">
        <f>+M29*1.1</f>
        <v>111.80400000000003</v>
      </c>
    </row>
    <row r="30" spans="1:14" x14ac:dyDescent="0.25">
      <c r="A30" s="417"/>
      <c r="B30" s="261" t="s">
        <v>134</v>
      </c>
      <c r="C30" s="282" t="s">
        <v>5</v>
      </c>
      <c r="D30" s="282" t="s">
        <v>53</v>
      </c>
      <c r="E30" s="288">
        <v>6</v>
      </c>
      <c r="F30" s="284">
        <v>2</v>
      </c>
      <c r="G30" s="284">
        <v>2.2000000000000002</v>
      </c>
      <c r="H30" s="288">
        <v>2</v>
      </c>
      <c r="I30" s="263">
        <v>2</v>
      </c>
      <c r="J30" s="284">
        <v>2</v>
      </c>
      <c r="K30" s="284"/>
      <c r="L30" s="284"/>
      <c r="M30" s="284">
        <v>2.4200000000000004</v>
      </c>
      <c r="N30" s="289">
        <f>+M30*1.1</f>
        <v>2.6620000000000008</v>
      </c>
    </row>
    <row r="31" spans="1:14" x14ac:dyDescent="0.25">
      <c r="A31" s="417"/>
      <c r="B31" s="261" t="s">
        <v>135</v>
      </c>
      <c r="C31" s="282" t="s">
        <v>5</v>
      </c>
      <c r="D31" s="282" t="s">
        <v>53</v>
      </c>
      <c r="E31" s="288">
        <v>88</v>
      </c>
      <c r="F31" s="284">
        <v>18</v>
      </c>
      <c r="G31" s="284">
        <v>19.8</v>
      </c>
      <c r="H31" s="288">
        <v>11</v>
      </c>
      <c r="I31" s="263">
        <v>10</v>
      </c>
      <c r="J31" s="284">
        <v>10</v>
      </c>
      <c r="K31" s="284"/>
      <c r="L31" s="284"/>
      <c r="M31" s="284">
        <v>21.78</v>
      </c>
      <c r="N31" s="289">
        <f>+M31*1.1</f>
        <v>23.958000000000002</v>
      </c>
    </row>
    <row r="32" spans="1:14" x14ac:dyDescent="0.25">
      <c r="A32" s="417"/>
      <c r="B32" s="261" t="s">
        <v>136</v>
      </c>
      <c r="C32" s="282" t="s">
        <v>5</v>
      </c>
      <c r="D32" s="282" t="s">
        <v>53</v>
      </c>
      <c r="E32" s="288">
        <v>3</v>
      </c>
      <c r="F32" s="284">
        <v>4</v>
      </c>
      <c r="G32" s="284">
        <v>4.4000000000000004</v>
      </c>
      <c r="H32" s="288">
        <v>1</v>
      </c>
      <c r="I32" s="263">
        <v>2</v>
      </c>
      <c r="J32" s="284">
        <v>2</v>
      </c>
      <c r="K32" s="284"/>
      <c r="L32" s="284"/>
      <c r="M32" s="284">
        <v>4.8400000000000007</v>
      </c>
      <c r="N32" s="289">
        <f>+M32*1.1</f>
        <v>5.3240000000000016</v>
      </c>
    </row>
    <row r="33" spans="1:14" x14ac:dyDescent="0.25">
      <c r="A33" s="417"/>
      <c r="B33" s="274" t="s">
        <v>137</v>
      </c>
      <c r="C33" s="275"/>
      <c r="D33" s="285"/>
      <c r="E33" s="286">
        <v>0</v>
      </c>
      <c r="F33" s="277"/>
      <c r="G33" s="277"/>
      <c r="H33" s="286"/>
      <c r="I33" s="277"/>
      <c r="J33" s="277"/>
      <c r="K33" s="277"/>
      <c r="L33" s="277"/>
      <c r="M33" s="277"/>
      <c r="N33" s="290"/>
    </row>
    <row r="34" spans="1:14" x14ac:dyDescent="0.25">
      <c r="A34" s="417"/>
      <c r="B34" s="261" t="s">
        <v>138</v>
      </c>
      <c r="C34" s="262" t="s">
        <v>5</v>
      </c>
      <c r="D34" s="262" t="s">
        <v>53</v>
      </c>
      <c r="E34" s="281">
        <v>11</v>
      </c>
      <c r="F34" s="263">
        <v>11</v>
      </c>
      <c r="G34" s="263">
        <v>14</v>
      </c>
      <c r="H34" s="263">
        <f>F34</f>
        <v>11</v>
      </c>
      <c r="I34" s="263">
        <v>11</v>
      </c>
      <c r="J34" s="263">
        <v>11</v>
      </c>
      <c r="K34" s="263"/>
      <c r="L34" s="263"/>
      <c r="M34" s="263">
        <v>14</v>
      </c>
      <c r="N34" s="291">
        <v>14</v>
      </c>
    </row>
    <row r="35" spans="1:14" x14ac:dyDescent="0.25">
      <c r="A35" s="418"/>
      <c r="B35" s="261" t="s">
        <v>139</v>
      </c>
      <c r="C35" s="262" t="s">
        <v>5</v>
      </c>
      <c r="D35" s="262" t="s">
        <v>53</v>
      </c>
      <c r="E35" s="281">
        <v>611</v>
      </c>
      <c r="F35" s="263">
        <v>669</v>
      </c>
      <c r="G35" s="263">
        <f>F35*0.045+F35</f>
        <v>699.10500000000002</v>
      </c>
      <c r="H35" s="263">
        <f>F35</f>
        <v>669</v>
      </c>
      <c r="I35" s="263">
        <f>I36+I37</f>
        <v>671</v>
      </c>
      <c r="J35" s="263">
        <v>671</v>
      </c>
      <c r="K35" s="263"/>
      <c r="L35" s="263"/>
      <c r="M35" s="263">
        <f>G35*0.045+G35</f>
        <v>730.56472500000007</v>
      </c>
      <c r="N35" s="291">
        <f>M35*1.045</f>
        <v>763.44013762500003</v>
      </c>
    </row>
    <row r="36" spans="1:14" x14ac:dyDescent="0.25">
      <c r="A36" s="418"/>
      <c r="B36" s="261" t="s">
        <v>140</v>
      </c>
      <c r="C36" s="262" t="s">
        <v>5</v>
      </c>
      <c r="D36" s="262" t="s">
        <v>53</v>
      </c>
      <c r="E36" s="281">
        <v>447</v>
      </c>
      <c r="F36" s="263">
        <v>492</v>
      </c>
      <c r="G36" s="263">
        <f t="shared" ref="G36:G37" si="1">F36*0.045+F36</f>
        <v>514.14</v>
      </c>
      <c r="H36" s="263">
        <f>F36</f>
        <v>492</v>
      </c>
      <c r="I36" s="263">
        <v>492</v>
      </c>
      <c r="J36" s="263">
        <v>492</v>
      </c>
      <c r="K36" s="263"/>
      <c r="L36" s="263"/>
      <c r="M36" s="263">
        <f t="shared" ref="M36:M37" si="2">G36*0.045+G36</f>
        <v>537.27629999999999</v>
      </c>
      <c r="N36" s="291">
        <f t="shared" ref="N36:N37" si="3">M36*1.045</f>
        <v>561.4537335</v>
      </c>
    </row>
    <row r="37" spans="1:14" x14ac:dyDescent="0.25">
      <c r="A37" s="418"/>
      <c r="B37" s="261" t="s">
        <v>141</v>
      </c>
      <c r="C37" s="262" t="s">
        <v>5</v>
      </c>
      <c r="D37" s="262" t="s">
        <v>53</v>
      </c>
      <c r="E37" s="281">
        <v>164</v>
      </c>
      <c r="F37" s="263">
        <v>177</v>
      </c>
      <c r="G37" s="263">
        <f t="shared" si="1"/>
        <v>184.965</v>
      </c>
      <c r="H37" s="263">
        <f>F37</f>
        <v>177</v>
      </c>
      <c r="I37" s="263">
        <v>179</v>
      </c>
      <c r="J37" s="263">
        <v>179</v>
      </c>
      <c r="K37" s="263"/>
      <c r="L37" s="263"/>
      <c r="M37" s="263">
        <f t="shared" si="2"/>
        <v>193.28842500000002</v>
      </c>
      <c r="N37" s="291">
        <f t="shared" si="3"/>
        <v>201.98640412500001</v>
      </c>
    </row>
    <row r="38" spans="1:14" x14ac:dyDescent="0.25">
      <c r="A38" s="418"/>
      <c r="B38" s="274" t="s">
        <v>142</v>
      </c>
      <c r="C38" s="275"/>
      <c r="D38" s="285"/>
      <c r="E38" s="286">
        <v>0</v>
      </c>
      <c r="F38" s="277"/>
      <c r="G38" s="277"/>
      <c r="H38" s="286"/>
      <c r="I38" s="277"/>
      <c r="J38" s="277"/>
      <c r="K38" s="277"/>
      <c r="L38" s="277"/>
      <c r="M38" s="277"/>
      <c r="N38" s="290"/>
    </row>
    <row r="39" spans="1:14" x14ac:dyDescent="0.25">
      <c r="A39" s="418"/>
      <c r="B39" s="261" t="s">
        <v>143</v>
      </c>
      <c r="C39" s="262" t="s">
        <v>24</v>
      </c>
      <c r="D39" s="262" t="s">
        <v>53</v>
      </c>
      <c r="E39" s="266">
        <v>3032866400</v>
      </c>
      <c r="F39" s="266">
        <v>3091560044.54</v>
      </c>
      <c r="G39" s="263">
        <v>4640806137.2879992</v>
      </c>
      <c r="H39" s="266">
        <v>4670804061</v>
      </c>
      <c r="I39" s="263">
        <v>4670804061</v>
      </c>
      <c r="J39" s="263">
        <f>I39</f>
        <v>4670804061</v>
      </c>
      <c r="K39" s="263"/>
      <c r="L39" s="263"/>
      <c r="M39" s="263">
        <v>5568967364.7455988</v>
      </c>
      <c r="N39" s="263">
        <f>+M39*1.2</f>
        <v>6682760837.6947184</v>
      </c>
    </row>
    <row r="40" spans="1:14" x14ac:dyDescent="0.25">
      <c r="A40" s="418"/>
      <c r="B40" s="261" t="s">
        <v>144</v>
      </c>
      <c r="C40" s="262" t="s">
        <v>24</v>
      </c>
      <c r="D40" s="262" t="s">
        <v>53</v>
      </c>
      <c r="E40" s="266">
        <f>E39</f>
        <v>3032866400</v>
      </c>
      <c r="F40" s="266">
        <v>4249930774.8400002</v>
      </c>
      <c r="G40" s="263">
        <v>4640806137.2879992</v>
      </c>
      <c r="H40" s="266">
        <f>H39</f>
        <v>4670804061</v>
      </c>
      <c r="I40" s="263">
        <f>I39</f>
        <v>4670804061</v>
      </c>
      <c r="J40" s="263">
        <f>I40</f>
        <v>4670804061</v>
      </c>
      <c r="K40" s="263"/>
      <c r="L40" s="263"/>
      <c r="M40" s="263">
        <v>5568967364.7455988</v>
      </c>
      <c r="N40" s="263">
        <f>+M40*1.2</f>
        <v>6682760837.6947184</v>
      </c>
    </row>
    <row r="41" spans="1:14" x14ac:dyDescent="0.25">
      <c r="A41" s="418"/>
      <c r="B41" s="261" t="s">
        <v>145</v>
      </c>
      <c r="C41" s="262" t="s">
        <v>24</v>
      </c>
      <c r="D41" s="262" t="s">
        <v>53</v>
      </c>
      <c r="E41" s="266">
        <v>2937489267.6700001</v>
      </c>
      <c r="F41" s="268">
        <v>3872155095.4899998</v>
      </c>
      <c r="G41" s="263">
        <v>4640806137.2879992</v>
      </c>
      <c r="H41" s="266">
        <v>874173923.24000001</v>
      </c>
      <c r="I41" s="263">
        <v>1153216291.3099999</v>
      </c>
      <c r="J41" s="263">
        <v>1159971063.3799999</v>
      </c>
      <c r="K41" s="263"/>
      <c r="L41" s="263"/>
      <c r="M41" s="263">
        <v>5568967364.7455988</v>
      </c>
      <c r="N41" s="263">
        <f>+M41*1.2</f>
        <v>6682760837.6947184</v>
      </c>
    </row>
    <row r="42" spans="1:14" ht="15.75" thickBot="1" x14ac:dyDescent="0.3">
      <c r="A42" s="419"/>
      <c r="B42" s="261" t="s">
        <v>146</v>
      </c>
      <c r="C42" s="262" t="s">
        <v>6</v>
      </c>
      <c r="D42" s="262" t="s">
        <v>53</v>
      </c>
      <c r="E42" s="292">
        <f>E41/E39</f>
        <v>0.96855214844610371</v>
      </c>
      <c r="F42" s="292">
        <f>F41/F40</f>
        <v>0.91111015699679887</v>
      </c>
      <c r="G42" s="266" t="s">
        <v>151</v>
      </c>
      <c r="H42" s="292">
        <f>H41/H40</f>
        <v>0.18715705300916496</v>
      </c>
      <c r="I42" s="292">
        <f>I41/I40</f>
        <v>0.24689887998921989</v>
      </c>
      <c r="J42" s="293">
        <f>J41/J39</f>
        <v>0.2483450489960512</v>
      </c>
      <c r="K42" s="292"/>
      <c r="L42" s="292"/>
      <c r="M42" s="263" t="s">
        <v>151</v>
      </c>
      <c r="N42" s="263" t="s">
        <v>151</v>
      </c>
    </row>
    <row r="43" spans="1:14" x14ac:dyDescent="0.25">
      <c r="H43" s="294"/>
      <c r="I43" s="294"/>
    </row>
    <row r="46" spans="1:14" x14ac:dyDescent="0.25">
      <c r="H46" s="294"/>
    </row>
  </sheetData>
  <mergeCells count="12">
    <mergeCell ref="A7:A20"/>
    <mergeCell ref="A21:A42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36" right="0.48" top="0.49" bottom="0.53" header="0.31496062992125984" footer="0.31496062992125984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49" zoomScale="130" zoomScaleNormal="130" workbookViewId="0">
      <selection activeCell="B64" sqref="B64"/>
    </sheetView>
  </sheetViews>
  <sheetFormatPr baseColWidth="10" defaultRowHeight="12.75" x14ac:dyDescent="0.2"/>
  <cols>
    <col min="1" max="1" width="5.85546875" style="295" customWidth="1"/>
    <col min="2" max="2" width="45.28515625" style="295" customWidth="1"/>
    <col min="3" max="3" width="7.28515625" style="295" customWidth="1"/>
    <col min="4" max="6" width="8.7109375" style="165" customWidth="1"/>
    <col min="7" max="8" width="8.5703125" style="165" customWidth="1"/>
    <col min="9" max="10" width="8.7109375" style="165" customWidth="1"/>
    <col min="11" max="11" width="8.5703125" style="165" customWidth="1"/>
    <col min="12" max="256" width="11.42578125" style="295"/>
    <col min="257" max="257" width="5.85546875" style="295" customWidth="1"/>
    <col min="258" max="258" width="45.28515625" style="295" customWidth="1"/>
    <col min="259" max="259" width="7.28515625" style="295" customWidth="1"/>
    <col min="260" max="262" width="8.7109375" style="295" customWidth="1"/>
    <col min="263" max="264" width="8.5703125" style="295" customWidth="1"/>
    <col min="265" max="266" width="8.7109375" style="295" customWidth="1"/>
    <col min="267" max="267" width="8.5703125" style="295" customWidth="1"/>
    <col min="268" max="512" width="11.42578125" style="295"/>
    <col min="513" max="513" width="5.85546875" style="295" customWidth="1"/>
    <col min="514" max="514" width="45.28515625" style="295" customWidth="1"/>
    <col min="515" max="515" width="7.28515625" style="295" customWidth="1"/>
    <col min="516" max="518" width="8.7109375" style="295" customWidth="1"/>
    <col min="519" max="520" width="8.5703125" style="295" customWidth="1"/>
    <col min="521" max="522" width="8.7109375" style="295" customWidth="1"/>
    <col min="523" max="523" width="8.5703125" style="295" customWidth="1"/>
    <col min="524" max="768" width="11.42578125" style="295"/>
    <col min="769" max="769" width="5.85546875" style="295" customWidth="1"/>
    <col min="770" max="770" width="45.28515625" style="295" customWidth="1"/>
    <col min="771" max="771" width="7.28515625" style="295" customWidth="1"/>
    <col min="772" max="774" width="8.7109375" style="295" customWidth="1"/>
    <col min="775" max="776" width="8.5703125" style="295" customWidth="1"/>
    <col min="777" max="778" width="8.7109375" style="295" customWidth="1"/>
    <col min="779" max="779" width="8.5703125" style="295" customWidth="1"/>
    <col min="780" max="1024" width="11.42578125" style="295"/>
    <col min="1025" max="1025" width="5.85546875" style="295" customWidth="1"/>
    <col min="1026" max="1026" width="45.28515625" style="295" customWidth="1"/>
    <col min="1027" max="1027" width="7.28515625" style="295" customWidth="1"/>
    <col min="1028" max="1030" width="8.7109375" style="295" customWidth="1"/>
    <col min="1031" max="1032" width="8.5703125" style="295" customWidth="1"/>
    <col min="1033" max="1034" width="8.7109375" style="295" customWidth="1"/>
    <col min="1035" max="1035" width="8.5703125" style="295" customWidth="1"/>
    <col min="1036" max="1280" width="11.42578125" style="295"/>
    <col min="1281" max="1281" width="5.85546875" style="295" customWidth="1"/>
    <col min="1282" max="1282" width="45.28515625" style="295" customWidth="1"/>
    <col min="1283" max="1283" width="7.28515625" style="295" customWidth="1"/>
    <col min="1284" max="1286" width="8.7109375" style="295" customWidth="1"/>
    <col min="1287" max="1288" width="8.5703125" style="295" customWidth="1"/>
    <col min="1289" max="1290" width="8.7109375" style="295" customWidth="1"/>
    <col min="1291" max="1291" width="8.5703125" style="295" customWidth="1"/>
    <col min="1292" max="1536" width="11.42578125" style="295"/>
    <col min="1537" max="1537" width="5.85546875" style="295" customWidth="1"/>
    <col min="1538" max="1538" width="45.28515625" style="295" customWidth="1"/>
    <col min="1539" max="1539" width="7.28515625" style="295" customWidth="1"/>
    <col min="1540" max="1542" width="8.7109375" style="295" customWidth="1"/>
    <col min="1543" max="1544" width="8.5703125" style="295" customWidth="1"/>
    <col min="1545" max="1546" width="8.7109375" style="295" customWidth="1"/>
    <col min="1547" max="1547" width="8.5703125" style="295" customWidth="1"/>
    <col min="1548" max="1792" width="11.42578125" style="295"/>
    <col min="1793" max="1793" width="5.85546875" style="295" customWidth="1"/>
    <col min="1794" max="1794" width="45.28515625" style="295" customWidth="1"/>
    <col min="1795" max="1795" width="7.28515625" style="295" customWidth="1"/>
    <col min="1796" max="1798" width="8.7109375" style="295" customWidth="1"/>
    <col min="1799" max="1800" width="8.5703125" style="295" customWidth="1"/>
    <col min="1801" max="1802" width="8.7109375" style="295" customWidth="1"/>
    <col min="1803" max="1803" width="8.5703125" style="295" customWidth="1"/>
    <col min="1804" max="2048" width="11.42578125" style="295"/>
    <col min="2049" max="2049" width="5.85546875" style="295" customWidth="1"/>
    <col min="2050" max="2050" width="45.28515625" style="295" customWidth="1"/>
    <col min="2051" max="2051" width="7.28515625" style="295" customWidth="1"/>
    <col min="2052" max="2054" width="8.7109375" style="295" customWidth="1"/>
    <col min="2055" max="2056" width="8.5703125" style="295" customWidth="1"/>
    <col min="2057" max="2058" width="8.7109375" style="295" customWidth="1"/>
    <col min="2059" max="2059" width="8.5703125" style="295" customWidth="1"/>
    <col min="2060" max="2304" width="11.42578125" style="295"/>
    <col min="2305" max="2305" width="5.85546875" style="295" customWidth="1"/>
    <col min="2306" max="2306" width="45.28515625" style="295" customWidth="1"/>
    <col min="2307" max="2307" width="7.28515625" style="295" customWidth="1"/>
    <col min="2308" max="2310" width="8.7109375" style="295" customWidth="1"/>
    <col min="2311" max="2312" width="8.5703125" style="295" customWidth="1"/>
    <col min="2313" max="2314" width="8.7109375" style="295" customWidth="1"/>
    <col min="2315" max="2315" width="8.5703125" style="295" customWidth="1"/>
    <col min="2316" max="2560" width="11.42578125" style="295"/>
    <col min="2561" max="2561" width="5.85546875" style="295" customWidth="1"/>
    <col min="2562" max="2562" width="45.28515625" style="295" customWidth="1"/>
    <col min="2563" max="2563" width="7.28515625" style="295" customWidth="1"/>
    <col min="2564" max="2566" width="8.7109375" style="295" customWidth="1"/>
    <col min="2567" max="2568" width="8.5703125" style="295" customWidth="1"/>
    <col min="2569" max="2570" width="8.7109375" style="295" customWidth="1"/>
    <col min="2571" max="2571" width="8.5703125" style="295" customWidth="1"/>
    <col min="2572" max="2816" width="11.42578125" style="295"/>
    <col min="2817" max="2817" width="5.85546875" style="295" customWidth="1"/>
    <col min="2818" max="2818" width="45.28515625" style="295" customWidth="1"/>
    <col min="2819" max="2819" width="7.28515625" style="295" customWidth="1"/>
    <col min="2820" max="2822" width="8.7109375" style="295" customWidth="1"/>
    <col min="2823" max="2824" width="8.5703125" style="295" customWidth="1"/>
    <col min="2825" max="2826" width="8.7109375" style="295" customWidth="1"/>
    <col min="2827" max="2827" width="8.5703125" style="295" customWidth="1"/>
    <col min="2828" max="3072" width="11.42578125" style="295"/>
    <col min="3073" max="3073" width="5.85546875" style="295" customWidth="1"/>
    <col min="3074" max="3074" width="45.28515625" style="295" customWidth="1"/>
    <col min="3075" max="3075" width="7.28515625" style="295" customWidth="1"/>
    <col min="3076" max="3078" width="8.7109375" style="295" customWidth="1"/>
    <col min="3079" max="3080" width="8.5703125" style="295" customWidth="1"/>
    <col min="3081" max="3082" width="8.7109375" style="295" customWidth="1"/>
    <col min="3083" max="3083" width="8.5703125" style="295" customWidth="1"/>
    <col min="3084" max="3328" width="11.42578125" style="295"/>
    <col min="3329" max="3329" width="5.85546875" style="295" customWidth="1"/>
    <col min="3330" max="3330" width="45.28515625" style="295" customWidth="1"/>
    <col min="3331" max="3331" width="7.28515625" style="295" customWidth="1"/>
    <col min="3332" max="3334" width="8.7109375" style="295" customWidth="1"/>
    <col min="3335" max="3336" width="8.5703125" style="295" customWidth="1"/>
    <col min="3337" max="3338" width="8.7109375" style="295" customWidth="1"/>
    <col min="3339" max="3339" width="8.5703125" style="295" customWidth="1"/>
    <col min="3340" max="3584" width="11.42578125" style="295"/>
    <col min="3585" max="3585" width="5.85546875" style="295" customWidth="1"/>
    <col min="3586" max="3586" width="45.28515625" style="295" customWidth="1"/>
    <col min="3587" max="3587" width="7.28515625" style="295" customWidth="1"/>
    <col min="3588" max="3590" width="8.7109375" style="295" customWidth="1"/>
    <col min="3591" max="3592" width="8.5703125" style="295" customWidth="1"/>
    <col min="3593" max="3594" width="8.7109375" style="295" customWidth="1"/>
    <col min="3595" max="3595" width="8.5703125" style="295" customWidth="1"/>
    <col min="3596" max="3840" width="11.42578125" style="295"/>
    <col min="3841" max="3841" width="5.85546875" style="295" customWidth="1"/>
    <col min="3842" max="3842" width="45.28515625" style="295" customWidth="1"/>
    <col min="3843" max="3843" width="7.28515625" style="295" customWidth="1"/>
    <col min="3844" max="3846" width="8.7109375" style="295" customWidth="1"/>
    <col min="3847" max="3848" width="8.5703125" style="295" customWidth="1"/>
    <col min="3849" max="3850" width="8.7109375" style="295" customWidth="1"/>
    <col min="3851" max="3851" width="8.5703125" style="295" customWidth="1"/>
    <col min="3852" max="4096" width="11.42578125" style="295"/>
    <col min="4097" max="4097" width="5.85546875" style="295" customWidth="1"/>
    <col min="4098" max="4098" width="45.28515625" style="295" customWidth="1"/>
    <col min="4099" max="4099" width="7.28515625" style="295" customWidth="1"/>
    <col min="4100" max="4102" width="8.7109375" style="295" customWidth="1"/>
    <col min="4103" max="4104" width="8.5703125" style="295" customWidth="1"/>
    <col min="4105" max="4106" width="8.7109375" style="295" customWidth="1"/>
    <col min="4107" max="4107" width="8.5703125" style="295" customWidth="1"/>
    <col min="4108" max="4352" width="11.42578125" style="295"/>
    <col min="4353" max="4353" width="5.85546875" style="295" customWidth="1"/>
    <col min="4354" max="4354" width="45.28515625" style="295" customWidth="1"/>
    <col min="4355" max="4355" width="7.28515625" style="295" customWidth="1"/>
    <col min="4356" max="4358" width="8.7109375" style="295" customWidth="1"/>
    <col min="4359" max="4360" width="8.5703125" style="295" customWidth="1"/>
    <col min="4361" max="4362" width="8.7109375" style="295" customWidth="1"/>
    <col min="4363" max="4363" width="8.5703125" style="295" customWidth="1"/>
    <col min="4364" max="4608" width="11.42578125" style="295"/>
    <col min="4609" max="4609" width="5.85546875" style="295" customWidth="1"/>
    <col min="4610" max="4610" width="45.28515625" style="295" customWidth="1"/>
    <col min="4611" max="4611" width="7.28515625" style="295" customWidth="1"/>
    <col min="4612" max="4614" width="8.7109375" style="295" customWidth="1"/>
    <col min="4615" max="4616" width="8.5703125" style="295" customWidth="1"/>
    <col min="4617" max="4618" width="8.7109375" style="295" customWidth="1"/>
    <col min="4619" max="4619" width="8.5703125" style="295" customWidth="1"/>
    <col min="4620" max="4864" width="11.42578125" style="295"/>
    <col min="4865" max="4865" width="5.85546875" style="295" customWidth="1"/>
    <col min="4866" max="4866" width="45.28515625" style="295" customWidth="1"/>
    <col min="4867" max="4867" width="7.28515625" style="295" customWidth="1"/>
    <col min="4868" max="4870" width="8.7109375" style="295" customWidth="1"/>
    <col min="4871" max="4872" width="8.5703125" style="295" customWidth="1"/>
    <col min="4873" max="4874" width="8.7109375" style="295" customWidth="1"/>
    <col min="4875" max="4875" width="8.5703125" style="295" customWidth="1"/>
    <col min="4876" max="5120" width="11.42578125" style="295"/>
    <col min="5121" max="5121" width="5.85546875" style="295" customWidth="1"/>
    <col min="5122" max="5122" width="45.28515625" style="295" customWidth="1"/>
    <col min="5123" max="5123" width="7.28515625" style="295" customWidth="1"/>
    <col min="5124" max="5126" width="8.7109375" style="295" customWidth="1"/>
    <col min="5127" max="5128" width="8.5703125" style="295" customWidth="1"/>
    <col min="5129" max="5130" width="8.7109375" style="295" customWidth="1"/>
    <col min="5131" max="5131" width="8.5703125" style="295" customWidth="1"/>
    <col min="5132" max="5376" width="11.42578125" style="295"/>
    <col min="5377" max="5377" width="5.85546875" style="295" customWidth="1"/>
    <col min="5378" max="5378" width="45.28515625" style="295" customWidth="1"/>
    <col min="5379" max="5379" width="7.28515625" style="295" customWidth="1"/>
    <col min="5380" max="5382" width="8.7109375" style="295" customWidth="1"/>
    <col min="5383" max="5384" width="8.5703125" style="295" customWidth="1"/>
    <col min="5385" max="5386" width="8.7109375" style="295" customWidth="1"/>
    <col min="5387" max="5387" width="8.5703125" style="295" customWidth="1"/>
    <col min="5388" max="5632" width="11.42578125" style="295"/>
    <col min="5633" max="5633" width="5.85546875" style="295" customWidth="1"/>
    <col min="5634" max="5634" width="45.28515625" style="295" customWidth="1"/>
    <col min="5635" max="5635" width="7.28515625" style="295" customWidth="1"/>
    <col min="5636" max="5638" width="8.7109375" style="295" customWidth="1"/>
    <col min="5639" max="5640" width="8.5703125" style="295" customWidth="1"/>
    <col min="5641" max="5642" width="8.7109375" style="295" customWidth="1"/>
    <col min="5643" max="5643" width="8.5703125" style="295" customWidth="1"/>
    <col min="5644" max="5888" width="11.42578125" style="295"/>
    <col min="5889" max="5889" width="5.85546875" style="295" customWidth="1"/>
    <col min="5890" max="5890" width="45.28515625" style="295" customWidth="1"/>
    <col min="5891" max="5891" width="7.28515625" style="295" customWidth="1"/>
    <col min="5892" max="5894" width="8.7109375" style="295" customWidth="1"/>
    <col min="5895" max="5896" width="8.5703125" style="295" customWidth="1"/>
    <col min="5897" max="5898" width="8.7109375" style="295" customWidth="1"/>
    <col min="5899" max="5899" width="8.5703125" style="295" customWidth="1"/>
    <col min="5900" max="6144" width="11.42578125" style="295"/>
    <col min="6145" max="6145" width="5.85546875" style="295" customWidth="1"/>
    <col min="6146" max="6146" width="45.28515625" style="295" customWidth="1"/>
    <col min="6147" max="6147" width="7.28515625" style="295" customWidth="1"/>
    <col min="6148" max="6150" width="8.7109375" style="295" customWidth="1"/>
    <col min="6151" max="6152" width="8.5703125" style="295" customWidth="1"/>
    <col min="6153" max="6154" width="8.7109375" style="295" customWidth="1"/>
    <col min="6155" max="6155" width="8.5703125" style="295" customWidth="1"/>
    <col min="6156" max="6400" width="11.42578125" style="295"/>
    <col min="6401" max="6401" width="5.85546875" style="295" customWidth="1"/>
    <col min="6402" max="6402" width="45.28515625" style="295" customWidth="1"/>
    <col min="6403" max="6403" width="7.28515625" style="295" customWidth="1"/>
    <col min="6404" max="6406" width="8.7109375" style="295" customWidth="1"/>
    <col min="6407" max="6408" width="8.5703125" style="295" customWidth="1"/>
    <col min="6409" max="6410" width="8.7109375" style="295" customWidth="1"/>
    <col min="6411" max="6411" width="8.5703125" style="295" customWidth="1"/>
    <col min="6412" max="6656" width="11.42578125" style="295"/>
    <col min="6657" max="6657" width="5.85546875" style="295" customWidth="1"/>
    <col min="6658" max="6658" width="45.28515625" style="295" customWidth="1"/>
    <col min="6659" max="6659" width="7.28515625" style="295" customWidth="1"/>
    <col min="6660" max="6662" width="8.7109375" style="295" customWidth="1"/>
    <col min="6663" max="6664" width="8.5703125" style="295" customWidth="1"/>
    <col min="6665" max="6666" width="8.7109375" style="295" customWidth="1"/>
    <col min="6667" max="6667" width="8.5703125" style="295" customWidth="1"/>
    <col min="6668" max="6912" width="11.42578125" style="295"/>
    <col min="6913" max="6913" width="5.85546875" style="295" customWidth="1"/>
    <col min="6914" max="6914" width="45.28515625" style="295" customWidth="1"/>
    <col min="6915" max="6915" width="7.28515625" style="295" customWidth="1"/>
    <col min="6916" max="6918" width="8.7109375" style="295" customWidth="1"/>
    <col min="6919" max="6920" width="8.5703125" style="295" customWidth="1"/>
    <col min="6921" max="6922" width="8.7109375" style="295" customWidth="1"/>
    <col min="6923" max="6923" width="8.5703125" style="295" customWidth="1"/>
    <col min="6924" max="7168" width="11.42578125" style="295"/>
    <col min="7169" max="7169" width="5.85546875" style="295" customWidth="1"/>
    <col min="7170" max="7170" width="45.28515625" style="295" customWidth="1"/>
    <col min="7171" max="7171" width="7.28515625" style="295" customWidth="1"/>
    <col min="7172" max="7174" width="8.7109375" style="295" customWidth="1"/>
    <col min="7175" max="7176" width="8.5703125" style="295" customWidth="1"/>
    <col min="7177" max="7178" width="8.7109375" style="295" customWidth="1"/>
    <col min="7179" max="7179" width="8.5703125" style="295" customWidth="1"/>
    <col min="7180" max="7424" width="11.42578125" style="295"/>
    <col min="7425" max="7425" width="5.85546875" style="295" customWidth="1"/>
    <col min="7426" max="7426" width="45.28515625" style="295" customWidth="1"/>
    <col min="7427" max="7427" width="7.28515625" style="295" customWidth="1"/>
    <col min="7428" max="7430" width="8.7109375" style="295" customWidth="1"/>
    <col min="7431" max="7432" width="8.5703125" style="295" customWidth="1"/>
    <col min="7433" max="7434" width="8.7109375" style="295" customWidth="1"/>
    <col min="7435" max="7435" width="8.5703125" style="295" customWidth="1"/>
    <col min="7436" max="7680" width="11.42578125" style="295"/>
    <col min="7681" max="7681" width="5.85546875" style="295" customWidth="1"/>
    <col min="7682" max="7682" width="45.28515625" style="295" customWidth="1"/>
    <col min="7683" max="7683" width="7.28515625" style="295" customWidth="1"/>
    <col min="7684" max="7686" width="8.7109375" style="295" customWidth="1"/>
    <col min="7687" max="7688" width="8.5703125" style="295" customWidth="1"/>
    <col min="7689" max="7690" width="8.7109375" style="295" customWidth="1"/>
    <col min="7691" max="7691" width="8.5703125" style="295" customWidth="1"/>
    <col min="7692" max="7936" width="11.42578125" style="295"/>
    <col min="7937" max="7937" width="5.85546875" style="295" customWidth="1"/>
    <col min="7938" max="7938" width="45.28515625" style="295" customWidth="1"/>
    <col min="7939" max="7939" width="7.28515625" style="295" customWidth="1"/>
    <col min="7940" max="7942" width="8.7109375" style="295" customWidth="1"/>
    <col min="7943" max="7944" width="8.5703125" style="295" customWidth="1"/>
    <col min="7945" max="7946" width="8.7109375" style="295" customWidth="1"/>
    <col min="7947" max="7947" width="8.5703125" style="295" customWidth="1"/>
    <col min="7948" max="8192" width="11.42578125" style="295"/>
    <col min="8193" max="8193" width="5.85546875" style="295" customWidth="1"/>
    <col min="8194" max="8194" width="45.28515625" style="295" customWidth="1"/>
    <col min="8195" max="8195" width="7.28515625" style="295" customWidth="1"/>
    <col min="8196" max="8198" width="8.7109375" style="295" customWidth="1"/>
    <col min="8199" max="8200" width="8.5703125" style="295" customWidth="1"/>
    <col min="8201" max="8202" width="8.7109375" style="295" customWidth="1"/>
    <col min="8203" max="8203" width="8.5703125" style="295" customWidth="1"/>
    <col min="8204" max="8448" width="11.42578125" style="295"/>
    <col min="8449" max="8449" width="5.85546875" style="295" customWidth="1"/>
    <col min="8450" max="8450" width="45.28515625" style="295" customWidth="1"/>
    <col min="8451" max="8451" width="7.28515625" style="295" customWidth="1"/>
    <col min="8452" max="8454" width="8.7109375" style="295" customWidth="1"/>
    <col min="8455" max="8456" width="8.5703125" style="295" customWidth="1"/>
    <col min="8457" max="8458" width="8.7109375" style="295" customWidth="1"/>
    <col min="8459" max="8459" width="8.5703125" style="295" customWidth="1"/>
    <col min="8460" max="8704" width="11.42578125" style="295"/>
    <col min="8705" max="8705" width="5.85546875" style="295" customWidth="1"/>
    <col min="8706" max="8706" width="45.28515625" style="295" customWidth="1"/>
    <col min="8707" max="8707" width="7.28515625" style="295" customWidth="1"/>
    <col min="8708" max="8710" width="8.7109375" style="295" customWidth="1"/>
    <col min="8711" max="8712" width="8.5703125" style="295" customWidth="1"/>
    <col min="8713" max="8714" width="8.7109375" style="295" customWidth="1"/>
    <col min="8715" max="8715" width="8.5703125" style="295" customWidth="1"/>
    <col min="8716" max="8960" width="11.42578125" style="295"/>
    <col min="8961" max="8961" width="5.85546875" style="295" customWidth="1"/>
    <col min="8962" max="8962" width="45.28515625" style="295" customWidth="1"/>
    <col min="8963" max="8963" width="7.28515625" style="295" customWidth="1"/>
    <col min="8964" max="8966" width="8.7109375" style="295" customWidth="1"/>
    <col min="8967" max="8968" width="8.5703125" style="295" customWidth="1"/>
    <col min="8969" max="8970" width="8.7109375" style="295" customWidth="1"/>
    <col min="8971" max="8971" width="8.5703125" style="295" customWidth="1"/>
    <col min="8972" max="9216" width="11.42578125" style="295"/>
    <col min="9217" max="9217" width="5.85546875" style="295" customWidth="1"/>
    <col min="9218" max="9218" width="45.28515625" style="295" customWidth="1"/>
    <col min="9219" max="9219" width="7.28515625" style="295" customWidth="1"/>
    <col min="9220" max="9222" width="8.7109375" style="295" customWidth="1"/>
    <col min="9223" max="9224" width="8.5703125" style="295" customWidth="1"/>
    <col min="9225" max="9226" width="8.7109375" style="295" customWidth="1"/>
    <col min="9227" max="9227" width="8.5703125" style="295" customWidth="1"/>
    <col min="9228" max="9472" width="11.42578125" style="295"/>
    <col min="9473" max="9473" width="5.85546875" style="295" customWidth="1"/>
    <col min="9474" max="9474" width="45.28515625" style="295" customWidth="1"/>
    <col min="9475" max="9475" width="7.28515625" style="295" customWidth="1"/>
    <col min="9476" max="9478" width="8.7109375" style="295" customWidth="1"/>
    <col min="9479" max="9480" width="8.5703125" style="295" customWidth="1"/>
    <col min="9481" max="9482" width="8.7109375" style="295" customWidth="1"/>
    <col min="9483" max="9483" width="8.5703125" style="295" customWidth="1"/>
    <col min="9484" max="9728" width="11.42578125" style="295"/>
    <col min="9729" max="9729" width="5.85546875" style="295" customWidth="1"/>
    <col min="9730" max="9730" width="45.28515625" style="295" customWidth="1"/>
    <col min="9731" max="9731" width="7.28515625" style="295" customWidth="1"/>
    <col min="9732" max="9734" width="8.7109375" style="295" customWidth="1"/>
    <col min="9735" max="9736" width="8.5703125" style="295" customWidth="1"/>
    <col min="9737" max="9738" width="8.7109375" style="295" customWidth="1"/>
    <col min="9739" max="9739" width="8.5703125" style="295" customWidth="1"/>
    <col min="9740" max="9984" width="11.42578125" style="295"/>
    <col min="9985" max="9985" width="5.85546875" style="295" customWidth="1"/>
    <col min="9986" max="9986" width="45.28515625" style="295" customWidth="1"/>
    <col min="9987" max="9987" width="7.28515625" style="295" customWidth="1"/>
    <col min="9988" max="9990" width="8.7109375" style="295" customWidth="1"/>
    <col min="9991" max="9992" width="8.5703125" style="295" customWidth="1"/>
    <col min="9993" max="9994" width="8.7109375" style="295" customWidth="1"/>
    <col min="9995" max="9995" width="8.5703125" style="295" customWidth="1"/>
    <col min="9996" max="10240" width="11.42578125" style="295"/>
    <col min="10241" max="10241" width="5.85546875" style="295" customWidth="1"/>
    <col min="10242" max="10242" width="45.28515625" style="295" customWidth="1"/>
    <col min="10243" max="10243" width="7.28515625" style="295" customWidth="1"/>
    <col min="10244" max="10246" width="8.7109375" style="295" customWidth="1"/>
    <col min="10247" max="10248" width="8.5703125" style="295" customWidth="1"/>
    <col min="10249" max="10250" width="8.7109375" style="295" customWidth="1"/>
    <col min="10251" max="10251" width="8.5703125" style="295" customWidth="1"/>
    <col min="10252" max="10496" width="11.42578125" style="295"/>
    <col min="10497" max="10497" width="5.85546875" style="295" customWidth="1"/>
    <col min="10498" max="10498" width="45.28515625" style="295" customWidth="1"/>
    <col min="10499" max="10499" width="7.28515625" style="295" customWidth="1"/>
    <col min="10500" max="10502" width="8.7109375" style="295" customWidth="1"/>
    <col min="10503" max="10504" width="8.5703125" style="295" customWidth="1"/>
    <col min="10505" max="10506" width="8.7109375" style="295" customWidth="1"/>
    <col min="10507" max="10507" width="8.5703125" style="295" customWidth="1"/>
    <col min="10508" max="10752" width="11.42578125" style="295"/>
    <col min="10753" max="10753" width="5.85546875" style="295" customWidth="1"/>
    <col min="10754" max="10754" width="45.28515625" style="295" customWidth="1"/>
    <col min="10755" max="10755" width="7.28515625" style="295" customWidth="1"/>
    <col min="10756" max="10758" width="8.7109375" style="295" customWidth="1"/>
    <col min="10759" max="10760" width="8.5703125" style="295" customWidth="1"/>
    <col min="10761" max="10762" width="8.7109375" style="295" customWidth="1"/>
    <col min="10763" max="10763" width="8.5703125" style="295" customWidth="1"/>
    <col min="10764" max="11008" width="11.42578125" style="295"/>
    <col min="11009" max="11009" width="5.85546875" style="295" customWidth="1"/>
    <col min="11010" max="11010" width="45.28515625" style="295" customWidth="1"/>
    <col min="11011" max="11011" width="7.28515625" style="295" customWidth="1"/>
    <col min="11012" max="11014" width="8.7109375" style="295" customWidth="1"/>
    <col min="11015" max="11016" width="8.5703125" style="295" customWidth="1"/>
    <col min="11017" max="11018" width="8.7109375" style="295" customWidth="1"/>
    <col min="11019" max="11019" width="8.5703125" style="295" customWidth="1"/>
    <col min="11020" max="11264" width="11.42578125" style="295"/>
    <col min="11265" max="11265" width="5.85546875" style="295" customWidth="1"/>
    <col min="11266" max="11266" width="45.28515625" style="295" customWidth="1"/>
    <col min="11267" max="11267" width="7.28515625" style="295" customWidth="1"/>
    <col min="11268" max="11270" width="8.7109375" style="295" customWidth="1"/>
    <col min="11271" max="11272" width="8.5703125" style="295" customWidth="1"/>
    <col min="11273" max="11274" width="8.7109375" style="295" customWidth="1"/>
    <col min="11275" max="11275" width="8.5703125" style="295" customWidth="1"/>
    <col min="11276" max="11520" width="11.42578125" style="295"/>
    <col min="11521" max="11521" width="5.85546875" style="295" customWidth="1"/>
    <col min="11522" max="11522" width="45.28515625" style="295" customWidth="1"/>
    <col min="11523" max="11523" width="7.28515625" style="295" customWidth="1"/>
    <col min="11524" max="11526" width="8.7109375" style="295" customWidth="1"/>
    <col min="11527" max="11528" width="8.5703125" style="295" customWidth="1"/>
    <col min="11529" max="11530" width="8.7109375" style="295" customWidth="1"/>
    <col min="11531" max="11531" width="8.5703125" style="295" customWidth="1"/>
    <col min="11532" max="11776" width="11.42578125" style="295"/>
    <col min="11777" max="11777" width="5.85546875" style="295" customWidth="1"/>
    <col min="11778" max="11778" width="45.28515625" style="295" customWidth="1"/>
    <col min="11779" max="11779" width="7.28515625" style="295" customWidth="1"/>
    <col min="11780" max="11782" width="8.7109375" style="295" customWidth="1"/>
    <col min="11783" max="11784" width="8.5703125" style="295" customWidth="1"/>
    <col min="11785" max="11786" width="8.7109375" style="295" customWidth="1"/>
    <col min="11787" max="11787" width="8.5703125" style="295" customWidth="1"/>
    <col min="11788" max="12032" width="11.42578125" style="295"/>
    <col min="12033" max="12033" width="5.85546875" style="295" customWidth="1"/>
    <col min="12034" max="12034" width="45.28515625" style="295" customWidth="1"/>
    <col min="12035" max="12035" width="7.28515625" style="295" customWidth="1"/>
    <col min="12036" max="12038" width="8.7109375" style="295" customWidth="1"/>
    <col min="12039" max="12040" width="8.5703125" style="295" customWidth="1"/>
    <col min="12041" max="12042" width="8.7109375" style="295" customWidth="1"/>
    <col min="12043" max="12043" width="8.5703125" style="295" customWidth="1"/>
    <col min="12044" max="12288" width="11.42578125" style="295"/>
    <col min="12289" max="12289" width="5.85546875" style="295" customWidth="1"/>
    <col min="12290" max="12290" width="45.28515625" style="295" customWidth="1"/>
    <col min="12291" max="12291" width="7.28515625" style="295" customWidth="1"/>
    <col min="12292" max="12294" width="8.7109375" style="295" customWidth="1"/>
    <col min="12295" max="12296" width="8.5703125" style="295" customWidth="1"/>
    <col min="12297" max="12298" width="8.7109375" style="295" customWidth="1"/>
    <col min="12299" max="12299" width="8.5703125" style="295" customWidth="1"/>
    <col min="12300" max="12544" width="11.42578125" style="295"/>
    <col min="12545" max="12545" width="5.85546875" style="295" customWidth="1"/>
    <col min="12546" max="12546" width="45.28515625" style="295" customWidth="1"/>
    <col min="12547" max="12547" width="7.28515625" style="295" customWidth="1"/>
    <col min="12548" max="12550" width="8.7109375" style="295" customWidth="1"/>
    <col min="12551" max="12552" width="8.5703125" style="295" customWidth="1"/>
    <col min="12553" max="12554" width="8.7109375" style="295" customWidth="1"/>
    <col min="12555" max="12555" width="8.5703125" style="295" customWidth="1"/>
    <col min="12556" max="12800" width="11.42578125" style="295"/>
    <col min="12801" max="12801" width="5.85546875" style="295" customWidth="1"/>
    <col min="12802" max="12802" width="45.28515625" style="295" customWidth="1"/>
    <col min="12803" max="12803" width="7.28515625" style="295" customWidth="1"/>
    <col min="12804" max="12806" width="8.7109375" style="295" customWidth="1"/>
    <col min="12807" max="12808" width="8.5703125" style="295" customWidth="1"/>
    <col min="12809" max="12810" width="8.7109375" style="295" customWidth="1"/>
    <col min="12811" max="12811" width="8.5703125" style="295" customWidth="1"/>
    <col min="12812" max="13056" width="11.42578125" style="295"/>
    <col min="13057" max="13057" width="5.85546875" style="295" customWidth="1"/>
    <col min="13058" max="13058" width="45.28515625" style="295" customWidth="1"/>
    <col min="13059" max="13059" width="7.28515625" style="295" customWidth="1"/>
    <col min="13060" max="13062" width="8.7109375" style="295" customWidth="1"/>
    <col min="13063" max="13064" width="8.5703125" style="295" customWidth="1"/>
    <col min="13065" max="13066" width="8.7109375" style="295" customWidth="1"/>
    <col min="13067" max="13067" width="8.5703125" style="295" customWidth="1"/>
    <col min="13068" max="13312" width="11.42578125" style="295"/>
    <col min="13313" max="13313" width="5.85546875" style="295" customWidth="1"/>
    <col min="13314" max="13314" width="45.28515625" style="295" customWidth="1"/>
    <col min="13315" max="13315" width="7.28515625" style="295" customWidth="1"/>
    <col min="13316" max="13318" width="8.7109375" style="295" customWidth="1"/>
    <col min="13319" max="13320" width="8.5703125" style="295" customWidth="1"/>
    <col min="13321" max="13322" width="8.7109375" style="295" customWidth="1"/>
    <col min="13323" max="13323" width="8.5703125" style="295" customWidth="1"/>
    <col min="13324" max="13568" width="11.42578125" style="295"/>
    <col min="13569" max="13569" width="5.85546875" style="295" customWidth="1"/>
    <col min="13570" max="13570" width="45.28515625" style="295" customWidth="1"/>
    <col min="13571" max="13571" width="7.28515625" style="295" customWidth="1"/>
    <col min="13572" max="13574" width="8.7109375" style="295" customWidth="1"/>
    <col min="13575" max="13576" width="8.5703125" style="295" customWidth="1"/>
    <col min="13577" max="13578" width="8.7109375" style="295" customWidth="1"/>
    <col min="13579" max="13579" width="8.5703125" style="295" customWidth="1"/>
    <col min="13580" max="13824" width="11.42578125" style="295"/>
    <col min="13825" max="13825" width="5.85546875" style="295" customWidth="1"/>
    <col min="13826" max="13826" width="45.28515625" style="295" customWidth="1"/>
    <col min="13827" max="13827" width="7.28515625" style="295" customWidth="1"/>
    <col min="13828" max="13830" width="8.7109375" style="295" customWidth="1"/>
    <col min="13831" max="13832" width="8.5703125" style="295" customWidth="1"/>
    <col min="13833" max="13834" width="8.7109375" style="295" customWidth="1"/>
    <col min="13835" max="13835" width="8.5703125" style="295" customWidth="1"/>
    <col min="13836" max="14080" width="11.42578125" style="295"/>
    <col min="14081" max="14081" width="5.85546875" style="295" customWidth="1"/>
    <col min="14082" max="14082" width="45.28515625" style="295" customWidth="1"/>
    <col min="14083" max="14083" width="7.28515625" style="295" customWidth="1"/>
    <col min="14084" max="14086" width="8.7109375" style="295" customWidth="1"/>
    <col min="14087" max="14088" width="8.5703125" style="295" customWidth="1"/>
    <col min="14089" max="14090" width="8.7109375" style="295" customWidth="1"/>
    <col min="14091" max="14091" width="8.5703125" style="295" customWidth="1"/>
    <col min="14092" max="14336" width="11.42578125" style="295"/>
    <col min="14337" max="14337" width="5.85546875" style="295" customWidth="1"/>
    <col min="14338" max="14338" width="45.28515625" style="295" customWidth="1"/>
    <col min="14339" max="14339" width="7.28515625" style="295" customWidth="1"/>
    <col min="14340" max="14342" width="8.7109375" style="295" customWidth="1"/>
    <col min="14343" max="14344" width="8.5703125" style="295" customWidth="1"/>
    <col min="14345" max="14346" width="8.7109375" style="295" customWidth="1"/>
    <col min="14347" max="14347" width="8.5703125" style="295" customWidth="1"/>
    <col min="14348" max="14592" width="11.42578125" style="295"/>
    <col min="14593" max="14593" width="5.85546875" style="295" customWidth="1"/>
    <col min="14594" max="14594" width="45.28515625" style="295" customWidth="1"/>
    <col min="14595" max="14595" width="7.28515625" style="295" customWidth="1"/>
    <col min="14596" max="14598" width="8.7109375" style="295" customWidth="1"/>
    <col min="14599" max="14600" width="8.5703125" style="295" customWidth="1"/>
    <col min="14601" max="14602" width="8.7109375" style="295" customWidth="1"/>
    <col min="14603" max="14603" width="8.5703125" style="295" customWidth="1"/>
    <col min="14604" max="14848" width="11.42578125" style="295"/>
    <col min="14849" max="14849" width="5.85546875" style="295" customWidth="1"/>
    <col min="14850" max="14850" width="45.28515625" style="295" customWidth="1"/>
    <col min="14851" max="14851" width="7.28515625" style="295" customWidth="1"/>
    <col min="14852" max="14854" width="8.7109375" style="295" customWidth="1"/>
    <col min="14855" max="14856" width="8.5703125" style="295" customWidth="1"/>
    <col min="14857" max="14858" width="8.7109375" style="295" customWidth="1"/>
    <col min="14859" max="14859" width="8.5703125" style="295" customWidth="1"/>
    <col min="14860" max="15104" width="11.42578125" style="295"/>
    <col min="15105" max="15105" width="5.85546875" style="295" customWidth="1"/>
    <col min="15106" max="15106" width="45.28515625" style="295" customWidth="1"/>
    <col min="15107" max="15107" width="7.28515625" style="295" customWidth="1"/>
    <col min="15108" max="15110" width="8.7109375" style="295" customWidth="1"/>
    <col min="15111" max="15112" width="8.5703125" style="295" customWidth="1"/>
    <col min="15113" max="15114" width="8.7109375" style="295" customWidth="1"/>
    <col min="15115" max="15115" width="8.5703125" style="295" customWidth="1"/>
    <col min="15116" max="15360" width="11.42578125" style="295"/>
    <col min="15361" max="15361" width="5.85546875" style="295" customWidth="1"/>
    <col min="15362" max="15362" width="45.28515625" style="295" customWidth="1"/>
    <col min="15363" max="15363" width="7.28515625" style="295" customWidth="1"/>
    <col min="15364" max="15366" width="8.7109375" style="295" customWidth="1"/>
    <col min="15367" max="15368" width="8.5703125" style="295" customWidth="1"/>
    <col min="15369" max="15370" width="8.7109375" style="295" customWidth="1"/>
    <col min="15371" max="15371" width="8.5703125" style="295" customWidth="1"/>
    <col min="15372" max="15616" width="11.42578125" style="295"/>
    <col min="15617" max="15617" width="5.85546875" style="295" customWidth="1"/>
    <col min="15618" max="15618" width="45.28515625" style="295" customWidth="1"/>
    <col min="15619" max="15619" width="7.28515625" style="295" customWidth="1"/>
    <col min="15620" max="15622" width="8.7109375" style="295" customWidth="1"/>
    <col min="15623" max="15624" width="8.5703125" style="295" customWidth="1"/>
    <col min="15625" max="15626" width="8.7109375" style="295" customWidth="1"/>
    <col min="15627" max="15627" width="8.5703125" style="295" customWidth="1"/>
    <col min="15628" max="15872" width="11.42578125" style="295"/>
    <col min="15873" max="15873" width="5.85546875" style="295" customWidth="1"/>
    <col min="15874" max="15874" width="45.28515625" style="295" customWidth="1"/>
    <col min="15875" max="15875" width="7.28515625" style="295" customWidth="1"/>
    <col min="15876" max="15878" width="8.7109375" style="295" customWidth="1"/>
    <col min="15879" max="15880" width="8.5703125" style="295" customWidth="1"/>
    <col min="15881" max="15882" width="8.7109375" style="295" customWidth="1"/>
    <col min="15883" max="15883" width="8.5703125" style="295" customWidth="1"/>
    <col min="15884" max="16128" width="11.42578125" style="295"/>
    <col min="16129" max="16129" width="5.85546875" style="295" customWidth="1"/>
    <col min="16130" max="16130" width="45.28515625" style="295" customWidth="1"/>
    <col min="16131" max="16131" width="7.28515625" style="295" customWidth="1"/>
    <col min="16132" max="16134" width="8.7109375" style="295" customWidth="1"/>
    <col min="16135" max="16136" width="8.5703125" style="295" customWidth="1"/>
    <col min="16137" max="16138" width="8.7109375" style="295" customWidth="1"/>
    <col min="16139" max="16139" width="8.5703125" style="295" customWidth="1"/>
    <col min="16140" max="16384" width="11.42578125" style="295"/>
  </cols>
  <sheetData>
    <row r="1" spans="1:12" x14ac:dyDescent="0.2">
      <c r="B1" s="296"/>
      <c r="C1" s="296"/>
      <c r="D1" s="297"/>
      <c r="E1" s="297"/>
      <c r="F1" s="297"/>
      <c r="G1" s="297"/>
      <c r="H1" s="297"/>
      <c r="I1" s="297"/>
      <c r="J1" s="297"/>
      <c r="K1" s="297"/>
      <c r="L1" s="296"/>
    </row>
    <row r="2" spans="1:12" x14ac:dyDescent="0.2">
      <c r="B2" s="296"/>
      <c r="C2" s="296"/>
      <c r="D2" s="297"/>
      <c r="E2" s="297"/>
      <c r="F2" s="297"/>
      <c r="G2" s="297"/>
      <c r="H2" s="297"/>
      <c r="I2" s="297"/>
      <c r="J2" s="297"/>
      <c r="K2" s="297"/>
      <c r="L2" s="296"/>
    </row>
    <row r="3" spans="1:12" x14ac:dyDescent="0.2">
      <c r="B3" s="296"/>
      <c r="C3" s="296"/>
      <c r="D3" s="297"/>
      <c r="E3" s="297"/>
      <c r="F3" s="297"/>
      <c r="G3" s="297"/>
      <c r="H3" s="297"/>
      <c r="I3" s="297"/>
      <c r="J3" s="297"/>
      <c r="K3" s="297"/>
      <c r="L3" s="296"/>
    </row>
    <row r="4" spans="1:12" x14ac:dyDescent="0.2">
      <c r="B4" s="296"/>
      <c r="C4" s="296"/>
      <c r="D4" s="297"/>
      <c r="E4" s="297"/>
      <c r="F4" s="297"/>
      <c r="G4" s="297"/>
      <c r="H4" s="297"/>
      <c r="I4" s="297"/>
      <c r="J4" s="297"/>
      <c r="K4" s="297"/>
      <c r="L4" s="296"/>
    </row>
    <row r="5" spans="1:12" x14ac:dyDescent="0.2">
      <c r="B5" s="296"/>
      <c r="C5" s="296"/>
      <c r="D5" s="297"/>
      <c r="E5" s="297"/>
      <c r="F5" s="297"/>
      <c r="G5" s="297"/>
      <c r="H5" s="297"/>
      <c r="I5" s="297"/>
      <c r="J5" s="297"/>
      <c r="K5" s="297"/>
      <c r="L5" s="296"/>
    </row>
    <row r="6" spans="1:12" x14ac:dyDescent="0.2">
      <c r="A6" s="298"/>
      <c r="B6" s="299"/>
      <c r="C6" s="299"/>
      <c r="D6" s="300"/>
      <c r="E6" s="300"/>
      <c r="F6" s="300"/>
      <c r="G6" s="300"/>
      <c r="H6" s="300"/>
      <c r="I6" s="300"/>
      <c r="J6" s="300"/>
      <c r="K6" s="300"/>
      <c r="L6" s="296"/>
    </row>
    <row r="7" spans="1:12" s="302" customFormat="1" ht="46.5" customHeight="1" x14ac:dyDescent="0.2">
      <c r="A7" s="301"/>
      <c r="B7" s="438" t="s">
        <v>166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</row>
    <row r="8" spans="1:12" s="302" customFormat="1" ht="19.5" customHeight="1" x14ac:dyDescent="0.2">
      <c r="A8" s="301"/>
      <c r="B8" s="439" t="s">
        <v>167</v>
      </c>
      <c r="C8" s="439"/>
      <c r="D8" s="439"/>
      <c r="E8" s="439"/>
      <c r="F8" s="439"/>
      <c r="G8" s="439"/>
      <c r="H8" s="439"/>
      <c r="I8" s="439"/>
      <c r="J8" s="439"/>
      <c r="K8" s="439"/>
      <c r="L8" s="439"/>
    </row>
    <row r="9" spans="1:12" s="302" customFormat="1" ht="21" customHeight="1" x14ac:dyDescent="0.2">
      <c r="A9" s="301"/>
      <c r="B9" s="439" t="s">
        <v>168</v>
      </c>
      <c r="C9" s="439"/>
      <c r="D9" s="439"/>
      <c r="E9" s="439"/>
      <c r="F9" s="439"/>
      <c r="G9" s="439"/>
      <c r="H9" s="439"/>
      <c r="I9" s="439"/>
      <c r="J9" s="439"/>
      <c r="K9" s="439"/>
      <c r="L9" s="439"/>
    </row>
    <row r="10" spans="1:12" s="302" customFormat="1" ht="19.5" customHeight="1" x14ac:dyDescent="0.2">
      <c r="A10" s="301"/>
      <c r="B10" s="439" t="s">
        <v>169</v>
      </c>
      <c r="C10" s="439"/>
      <c r="D10" s="439"/>
      <c r="E10" s="439"/>
      <c r="F10" s="439"/>
      <c r="G10" s="439"/>
      <c r="H10" s="439"/>
      <c r="I10" s="439"/>
      <c r="J10" s="439"/>
      <c r="K10" s="439"/>
      <c r="L10" s="439"/>
    </row>
    <row r="11" spans="1:12" ht="16.5" customHeight="1" x14ac:dyDescent="0.2">
      <c r="A11" s="298"/>
      <c r="B11" s="299"/>
      <c r="C11" s="299"/>
      <c r="D11" s="300"/>
      <c r="E11" s="300"/>
      <c r="F11" s="300"/>
      <c r="G11" s="300"/>
      <c r="H11" s="300"/>
      <c r="I11" s="300"/>
      <c r="J11" s="300"/>
      <c r="K11" s="300"/>
      <c r="L11" s="296"/>
    </row>
    <row r="12" spans="1:12" ht="19.5" customHeight="1" x14ac:dyDescent="0.2">
      <c r="A12" s="303"/>
      <c r="B12" s="440" t="s">
        <v>170</v>
      </c>
      <c r="C12" s="441" t="s">
        <v>171</v>
      </c>
      <c r="D12" s="441"/>
      <c r="E12" s="441"/>
      <c r="F12" s="441" t="s">
        <v>172</v>
      </c>
      <c r="G12" s="441"/>
      <c r="H12" s="441"/>
      <c r="I12" s="441" t="s">
        <v>173</v>
      </c>
      <c r="J12" s="441"/>
      <c r="K12" s="441"/>
      <c r="L12" s="442" t="s">
        <v>174</v>
      </c>
    </row>
    <row r="13" spans="1:12" ht="12.75" customHeight="1" x14ac:dyDescent="0.2">
      <c r="A13" s="303"/>
      <c r="B13" s="440"/>
      <c r="C13" s="304" t="s">
        <v>175</v>
      </c>
      <c r="D13" s="304" t="s">
        <v>176</v>
      </c>
      <c r="E13" s="304" t="s">
        <v>177</v>
      </c>
      <c r="F13" s="304" t="s">
        <v>175</v>
      </c>
      <c r="G13" s="304" t="s">
        <v>176</v>
      </c>
      <c r="H13" s="304" t="s">
        <v>177</v>
      </c>
      <c r="I13" s="304" t="s">
        <v>175</v>
      </c>
      <c r="J13" s="304" t="s">
        <v>176</v>
      </c>
      <c r="K13" s="304" t="s">
        <v>177</v>
      </c>
      <c r="L13" s="442"/>
    </row>
    <row r="14" spans="1:12" ht="14.25" customHeight="1" x14ac:dyDescent="0.2">
      <c r="A14" s="305"/>
      <c r="B14" s="306"/>
      <c r="C14" s="306"/>
      <c r="D14" s="307"/>
      <c r="E14" s="307"/>
      <c r="F14" s="307"/>
      <c r="G14" s="307"/>
      <c r="H14" s="307"/>
      <c r="I14" s="307"/>
      <c r="J14" s="307"/>
      <c r="K14" s="307"/>
      <c r="L14" s="296"/>
    </row>
    <row r="15" spans="1:12" ht="18.75" x14ac:dyDescent="0.2">
      <c r="A15" s="305"/>
      <c r="B15" s="308" t="s">
        <v>178</v>
      </c>
      <c r="C15" s="309"/>
      <c r="D15" s="310"/>
      <c r="E15" s="310"/>
      <c r="F15" s="310"/>
      <c r="G15" s="310"/>
      <c r="H15" s="310"/>
      <c r="I15" s="310"/>
      <c r="J15" s="310"/>
      <c r="K15" s="310"/>
      <c r="L15" s="311"/>
    </row>
    <row r="16" spans="1:12" ht="9" customHeight="1" x14ac:dyDescent="0.2">
      <c r="A16" s="305"/>
      <c r="B16" s="306"/>
      <c r="C16" s="306"/>
      <c r="D16" s="307"/>
      <c r="E16" s="307"/>
      <c r="F16" s="307"/>
      <c r="G16" s="307"/>
      <c r="H16" s="307"/>
      <c r="I16" s="307"/>
      <c r="J16" s="307"/>
      <c r="K16" s="307"/>
      <c r="L16" s="296"/>
    </row>
    <row r="17" spans="1:12" x14ac:dyDescent="0.2">
      <c r="A17" s="298"/>
      <c r="B17" s="312" t="s">
        <v>179</v>
      </c>
      <c r="C17" s="313">
        <f>77.08+44.32+55.68+74.07+76</f>
        <v>327.14999999999998</v>
      </c>
      <c r="D17" s="314">
        <f>85.42+44.32+55.68+74.67+81.33</f>
        <v>341.42</v>
      </c>
      <c r="E17" s="315">
        <f t="shared" ref="E17:E55" si="0">+D17*100/C17</f>
        <v>104.36191349533854</v>
      </c>
      <c r="F17" s="314">
        <f>86+80+83.75</f>
        <v>249.75</v>
      </c>
      <c r="G17" s="314">
        <f>94+73.33+86.25</f>
        <v>253.57999999999998</v>
      </c>
      <c r="H17" s="315">
        <f t="shared" ref="H17:H55" si="1">+G17*100/F17</f>
        <v>101.53353353353353</v>
      </c>
      <c r="I17" s="314">
        <f>86+80+83.75</f>
        <v>249.75</v>
      </c>
      <c r="J17" s="314">
        <f>94+73.33+86.25</f>
        <v>253.57999999999998</v>
      </c>
      <c r="K17" s="315">
        <f t="shared" ref="K17:K55" si="2">+J17*100/I17</f>
        <v>101.53353353353353</v>
      </c>
      <c r="L17" s="316">
        <f t="shared" ref="L17:L55" si="3">+(E17+H17+K17)/3</f>
        <v>102.47632685413521</v>
      </c>
    </row>
    <row r="18" spans="1:12" x14ac:dyDescent="0.2">
      <c r="A18" s="298"/>
      <c r="B18" s="317" t="s">
        <v>180</v>
      </c>
      <c r="C18" s="318">
        <f>80+80+80+90</f>
        <v>330</v>
      </c>
      <c r="D18" s="319">
        <f>121+273+160+113</f>
        <v>667</v>
      </c>
      <c r="E18" s="320">
        <f t="shared" si="0"/>
        <v>202.12121212121212</v>
      </c>
      <c r="F18" s="321">
        <f>80+80+80+90</f>
        <v>330</v>
      </c>
      <c r="G18" s="321">
        <f>87+83+120+130</f>
        <v>420</v>
      </c>
      <c r="H18" s="320">
        <f t="shared" si="1"/>
        <v>127.27272727272727</v>
      </c>
      <c r="I18" s="321">
        <f>80+80+80+90</f>
        <v>330</v>
      </c>
      <c r="J18" s="321">
        <f>90+76+90+80</f>
        <v>336</v>
      </c>
      <c r="K18" s="320">
        <f t="shared" si="2"/>
        <v>101.81818181818181</v>
      </c>
      <c r="L18" s="316">
        <f t="shared" si="3"/>
        <v>143.73737373737373</v>
      </c>
    </row>
    <row r="19" spans="1:12" x14ac:dyDescent="0.2">
      <c r="A19" s="298"/>
      <c r="B19" s="312" t="s">
        <v>181</v>
      </c>
      <c r="C19" s="313">
        <f>73.5+88.2</f>
        <v>161.69999999999999</v>
      </c>
      <c r="D19" s="322">
        <f>73.5+114.13</f>
        <v>187.63</v>
      </c>
      <c r="E19" s="315">
        <f t="shared" si="0"/>
        <v>116.03586889301175</v>
      </c>
      <c r="F19" s="322">
        <f>92.9+91.4</f>
        <v>184.3</v>
      </c>
      <c r="G19" s="322">
        <f>134.29+92.4</f>
        <v>226.69</v>
      </c>
      <c r="H19" s="315">
        <f t="shared" si="1"/>
        <v>123.00054259359739</v>
      </c>
      <c r="I19" s="322">
        <f>97.1+97.1</f>
        <v>194.2</v>
      </c>
      <c r="J19" s="322">
        <f>134.28+57.66</f>
        <v>191.94</v>
      </c>
      <c r="K19" s="315">
        <f t="shared" si="2"/>
        <v>98.836251287332658</v>
      </c>
      <c r="L19" s="316">
        <f t="shared" si="3"/>
        <v>112.62422092464726</v>
      </c>
    </row>
    <row r="20" spans="1:12" x14ac:dyDescent="0.2">
      <c r="A20" s="298"/>
      <c r="B20" s="317" t="s">
        <v>182</v>
      </c>
      <c r="C20" s="318">
        <f>90+90+10+95+100+90+90</f>
        <v>565</v>
      </c>
      <c r="D20" s="323">
        <f>100+95.65+10.97+100+100+100+99.3</f>
        <v>605.91999999999996</v>
      </c>
      <c r="E20" s="320">
        <f t="shared" si="0"/>
        <v>107.24247787610618</v>
      </c>
      <c r="F20" s="323">
        <f>90+90+10+95+100+90+90</f>
        <v>565</v>
      </c>
      <c r="G20" s="323">
        <f>100+82.72+10.26+100+100+92.34+98.18</f>
        <v>583.5</v>
      </c>
      <c r="H20" s="320">
        <f t="shared" si="1"/>
        <v>103.27433628318585</v>
      </c>
      <c r="I20" s="323">
        <f>90+90+100+95+100+90+90</f>
        <v>655</v>
      </c>
      <c r="J20" s="323">
        <f>100+81.8+10.92+100+100+90.16+96.36</f>
        <v>579.24</v>
      </c>
      <c r="K20" s="320">
        <f t="shared" si="2"/>
        <v>88.433587786259537</v>
      </c>
      <c r="L20" s="316">
        <f t="shared" si="3"/>
        <v>99.650133981850516</v>
      </c>
    </row>
    <row r="21" spans="1:12" x14ac:dyDescent="0.2">
      <c r="A21" s="298"/>
      <c r="B21" s="312" t="s">
        <v>183</v>
      </c>
      <c r="C21" s="313">
        <f>12+15+100+100+100+100+100</f>
        <v>527</v>
      </c>
      <c r="D21" s="322">
        <f>12+15+100+100+100+100+20.66</f>
        <v>447.66</v>
      </c>
      <c r="E21" s="315">
        <f t="shared" si="0"/>
        <v>84.944971537001891</v>
      </c>
      <c r="F21" s="322">
        <f>15+15+100+100+100+100+100</f>
        <v>530</v>
      </c>
      <c r="G21" s="322">
        <f>15+15+100+100+100+100+29.82</f>
        <v>459.82</v>
      </c>
      <c r="H21" s="315">
        <f t="shared" si="1"/>
        <v>86.758490566037736</v>
      </c>
      <c r="I21" s="322">
        <f>20+15+100+100+100+100+100</f>
        <v>535</v>
      </c>
      <c r="J21" s="322">
        <f>20.5+16.86+100+100+100+100+23</f>
        <v>460.36</v>
      </c>
      <c r="K21" s="315">
        <f t="shared" si="2"/>
        <v>86.048598130841128</v>
      </c>
      <c r="L21" s="316">
        <f t="shared" si="3"/>
        <v>85.917353411293576</v>
      </c>
    </row>
    <row r="22" spans="1:12" x14ac:dyDescent="0.2">
      <c r="A22" s="298"/>
      <c r="B22" s="317" t="s">
        <v>184</v>
      </c>
      <c r="C22" s="318">
        <f>100+100+100+50</f>
        <v>350</v>
      </c>
      <c r="D22" s="323">
        <f>100+100+100+52</f>
        <v>352</v>
      </c>
      <c r="E22" s="320">
        <f t="shared" si="0"/>
        <v>100.57142857142857</v>
      </c>
      <c r="F22" s="323">
        <f>100+100+100+50</f>
        <v>350</v>
      </c>
      <c r="G22" s="323">
        <f>100+100+100+53.57</f>
        <v>353.57</v>
      </c>
      <c r="H22" s="320">
        <f t="shared" si="1"/>
        <v>101.02</v>
      </c>
      <c r="I22" s="323">
        <f>100+100+100+50</f>
        <v>350</v>
      </c>
      <c r="J22" s="323">
        <f>100+100+100+50</f>
        <v>350</v>
      </c>
      <c r="K22" s="320">
        <f t="shared" si="2"/>
        <v>100</v>
      </c>
      <c r="L22" s="316">
        <f t="shared" si="3"/>
        <v>100.53047619047618</v>
      </c>
    </row>
    <row r="23" spans="1:12" x14ac:dyDescent="0.2">
      <c r="A23" s="298"/>
      <c r="B23" s="312" t="s">
        <v>185</v>
      </c>
      <c r="C23" s="313">
        <f>65+100+90+20</f>
        <v>275</v>
      </c>
      <c r="D23" s="322">
        <f>77+100+164+39</f>
        <v>380</v>
      </c>
      <c r="E23" s="315">
        <f t="shared" si="0"/>
        <v>138.18181818181819</v>
      </c>
      <c r="F23" s="322">
        <f>65+100+90+20</f>
        <v>275</v>
      </c>
      <c r="G23" s="322">
        <f>84.54+100+108+47</f>
        <v>339.54</v>
      </c>
      <c r="H23" s="315">
        <f t="shared" si="1"/>
        <v>123.46909090909091</v>
      </c>
      <c r="I23" s="322">
        <f>65+100+90+20</f>
        <v>275</v>
      </c>
      <c r="J23" s="322">
        <f>75+100+105+43</f>
        <v>323</v>
      </c>
      <c r="K23" s="315">
        <f t="shared" si="2"/>
        <v>117.45454545454545</v>
      </c>
      <c r="L23" s="316">
        <f t="shared" si="3"/>
        <v>126.36848484848484</v>
      </c>
    </row>
    <row r="24" spans="1:12" x14ac:dyDescent="0.2">
      <c r="A24" s="298"/>
      <c r="B24" s="317" t="s">
        <v>186</v>
      </c>
      <c r="C24" s="318">
        <f>100+100+80+3.5+100+100+50+80+100</f>
        <v>713.5</v>
      </c>
      <c r="D24" s="323">
        <f>111+360+80+3.71+100+100+50+142+123</f>
        <v>1069.71</v>
      </c>
      <c r="E24" s="320">
        <f t="shared" si="0"/>
        <v>149.92431674842325</v>
      </c>
      <c r="F24" s="323">
        <f>100+100+80+3.5+100+100+50+100+80+100</f>
        <v>813.5</v>
      </c>
      <c r="G24" s="323">
        <f>100+100+80+3.5+100+100+50+80+100</f>
        <v>713.5</v>
      </c>
      <c r="H24" s="320">
        <f t="shared" si="1"/>
        <v>87.707437000614632</v>
      </c>
      <c r="I24" s="323">
        <f>100+100+80+3.5+100+100+100+100+100+100</f>
        <v>883.5</v>
      </c>
      <c r="J24" s="323">
        <f>100+100+100+100+100+100+100+100+129+100</f>
        <v>1029</v>
      </c>
      <c r="K24" s="320">
        <f t="shared" si="2"/>
        <v>116.4685908319185</v>
      </c>
      <c r="L24" s="316">
        <f t="shared" si="3"/>
        <v>118.03344819365213</v>
      </c>
    </row>
    <row r="25" spans="1:12" x14ac:dyDescent="0.2">
      <c r="A25" s="298"/>
      <c r="B25" s="312" t="s">
        <v>187</v>
      </c>
      <c r="C25" s="322">
        <f>100+100+100+100+100+100+100+100+100</f>
        <v>900</v>
      </c>
      <c r="D25" s="322">
        <f>100+100+100+100+100+100+100+100+100</f>
        <v>900</v>
      </c>
      <c r="E25" s="315">
        <f t="shared" si="0"/>
        <v>100</v>
      </c>
      <c r="F25" s="322">
        <f>100+100+100+100+100+100+100+100+100</f>
        <v>900</v>
      </c>
      <c r="G25" s="322">
        <f>100+100+100+100+100+100+100+100+100</f>
        <v>900</v>
      </c>
      <c r="H25" s="315">
        <f t="shared" si="1"/>
        <v>100</v>
      </c>
      <c r="I25" s="322">
        <f>100+100+100+100+100+100+100+100+100</f>
        <v>900</v>
      </c>
      <c r="J25" s="322">
        <f>100+100+100+100+100+100+100+100+100</f>
        <v>900</v>
      </c>
      <c r="K25" s="315">
        <f t="shared" si="2"/>
        <v>100</v>
      </c>
      <c r="L25" s="316">
        <f t="shared" si="3"/>
        <v>100</v>
      </c>
    </row>
    <row r="26" spans="1:12" x14ac:dyDescent="0.2">
      <c r="A26" s="298"/>
      <c r="B26" s="317" t="s">
        <v>188</v>
      </c>
      <c r="C26" s="318">
        <f>100+100+100+100+100+100+100</f>
        <v>700</v>
      </c>
      <c r="D26" s="323">
        <f>100+100+100+100+100+78.79+113</f>
        <v>691.79</v>
      </c>
      <c r="E26" s="320">
        <f t="shared" si="0"/>
        <v>98.82714285714286</v>
      </c>
      <c r="F26" s="323">
        <f>100+100+100+50+100+100+100</f>
        <v>650</v>
      </c>
      <c r="G26" s="323">
        <f>100+100+100+50+100+100+100</f>
        <v>650</v>
      </c>
      <c r="H26" s="320">
        <f t="shared" si="1"/>
        <v>100</v>
      </c>
      <c r="I26" s="323">
        <f>100+100+100+60+90+100+100+100+100</f>
        <v>850</v>
      </c>
      <c r="J26" s="323">
        <f>100+100+100+100+100+100+103+100+120</f>
        <v>923</v>
      </c>
      <c r="K26" s="320">
        <f t="shared" si="2"/>
        <v>108.58823529411765</v>
      </c>
      <c r="L26" s="316">
        <f t="shared" si="3"/>
        <v>102.47179271708683</v>
      </c>
    </row>
    <row r="27" spans="1:12" x14ac:dyDescent="0.2">
      <c r="A27" s="298"/>
      <c r="B27" s="312" t="s">
        <v>189</v>
      </c>
      <c r="C27" s="313">
        <f>100+100+90+90+100+100+10+30+100</f>
        <v>720</v>
      </c>
      <c r="D27" s="322">
        <f>100+100+99+91.57+100+100+10+41+100</f>
        <v>741.56999999999994</v>
      </c>
      <c r="E27" s="315">
        <f t="shared" si="0"/>
        <v>102.99583333333334</v>
      </c>
      <c r="F27" s="322">
        <f>100+100+90+90+100+100+10+30</f>
        <v>620</v>
      </c>
      <c r="G27" s="322">
        <f>99.46+100+89.12+96.77+91.23+92.36+100+100+10.24+27</f>
        <v>806.18</v>
      </c>
      <c r="H27" s="315">
        <f t="shared" si="1"/>
        <v>130.02903225806452</v>
      </c>
      <c r="I27" s="322">
        <f>100+100+90+90+100+100+100+10+30</f>
        <v>720</v>
      </c>
      <c r="J27" s="322">
        <f>99.47+100+100+99.37+95.89+98+100+100+100+10.37+34</f>
        <v>937.1</v>
      </c>
      <c r="K27" s="315">
        <f t="shared" si="2"/>
        <v>130.15277777777777</v>
      </c>
      <c r="L27" s="316">
        <f t="shared" si="3"/>
        <v>121.05921445639187</v>
      </c>
    </row>
    <row r="28" spans="1:12" x14ac:dyDescent="0.2">
      <c r="A28" s="298"/>
      <c r="B28" s="317" t="s">
        <v>190</v>
      </c>
      <c r="C28" s="324">
        <f t="shared" ref="C28:D29" si="4">100+100+100</f>
        <v>300</v>
      </c>
      <c r="D28" s="324">
        <f t="shared" si="4"/>
        <v>300</v>
      </c>
      <c r="E28" s="320">
        <f t="shared" si="0"/>
        <v>100</v>
      </c>
      <c r="F28" s="324">
        <f t="shared" ref="F28:G35" si="5">100+100+100</f>
        <v>300</v>
      </c>
      <c r="G28" s="324">
        <f>100+0+100</f>
        <v>200</v>
      </c>
      <c r="H28" s="320">
        <f t="shared" si="1"/>
        <v>66.666666666666671</v>
      </c>
      <c r="I28" s="324">
        <f t="shared" ref="I28:J35" si="6">100+100+100</f>
        <v>300</v>
      </c>
      <c r="J28" s="324">
        <f t="shared" si="6"/>
        <v>300</v>
      </c>
      <c r="K28" s="320">
        <f t="shared" si="2"/>
        <v>100</v>
      </c>
      <c r="L28" s="316">
        <f t="shared" si="3"/>
        <v>88.8888888888889</v>
      </c>
    </row>
    <row r="29" spans="1:12" x14ac:dyDescent="0.2">
      <c r="A29" s="298"/>
      <c r="B29" s="312" t="s">
        <v>191</v>
      </c>
      <c r="C29" s="325">
        <f t="shared" si="4"/>
        <v>300</v>
      </c>
      <c r="D29" s="325">
        <f t="shared" si="4"/>
        <v>300</v>
      </c>
      <c r="E29" s="315">
        <f t="shared" si="0"/>
        <v>100</v>
      </c>
      <c r="F29" s="325">
        <f t="shared" si="5"/>
        <v>300</v>
      </c>
      <c r="G29" s="325">
        <f>100+100+100</f>
        <v>300</v>
      </c>
      <c r="H29" s="315">
        <f t="shared" si="1"/>
        <v>100</v>
      </c>
      <c r="I29" s="325">
        <f t="shared" si="6"/>
        <v>300</v>
      </c>
      <c r="J29" s="325">
        <f t="shared" si="6"/>
        <v>300</v>
      </c>
      <c r="K29" s="315">
        <f t="shared" si="2"/>
        <v>100</v>
      </c>
      <c r="L29" s="316">
        <f t="shared" si="3"/>
        <v>100</v>
      </c>
    </row>
    <row r="30" spans="1:12" x14ac:dyDescent="0.2">
      <c r="A30" s="298"/>
      <c r="B30" s="317" t="s">
        <v>192</v>
      </c>
      <c r="C30" s="318">
        <f>100+4.7+100</f>
        <v>204.7</v>
      </c>
      <c r="D30" s="324">
        <f>108+4.35+100</f>
        <v>212.35</v>
      </c>
      <c r="E30" s="320">
        <f t="shared" si="0"/>
        <v>103.7371763556424</v>
      </c>
      <c r="F30" s="324">
        <f t="shared" si="5"/>
        <v>300</v>
      </c>
      <c r="G30" s="324">
        <f>108+100+100</f>
        <v>308</v>
      </c>
      <c r="H30" s="320">
        <f t="shared" si="1"/>
        <v>102.66666666666667</v>
      </c>
      <c r="I30" s="324">
        <f t="shared" si="6"/>
        <v>300</v>
      </c>
      <c r="J30" s="324">
        <f t="shared" si="6"/>
        <v>300</v>
      </c>
      <c r="K30" s="320">
        <f t="shared" si="2"/>
        <v>100</v>
      </c>
      <c r="L30" s="316">
        <f t="shared" si="3"/>
        <v>102.13461434076969</v>
      </c>
    </row>
    <row r="31" spans="1:12" x14ac:dyDescent="0.2">
      <c r="A31" s="298"/>
      <c r="B31" s="312" t="s">
        <v>193</v>
      </c>
      <c r="C31" s="325">
        <f t="shared" ref="C31:D35" si="7">100+100+100</f>
        <v>300</v>
      </c>
      <c r="D31" s="325">
        <f t="shared" si="7"/>
        <v>300</v>
      </c>
      <c r="E31" s="315">
        <f t="shared" si="0"/>
        <v>100</v>
      </c>
      <c r="F31" s="325">
        <f t="shared" si="5"/>
        <v>300</v>
      </c>
      <c r="G31" s="325">
        <f t="shared" si="5"/>
        <v>300</v>
      </c>
      <c r="H31" s="315">
        <f t="shared" si="1"/>
        <v>100</v>
      </c>
      <c r="I31" s="325">
        <f t="shared" si="6"/>
        <v>300</v>
      </c>
      <c r="J31" s="325">
        <f t="shared" si="6"/>
        <v>300</v>
      </c>
      <c r="K31" s="315">
        <f t="shared" si="2"/>
        <v>100</v>
      </c>
      <c r="L31" s="316">
        <f t="shared" si="3"/>
        <v>100</v>
      </c>
    </row>
    <row r="32" spans="1:12" x14ac:dyDescent="0.2">
      <c r="A32" s="298"/>
      <c r="B32" s="317" t="s">
        <v>194</v>
      </c>
      <c r="C32" s="324">
        <f t="shared" si="7"/>
        <v>300</v>
      </c>
      <c r="D32" s="324">
        <f t="shared" si="7"/>
        <v>300</v>
      </c>
      <c r="E32" s="320">
        <f t="shared" si="0"/>
        <v>100</v>
      </c>
      <c r="F32" s="324">
        <f t="shared" si="5"/>
        <v>300</v>
      </c>
      <c r="G32" s="324">
        <f t="shared" si="5"/>
        <v>300</v>
      </c>
      <c r="H32" s="320">
        <f t="shared" si="1"/>
        <v>100</v>
      </c>
      <c r="I32" s="324">
        <f t="shared" si="6"/>
        <v>300</v>
      </c>
      <c r="J32" s="324">
        <f t="shared" si="6"/>
        <v>300</v>
      </c>
      <c r="K32" s="320">
        <f t="shared" si="2"/>
        <v>100</v>
      </c>
      <c r="L32" s="316">
        <f t="shared" si="3"/>
        <v>100</v>
      </c>
    </row>
    <row r="33" spans="1:12" x14ac:dyDescent="0.2">
      <c r="A33" s="298"/>
      <c r="B33" s="312" t="s">
        <v>195</v>
      </c>
      <c r="C33" s="325">
        <f t="shared" si="7"/>
        <v>300</v>
      </c>
      <c r="D33" s="325">
        <f t="shared" si="7"/>
        <v>300</v>
      </c>
      <c r="E33" s="315">
        <f t="shared" si="0"/>
        <v>100</v>
      </c>
      <c r="F33" s="325">
        <f t="shared" si="5"/>
        <v>300</v>
      </c>
      <c r="G33" s="325">
        <f t="shared" si="5"/>
        <v>300</v>
      </c>
      <c r="H33" s="315">
        <f t="shared" si="1"/>
        <v>100</v>
      </c>
      <c r="I33" s="325">
        <f t="shared" si="6"/>
        <v>300</v>
      </c>
      <c r="J33" s="325">
        <f t="shared" si="6"/>
        <v>300</v>
      </c>
      <c r="K33" s="315">
        <f t="shared" si="2"/>
        <v>100</v>
      </c>
      <c r="L33" s="316">
        <f t="shared" si="3"/>
        <v>100</v>
      </c>
    </row>
    <row r="34" spans="1:12" x14ac:dyDescent="0.2">
      <c r="A34" s="298"/>
      <c r="B34" s="317" t="s">
        <v>196</v>
      </c>
      <c r="C34" s="318">
        <f t="shared" si="7"/>
        <v>300</v>
      </c>
      <c r="D34" s="324">
        <f>106+100+100</f>
        <v>306</v>
      </c>
      <c r="E34" s="320">
        <f t="shared" si="0"/>
        <v>102</v>
      </c>
      <c r="F34" s="318">
        <f t="shared" si="5"/>
        <v>300</v>
      </c>
      <c r="G34" s="324">
        <f t="shared" si="5"/>
        <v>300</v>
      </c>
      <c r="H34" s="320">
        <f t="shared" si="1"/>
        <v>100</v>
      </c>
      <c r="I34" s="318">
        <f t="shared" si="6"/>
        <v>300</v>
      </c>
      <c r="J34" s="324">
        <f t="shared" si="6"/>
        <v>300</v>
      </c>
      <c r="K34" s="320">
        <f t="shared" si="2"/>
        <v>100</v>
      </c>
      <c r="L34" s="316">
        <f t="shared" si="3"/>
        <v>100.66666666666667</v>
      </c>
    </row>
    <row r="35" spans="1:12" x14ac:dyDescent="0.2">
      <c r="A35" s="298"/>
      <c r="B35" s="312" t="s">
        <v>197</v>
      </c>
      <c r="C35" s="325">
        <f t="shared" si="7"/>
        <v>300</v>
      </c>
      <c r="D35" s="325">
        <f>100+100+100</f>
        <v>300</v>
      </c>
      <c r="E35" s="315">
        <f t="shared" si="0"/>
        <v>100</v>
      </c>
      <c r="F35" s="325">
        <f t="shared" si="5"/>
        <v>300</v>
      </c>
      <c r="G35" s="325">
        <f t="shared" si="5"/>
        <v>300</v>
      </c>
      <c r="H35" s="315">
        <f t="shared" si="1"/>
        <v>100</v>
      </c>
      <c r="I35" s="325">
        <f t="shared" si="6"/>
        <v>300</v>
      </c>
      <c r="J35" s="325">
        <f t="shared" si="6"/>
        <v>300</v>
      </c>
      <c r="K35" s="315">
        <f t="shared" si="2"/>
        <v>100</v>
      </c>
      <c r="L35" s="316">
        <f t="shared" si="3"/>
        <v>100</v>
      </c>
    </row>
    <row r="36" spans="1:12" x14ac:dyDescent="0.2">
      <c r="A36" s="298"/>
      <c r="B36" s="317" t="s">
        <v>198</v>
      </c>
      <c r="C36" s="318">
        <f>40+80+90+40+10+5+80+40+90</f>
        <v>475</v>
      </c>
      <c r="D36" s="324">
        <f>99+83+100+54+54+7+100+92+96</f>
        <v>685</v>
      </c>
      <c r="E36" s="320">
        <f t="shared" si="0"/>
        <v>144.21052631578948</v>
      </c>
      <c r="F36" s="324">
        <f>40+80+90+40+25+5+80+40+80</f>
        <v>480</v>
      </c>
      <c r="G36" s="324">
        <f>94+95+100+56+26+6+100+100+83</f>
        <v>660</v>
      </c>
      <c r="H36" s="320">
        <f t="shared" si="1"/>
        <v>137.5</v>
      </c>
      <c r="I36" s="324">
        <f>40+80+90+40+25+5+80+40+80</f>
        <v>480</v>
      </c>
      <c r="J36" s="324">
        <f>86+83+100+71+26+5+100+74+89</f>
        <v>634</v>
      </c>
      <c r="K36" s="320">
        <f t="shared" si="2"/>
        <v>132.08333333333334</v>
      </c>
      <c r="L36" s="316">
        <f t="shared" si="3"/>
        <v>137.93128654970761</v>
      </c>
    </row>
    <row r="37" spans="1:12" x14ac:dyDescent="0.2">
      <c r="A37" s="298"/>
      <c r="B37" s="312" t="s">
        <v>199</v>
      </c>
      <c r="C37" s="313">
        <f t="shared" ref="C37:C38" si="8">100+90+100</f>
        <v>290</v>
      </c>
      <c r="D37" s="325">
        <f t="shared" ref="D37:D38" si="9">100+100+100</f>
        <v>300</v>
      </c>
      <c r="E37" s="315">
        <f t="shared" si="0"/>
        <v>103.44827586206897</v>
      </c>
      <c r="F37" s="325">
        <f t="shared" ref="F37:F38" si="10">100+90+100</f>
        <v>290</v>
      </c>
      <c r="G37" s="325">
        <f t="shared" ref="G37:G38" si="11">100+100+100</f>
        <v>300</v>
      </c>
      <c r="H37" s="315">
        <f t="shared" si="1"/>
        <v>103.44827586206897</v>
      </c>
      <c r="I37" s="325">
        <f t="shared" ref="I37:I38" si="12">100+90+100</f>
        <v>290</v>
      </c>
      <c r="J37" s="325">
        <f t="shared" ref="J37:J38" si="13">100+100+100</f>
        <v>300</v>
      </c>
      <c r="K37" s="315">
        <f t="shared" si="2"/>
        <v>103.44827586206897</v>
      </c>
      <c r="L37" s="316">
        <f t="shared" si="3"/>
        <v>103.44827586206897</v>
      </c>
    </row>
    <row r="38" spans="1:12" x14ac:dyDescent="0.2">
      <c r="A38" s="298"/>
      <c r="B38" s="317" t="s">
        <v>200</v>
      </c>
      <c r="C38" s="326">
        <f t="shared" si="8"/>
        <v>290</v>
      </c>
      <c r="D38" s="324">
        <f t="shared" si="9"/>
        <v>300</v>
      </c>
      <c r="E38" s="320">
        <f t="shared" si="0"/>
        <v>103.44827586206897</v>
      </c>
      <c r="F38" s="326">
        <f t="shared" si="10"/>
        <v>290</v>
      </c>
      <c r="G38" s="324">
        <f t="shared" si="11"/>
        <v>300</v>
      </c>
      <c r="H38" s="320">
        <f t="shared" si="1"/>
        <v>103.44827586206897</v>
      </c>
      <c r="I38" s="324">
        <f t="shared" si="12"/>
        <v>290</v>
      </c>
      <c r="J38" s="324">
        <f t="shared" si="13"/>
        <v>300</v>
      </c>
      <c r="K38" s="320">
        <f t="shared" si="2"/>
        <v>103.44827586206897</v>
      </c>
      <c r="L38" s="316">
        <f t="shared" si="3"/>
        <v>103.44827586206897</v>
      </c>
    </row>
    <row r="39" spans="1:12" x14ac:dyDescent="0.2">
      <c r="A39" s="298"/>
      <c r="B39" s="312" t="s">
        <v>201</v>
      </c>
      <c r="C39" s="313">
        <f>70+90+90+90+90+90</f>
        <v>520</v>
      </c>
      <c r="D39" s="325">
        <f>70.58+90+90.34+90+91.66+90</f>
        <v>522.57999999999993</v>
      </c>
      <c r="E39" s="315">
        <f t="shared" si="0"/>
        <v>100.49615384615383</v>
      </c>
      <c r="F39" s="325">
        <f>70+90+90+90+90+90</f>
        <v>520</v>
      </c>
      <c r="G39" s="325">
        <f>90+90+90+89.91+93.33+90</f>
        <v>543.24</v>
      </c>
      <c r="H39" s="315">
        <f t="shared" si="1"/>
        <v>104.46923076923076</v>
      </c>
      <c r="I39" s="325">
        <f>70+90+90+90+80+90+90</f>
        <v>600</v>
      </c>
      <c r="J39" s="325">
        <f>68.97+92.24+89.93+89.62+89.78+93.33+90</f>
        <v>613.87</v>
      </c>
      <c r="K39" s="315">
        <f t="shared" si="2"/>
        <v>102.31166666666667</v>
      </c>
      <c r="L39" s="316">
        <f t="shared" si="3"/>
        <v>102.42568376068375</v>
      </c>
    </row>
    <row r="40" spans="1:12" x14ac:dyDescent="0.2">
      <c r="A40" s="298"/>
      <c r="B40" s="317" t="s">
        <v>202</v>
      </c>
      <c r="C40" s="318">
        <f t="shared" ref="C40:C42" si="14">70+70+70+70</f>
        <v>280</v>
      </c>
      <c r="D40" s="324">
        <f>80+70+70+75</f>
        <v>295</v>
      </c>
      <c r="E40" s="320">
        <f t="shared" si="0"/>
        <v>105.35714285714286</v>
      </c>
      <c r="F40" s="324">
        <f t="shared" ref="F40:F42" si="15">70+70+70+70</f>
        <v>280</v>
      </c>
      <c r="G40" s="324">
        <f>70+70+70+75</f>
        <v>285</v>
      </c>
      <c r="H40" s="320">
        <f t="shared" si="1"/>
        <v>101.78571428571429</v>
      </c>
      <c r="I40" s="324">
        <f t="shared" ref="I40:I42" si="16">70+70+70+70</f>
        <v>280</v>
      </c>
      <c r="J40" s="324">
        <f>70+74.93+71+75</f>
        <v>290.93</v>
      </c>
      <c r="K40" s="320">
        <f t="shared" si="2"/>
        <v>103.90357142857142</v>
      </c>
      <c r="L40" s="316">
        <f t="shared" si="3"/>
        <v>103.68214285714286</v>
      </c>
    </row>
    <row r="41" spans="1:12" x14ac:dyDescent="0.2">
      <c r="A41" s="298"/>
      <c r="B41" s="312" t="s">
        <v>203</v>
      </c>
      <c r="C41" s="325">
        <f t="shared" si="14"/>
        <v>280</v>
      </c>
      <c r="D41" s="325">
        <f>71.42+70+69.71+0</f>
        <v>211.13</v>
      </c>
      <c r="E41" s="315">
        <f t="shared" si="0"/>
        <v>75.403571428571425</v>
      </c>
      <c r="F41" s="325">
        <f t="shared" si="15"/>
        <v>280</v>
      </c>
      <c r="G41" s="325">
        <f>66.67+70.09+70.13+75</f>
        <v>281.89</v>
      </c>
      <c r="H41" s="315">
        <f t="shared" si="1"/>
        <v>100.675</v>
      </c>
      <c r="I41" s="325">
        <f t="shared" si="16"/>
        <v>280</v>
      </c>
      <c r="J41" s="325">
        <f>71.43+78.57+78+75</f>
        <v>303</v>
      </c>
      <c r="K41" s="315">
        <f t="shared" si="2"/>
        <v>108.21428571428571</v>
      </c>
      <c r="L41" s="316">
        <f t="shared" si="3"/>
        <v>94.76428571428572</v>
      </c>
    </row>
    <row r="42" spans="1:12" x14ac:dyDescent="0.2">
      <c r="A42" s="298"/>
      <c r="B42" s="317" t="s">
        <v>204</v>
      </c>
      <c r="C42" s="318">
        <f t="shared" si="14"/>
        <v>280</v>
      </c>
      <c r="D42" s="324">
        <f>70.76+70+70.21+80</f>
        <v>290.96999999999997</v>
      </c>
      <c r="E42" s="320">
        <f t="shared" si="0"/>
        <v>103.91785714285713</v>
      </c>
      <c r="F42" s="324">
        <f t="shared" si="15"/>
        <v>280</v>
      </c>
      <c r="G42" s="324">
        <f>70.37+70+70.21+69.57</f>
        <v>280.14999999999998</v>
      </c>
      <c r="H42" s="320">
        <f t="shared" si="1"/>
        <v>100.05357142857142</v>
      </c>
      <c r="I42" s="324">
        <f t="shared" si="16"/>
        <v>280</v>
      </c>
      <c r="J42" s="324">
        <f>64.58+70.01+69.72+66.67</f>
        <v>270.98</v>
      </c>
      <c r="K42" s="320">
        <f t="shared" si="2"/>
        <v>96.778571428571425</v>
      </c>
      <c r="L42" s="316">
        <f t="shared" si="3"/>
        <v>100.24999999999999</v>
      </c>
    </row>
    <row r="43" spans="1:12" x14ac:dyDescent="0.2">
      <c r="A43" s="298"/>
      <c r="B43" s="312" t="s">
        <v>205</v>
      </c>
      <c r="C43" s="313">
        <f>40+80+90+40+80+80+3.85+40</f>
        <v>453.85</v>
      </c>
      <c r="D43" s="325">
        <f>63.92+95+97.46+69+80+84+5.43+44.9</f>
        <v>539.71</v>
      </c>
      <c r="E43" s="315">
        <f t="shared" si="0"/>
        <v>118.91814476148507</v>
      </c>
      <c r="F43" s="325">
        <f>40+80+90+40+80+90+6+40</f>
        <v>466</v>
      </c>
      <c r="G43" s="325">
        <f>46.32+86.67+92.32+45.2+80+94+5.86+47.37</f>
        <v>497.74</v>
      </c>
      <c r="H43" s="315">
        <f t="shared" si="1"/>
        <v>106.81115879828326</v>
      </c>
      <c r="I43" s="325">
        <f>40+80+90+40+80+90+6+40</f>
        <v>466</v>
      </c>
      <c r="J43" s="325">
        <f>81.9+85+92.75+44.6+80+92+7.45+45</f>
        <v>528.70000000000005</v>
      </c>
      <c r="K43" s="315">
        <f t="shared" si="2"/>
        <v>113.45493562231761</v>
      </c>
      <c r="L43" s="316">
        <f t="shared" si="3"/>
        <v>113.0614130606953</v>
      </c>
    </row>
    <row r="44" spans="1:12" x14ac:dyDescent="0.2">
      <c r="A44" s="298"/>
      <c r="B44" s="317" t="s">
        <v>206</v>
      </c>
      <c r="C44" s="318">
        <f t="shared" ref="C44:C49" si="17">100+70+80</f>
        <v>250</v>
      </c>
      <c r="D44" s="324">
        <f>100+80.65+84.21</f>
        <v>264.86</v>
      </c>
      <c r="E44" s="320">
        <f t="shared" si="0"/>
        <v>105.944</v>
      </c>
      <c r="F44" s="324">
        <f t="shared" ref="F44:F49" si="18">100+70+80</f>
        <v>250</v>
      </c>
      <c r="G44" s="324">
        <f>100+77.7+82</f>
        <v>259.7</v>
      </c>
      <c r="H44" s="320">
        <f t="shared" si="1"/>
        <v>103.88</v>
      </c>
      <c r="I44" s="324">
        <f t="shared" ref="I44:I49" si="19">100+70+80</f>
        <v>250</v>
      </c>
      <c r="J44" s="324">
        <f>100+7345+84</f>
        <v>7529</v>
      </c>
      <c r="K44" s="320">
        <f t="shared" si="2"/>
        <v>3011.6</v>
      </c>
      <c r="L44" s="316">
        <f t="shared" si="3"/>
        <v>1073.808</v>
      </c>
    </row>
    <row r="45" spans="1:12" x14ac:dyDescent="0.2">
      <c r="A45" s="298"/>
      <c r="B45" s="312" t="s">
        <v>207</v>
      </c>
      <c r="C45" s="313">
        <f t="shared" si="17"/>
        <v>250</v>
      </c>
      <c r="D45" s="325">
        <f>100+78.18+83.33</f>
        <v>261.51</v>
      </c>
      <c r="E45" s="315">
        <f t="shared" si="0"/>
        <v>104.604</v>
      </c>
      <c r="F45" s="325">
        <f t="shared" si="18"/>
        <v>250</v>
      </c>
      <c r="G45" s="325">
        <f>100+79.8+84</f>
        <v>263.8</v>
      </c>
      <c r="H45" s="315">
        <f t="shared" si="1"/>
        <v>105.52</v>
      </c>
      <c r="I45" s="325">
        <f t="shared" si="19"/>
        <v>250</v>
      </c>
      <c r="J45" s="325">
        <f>100+76.94+78</f>
        <v>254.94</v>
      </c>
      <c r="K45" s="315">
        <f t="shared" si="2"/>
        <v>101.976</v>
      </c>
      <c r="L45" s="316">
        <f t="shared" si="3"/>
        <v>104.03333333333335</v>
      </c>
    </row>
    <row r="46" spans="1:12" x14ac:dyDescent="0.2">
      <c r="A46" s="298"/>
      <c r="B46" s="317" t="s">
        <v>208</v>
      </c>
      <c r="C46" s="318">
        <f t="shared" si="17"/>
        <v>250</v>
      </c>
      <c r="D46" s="324">
        <f>100+74.79+90</f>
        <v>264.79000000000002</v>
      </c>
      <c r="E46" s="320">
        <f t="shared" si="0"/>
        <v>105.91600000000001</v>
      </c>
      <c r="F46" s="324">
        <f t="shared" si="18"/>
        <v>250</v>
      </c>
      <c r="G46" s="324">
        <f>100+77.18+88</f>
        <v>265.18</v>
      </c>
      <c r="H46" s="320">
        <f t="shared" si="1"/>
        <v>106.072</v>
      </c>
      <c r="I46" s="324">
        <f t="shared" si="19"/>
        <v>250</v>
      </c>
      <c r="J46" s="324">
        <f>100+72.96+86</f>
        <v>258.95999999999998</v>
      </c>
      <c r="K46" s="320">
        <f t="shared" si="2"/>
        <v>103.58399999999999</v>
      </c>
      <c r="L46" s="316">
        <f t="shared" si="3"/>
        <v>105.19066666666667</v>
      </c>
    </row>
    <row r="47" spans="1:12" x14ac:dyDescent="0.2">
      <c r="A47" s="298"/>
      <c r="B47" s="312" t="s">
        <v>209</v>
      </c>
      <c r="C47" s="313">
        <f t="shared" si="17"/>
        <v>250</v>
      </c>
      <c r="D47" s="325">
        <f>100+80+85.71</f>
        <v>265.70999999999998</v>
      </c>
      <c r="E47" s="315">
        <f t="shared" si="0"/>
        <v>106.28399999999999</v>
      </c>
      <c r="F47" s="325">
        <f t="shared" si="18"/>
        <v>250</v>
      </c>
      <c r="G47" s="325">
        <f>100+78.85+90</f>
        <v>268.85000000000002</v>
      </c>
      <c r="H47" s="315">
        <f t="shared" si="1"/>
        <v>107.54000000000002</v>
      </c>
      <c r="I47" s="325">
        <f t="shared" si="19"/>
        <v>250</v>
      </c>
      <c r="J47" s="325">
        <f>100+75.79+86</f>
        <v>261.79000000000002</v>
      </c>
      <c r="K47" s="315">
        <f t="shared" si="2"/>
        <v>104.71600000000001</v>
      </c>
      <c r="L47" s="316">
        <f t="shared" si="3"/>
        <v>106.18</v>
      </c>
    </row>
    <row r="48" spans="1:12" x14ac:dyDescent="0.2">
      <c r="A48" s="298"/>
      <c r="B48" s="327" t="s">
        <v>210</v>
      </c>
      <c r="C48" s="318">
        <f t="shared" si="17"/>
        <v>250</v>
      </c>
      <c r="D48" s="324">
        <f>100+80.71+87.14</f>
        <v>267.84999999999997</v>
      </c>
      <c r="E48" s="320">
        <f t="shared" si="0"/>
        <v>107.13999999999999</v>
      </c>
      <c r="F48" s="324">
        <f t="shared" si="18"/>
        <v>250</v>
      </c>
      <c r="G48" s="324">
        <f>100+75.16+86</f>
        <v>261.15999999999997</v>
      </c>
      <c r="H48" s="320">
        <f t="shared" si="1"/>
        <v>104.46399999999998</v>
      </c>
      <c r="I48" s="324">
        <f t="shared" si="19"/>
        <v>250</v>
      </c>
      <c r="J48" s="324">
        <f>100+74.35+80</f>
        <v>254.35</v>
      </c>
      <c r="K48" s="320">
        <f t="shared" si="2"/>
        <v>101.74</v>
      </c>
      <c r="L48" s="316">
        <f t="shared" si="3"/>
        <v>104.44799999999999</v>
      </c>
    </row>
    <row r="49" spans="1:12" x14ac:dyDescent="0.2">
      <c r="A49" s="298"/>
      <c r="B49" s="312" t="s">
        <v>211</v>
      </c>
      <c r="C49" s="313">
        <f t="shared" si="17"/>
        <v>250</v>
      </c>
      <c r="D49" s="325">
        <f>100+78.86+86.21</f>
        <v>265.07</v>
      </c>
      <c r="E49" s="315">
        <f t="shared" si="0"/>
        <v>106.02800000000001</v>
      </c>
      <c r="F49" s="325">
        <f t="shared" si="18"/>
        <v>250</v>
      </c>
      <c r="G49" s="325">
        <f>100+77.64+88</f>
        <v>265.64</v>
      </c>
      <c r="H49" s="315">
        <f t="shared" si="1"/>
        <v>106.256</v>
      </c>
      <c r="I49" s="325">
        <f t="shared" si="19"/>
        <v>250</v>
      </c>
      <c r="J49" s="325">
        <f>100+74.4+86</f>
        <v>260.39999999999998</v>
      </c>
      <c r="K49" s="315">
        <f t="shared" si="2"/>
        <v>104.15999999999998</v>
      </c>
      <c r="L49" s="316">
        <f t="shared" si="3"/>
        <v>105.48133333333332</v>
      </c>
    </row>
    <row r="50" spans="1:12" x14ac:dyDescent="0.2">
      <c r="A50" s="298"/>
      <c r="B50" s="328" t="s">
        <v>212</v>
      </c>
      <c r="C50" s="329">
        <f>72+20+80+30+71.43+40</f>
        <v>313.43</v>
      </c>
      <c r="D50" s="329">
        <f>73+20+84+30+75+41</f>
        <v>323</v>
      </c>
      <c r="E50" s="320">
        <f t="shared" si="0"/>
        <v>103.05331333950164</v>
      </c>
      <c r="F50" s="329">
        <f>72+20+80+30+71.43+40</f>
        <v>313.43</v>
      </c>
      <c r="G50" s="329">
        <f>73.68+20+94+50+114.29+75</f>
        <v>426.97</v>
      </c>
      <c r="H50" s="320">
        <f t="shared" si="1"/>
        <v>136.22499441661614</v>
      </c>
      <c r="I50" s="329">
        <f>72+20+80+30+71.43+40</f>
        <v>313.43</v>
      </c>
      <c r="J50" s="329">
        <f>71.11+20+82.22+29.85+76.8+42.27</f>
        <v>322.24999999999994</v>
      </c>
      <c r="K50" s="320">
        <f t="shared" si="2"/>
        <v>102.81402546023033</v>
      </c>
      <c r="L50" s="316">
        <f t="shared" si="3"/>
        <v>114.0307777387827</v>
      </c>
    </row>
    <row r="51" spans="1:12" x14ac:dyDescent="0.2">
      <c r="A51" s="298"/>
      <c r="B51" s="312" t="s">
        <v>213</v>
      </c>
      <c r="C51" s="325">
        <f t="shared" ref="C51:C52" si="20">100+70+80</f>
        <v>250</v>
      </c>
      <c r="D51" s="325">
        <f>100+83+87</f>
        <v>270</v>
      </c>
      <c r="E51" s="315">
        <f t="shared" si="0"/>
        <v>108</v>
      </c>
      <c r="F51" s="325">
        <f t="shared" ref="F51:F52" si="21">100+70+80</f>
        <v>250</v>
      </c>
      <c r="G51" s="325">
        <f>100+85.33+85</f>
        <v>270.33</v>
      </c>
      <c r="H51" s="315">
        <f t="shared" si="1"/>
        <v>108.13200000000001</v>
      </c>
      <c r="I51" s="325">
        <f t="shared" ref="I51:I52" si="22">100+70+80</f>
        <v>250</v>
      </c>
      <c r="J51" s="325">
        <f>100+71.53+78.95</f>
        <v>250.48000000000002</v>
      </c>
      <c r="K51" s="315">
        <f t="shared" si="2"/>
        <v>100.19199999999999</v>
      </c>
      <c r="L51" s="316">
        <f t="shared" si="3"/>
        <v>105.44133333333333</v>
      </c>
    </row>
    <row r="52" spans="1:12" x14ac:dyDescent="0.2">
      <c r="A52" s="298"/>
      <c r="B52" s="328" t="s">
        <v>214</v>
      </c>
      <c r="C52" s="329">
        <f t="shared" si="20"/>
        <v>250</v>
      </c>
      <c r="D52" s="329">
        <f>100+70+78</f>
        <v>248</v>
      </c>
      <c r="E52" s="320">
        <f t="shared" si="0"/>
        <v>99.2</v>
      </c>
      <c r="F52" s="329">
        <f t="shared" si="21"/>
        <v>250</v>
      </c>
      <c r="G52" s="329">
        <f>100+72.44+90</f>
        <v>262.44</v>
      </c>
      <c r="H52" s="320">
        <f t="shared" si="1"/>
        <v>104.976</v>
      </c>
      <c r="I52" s="329">
        <f t="shared" si="22"/>
        <v>250</v>
      </c>
      <c r="J52" s="329">
        <f>100+69.15+78.57</f>
        <v>247.72</v>
      </c>
      <c r="K52" s="320">
        <f t="shared" si="2"/>
        <v>99.087999999999994</v>
      </c>
      <c r="L52" s="316">
        <f t="shared" si="3"/>
        <v>101.08800000000001</v>
      </c>
    </row>
    <row r="53" spans="1:12" x14ac:dyDescent="0.2">
      <c r="A53" s="298"/>
      <c r="B53" s="312" t="s">
        <v>215</v>
      </c>
      <c r="C53" s="313">
        <f>57+18+43+22+90+90</f>
        <v>320</v>
      </c>
      <c r="D53" s="325">
        <f>57.96+18.84+43.68+22.37+90.91+91.2</f>
        <v>324.95999999999998</v>
      </c>
      <c r="E53" s="315">
        <f t="shared" si="0"/>
        <v>101.54999999999998</v>
      </c>
      <c r="F53" s="325">
        <f>57+18+43+22+90+90</f>
        <v>320</v>
      </c>
      <c r="G53" s="325">
        <f>58.56+19+43.78+22.1+91.23+91.4</f>
        <v>326.07000000000005</v>
      </c>
      <c r="H53" s="315">
        <f t="shared" si="1"/>
        <v>101.89687500000001</v>
      </c>
      <c r="I53" s="325">
        <f>57+18+43+22+90+90</f>
        <v>320</v>
      </c>
      <c r="J53" s="325">
        <f>57.65+19.61+43.58+23.08+91.67+91.62</f>
        <v>327.20999999999998</v>
      </c>
      <c r="K53" s="315">
        <f t="shared" si="2"/>
        <v>102.25312499999998</v>
      </c>
      <c r="L53" s="316">
        <f t="shared" si="3"/>
        <v>101.89999999999998</v>
      </c>
    </row>
    <row r="54" spans="1:12" x14ac:dyDescent="0.2">
      <c r="A54" s="298"/>
      <c r="B54" s="328" t="s">
        <v>216</v>
      </c>
      <c r="C54" s="330">
        <f>70+85+70+50+20+10+40+100+70</f>
        <v>515</v>
      </c>
      <c r="D54" s="331">
        <f>100+100+100+56.23+78.78+100+31.38+100+100</f>
        <v>766.39</v>
      </c>
      <c r="E54" s="320">
        <f t="shared" si="0"/>
        <v>148.8135922330097</v>
      </c>
      <c r="F54" s="331">
        <f>70+85+70+50+20+40+100+70</f>
        <v>505</v>
      </c>
      <c r="G54" s="331">
        <f>100+100+100+85.9+78.48+70.57+100+100</f>
        <v>734.95</v>
      </c>
      <c r="H54" s="320">
        <f t="shared" si="1"/>
        <v>145.53465346534654</v>
      </c>
      <c r="I54" s="331">
        <f>70+85+70+50+20+40+100+70</f>
        <v>505</v>
      </c>
      <c r="J54" s="331">
        <f>0+100+100+81.17+82.72+65.62+100+100</f>
        <v>629.51</v>
      </c>
      <c r="K54" s="320">
        <f t="shared" si="2"/>
        <v>124.65544554455445</v>
      </c>
      <c r="L54" s="316">
        <f t="shared" si="3"/>
        <v>139.66789708097022</v>
      </c>
    </row>
    <row r="55" spans="1:12" x14ac:dyDescent="0.2">
      <c r="A55" s="298"/>
      <c r="B55" s="312" t="s">
        <v>217</v>
      </c>
      <c r="C55" s="313">
        <f>44.48+42.5+6.09+9.87+90.48+20</f>
        <v>213.42000000000002</v>
      </c>
      <c r="D55" s="322">
        <f>46.73+44.68+4.54+8.36+90.74+97.14</f>
        <v>292.19</v>
      </c>
      <c r="E55" s="315">
        <f t="shared" si="0"/>
        <v>136.90844344485052</v>
      </c>
      <c r="F55" s="322">
        <f>45.52+43.8+4.72+8.31+200+20+21.51</f>
        <v>343.86</v>
      </c>
      <c r="G55" s="322">
        <f>47.26+45.15+4.1+7.99+240.98+23.72+24.21</f>
        <v>393.40999999999991</v>
      </c>
      <c r="H55" s="315">
        <f t="shared" si="1"/>
        <v>114.40993427557724</v>
      </c>
      <c r="I55" s="322">
        <f>46.6+45.16+3.35+6.76+110+20+27.96</f>
        <v>259.83</v>
      </c>
      <c r="J55" s="322">
        <f>47.87+45.67+2.5+6.79+111.2+16.59+28.42</f>
        <v>259.04000000000002</v>
      </c>
      <c r="K55" s="315">
        <f t="shared" si="2"/>
        <v>99.6959550475311</v>
      </c>
      <c r="L55" s="316">
        <f t="shared" si="3"/>
        <v>117.00477758931963</v>
      </c>
    </row>
    <row r="56" spans="1:12" x14ac:dyDescent="0.2">
      <c r="A56" s="298"/>
      <c r="B56" s="332"/>
      <c r="C56" s="333"/>
      <c r="D56" s="334"/>
      <c r="E56" s="334"/>
      <c r="F56" s="334"/>
      <c r="G56" s="334"/>
      <c r="H56" s="334"/>
      <c r="I56" s="334"/>
      <c r="J56" s="334"/>
      <c r="K56" s="334"/>
      <c r="L56" s="296"/>
    </row>
    <row r="57" spans="1:12" ht="15" x14ac:dyDescent="0.2">
      <c r="A57" s="305"/>
      <c r="B57" s="335" t="s">
        <v>218</v>
      </c>
      <c r="C57" s="336"/>
      <c r="D57" s="337"/>
      <c r="E57" s="337"/>
      <c r="F57" s="337"/>
      <c r="G57" s="337"/>
      <c r="H57" s="337"/>
      <c r="I57" s="337"/>
      <c r="J57" s="337"/>
      <c r="K57" s="337"/>
      <c r="L57" s="311"/>
    </row>
    <row r="58" spans="1:12" ht="13.5" customHeight="1" x14ac:dyDescent="0.2">
      <c r="A58" s="298"/>
      <c r="B58" s="332"/>
      <c r="C58" s="333"/>
      <c r="D58" s="334"/>
      <c r="E58" s="334"/>
      <c r="F58" s="334"/>
      <c r="G58" s="334"/>
      <c r="H58" s="334"/>
      <c r="I58" s="334"/>
      <c r="J58" s="334"/>
      <c r="K58" s="334"/>
      <c r="L58" s="296"/>
    </row>
    <row r="59" spans="1:12" x14ac:dyDescent="0.2">
      <c r="A59" s="298"/>
      <c r="B59" s="312" t="s">
        <v>219</v>
      </c>
      <c r="C59" s="313">
        <f>68+76+60</f>
        <v>204</v>
      </c>
      <c r="D59" s="322">
        <f>68.3+75+60.28</f>
        <v>203.58</v>
      </c>
      <c r="E59" s="315">
        <f t="shared" ref="E59:E69" si="23">+D59*100/C59</f>
        <v>99.794117647058826</v>
      </c>
      <c r="F59" s="322">
        <f>80+80+60</f>
        <v>220</v>
      </c>
      <c r="G59" s="322">
        <f>80.15+80+60</f>
        <v>220.15</v>
      </c>
      <c r="H59" s="315">
        <f t="shared" ref="H59:H69" si="24">+G59*100/F59</f>
        <v>100.06818181818181</v>
      </c>
      <c r="I59" s="322">
        <f>80+80+76</f>
        <v>236</v>
      </c>
      <c r="J59" s="322">
        <f>85+80+80</f>
        <v>245</v>
      </c>
      <c r="K59" s="315">
        <f t="shared" ref="K59:K69" si="25">+J59*100/I59</f>
        <v>103.8135593220339</v>
      </c>
      <c r="L59" s="316">
        <f t="shared" ref="L59:L69" si="26">+(E59+H59+K59)/3</f>
        <v>101.22528626242485</v>
      </c>
    </row>
    <row r="60" spans="1:12" x14ac:dyDescent="0.2">
      <c r="A60" s="298"/>
      <c r="B60" s="327" t="s">
        <v>220</v>
      </c>
      <c r="C60" s="326">
        <f>80+85+85</f>
        <v>250</v>
      </c>
      <c r="D60" s="324">
        <f>81+87+86</f>
        <v>254</v>
      </c>
      <c r="E60" s="320">
        <f t="shared" si="23"/>
        <v>101.6</v>
      </c>
      <c r="F60" s="324">
        <f>85+90+85</f>
        <v>260</v>
      </c>
      <c r="G60" s="324">
        <f>86+91+87</f>
        <v>264</v>
      </c>
      <c r="H60" s="320">
        <f t="shared" si="24"/>
        <v>101.53846153846153</v>
      </c>
      <c r="I60" s="324">
        <f>85+90+85</f>
        <v>260</v>
      </c>
      <c r="J60" s="324">
        <f>87+92+87</f>
        <v>266</v>
      </c>
      <c r="K60" s="320">
        <f t="shared" si="25"/>
        <v>102.30769230769231</v>
      </c>
      <c r="L60" s="316">
        <f t="shared" si="26"/>
        <v>101.81538461538462</v>
      </c>
    </row>
    <row r="61" spans="1:12" x14ac:dyDescent="0.2">
      <c r="A61" s="298"/>
      <c r="B61" s="312" t="s">
        <v>221</v>
      </c>
      <c r="C61" s="313">
        <f>85+75+80+90+85+95</f>
        <v>510</v>
      </c>
      <c r="D61" s="322">
        <f>98+100+100+100+430+132.14</f>
        <v>960.14</v>
      </c>
      <c r="E61" s="315">
        <f t="shared" si="23"/>
        <v>188.2627450980392</v>
      </c>
      <c r="F61" s="322">
        <f>95+80+80+85+85+90</f>
        <v>515</v>
      </c>
      <c r="G61" s="322">
        <f>72.22+100+100+105.66+97.81+100</f>
        <v>575.69000000000005</v>
      </c>
      <c r="H61" s="315">
        <f t="shared" si="24"/>
        <v>111.78446601941749</v>
      </c>
      <c r="I61" s="322">
        <f>95+85+80+85+80+85</f>
        <v>510</v>
      </c>
      <c r="J61" s="322">
        <f>87.6+100+100+87.6+88.75+100</f>
        <v>563.95000000000005</v>
      </c>
      <c r="K61" s="315">
        <f t="shared" si="25"/>
        <v>110.57843137254903</v>
      </c>
      <c r="L61" s="316">
        <f t="shared" si="26"/>
        <v>136.87521416333524</v>
      </c>
    </row>
    <row r="62" spans="1:12" x14ac:dyDescent="0.2">
      <c r="A62" s="298"/>
      <c r="B62" s="327" t="s">
        <v>222</v>
      </c>
      <c r="C62" s="326">
        <f>90+85+90+85+85+85+90+80+90</f>
        <v>780</v>
      </c>
      <c r="D62" s="323">
        <f>100+100+100+100+100+100+100+100+100+100</f>
        <v>1000</v>
      </c>
      <c r="E62" s="320">
        <f t="shared" si="23"/>
        <v>128.2051282051282</v>
      </c>
      <c r="F62" s="323">
        <f>95+90+95+85+90+90+90+80+90</f>
        <v>805</v>
      </c>
      <c r="G62" s="323">
        <f>100+100+100+100+100+100+100+100+100+100</f>
        <v>1000</v>
      </c>
      <c r="H62" s="320">
        <f t="shared" si="24"/>
        <v>124.22360248447205</v>
      </c>
      <c r="I62" s="323">
        <f>95+90+95+85+90+90+90+80+90</f>
        <v>805</v>
      </c>
      <c r="J62" s="323">
        <f>100+100+100+90+100+100+100+93+100</f>
        <v>883</v>
      </c>
      <c r="K62" s="320">
        <f t="shared" si="25"/>
        <v>109.68944099378882</v>
      </c>
      <c r="L62" s="316">
        <f t="shared" si="26"/>
        <v>120.70605722779635</v>
      </c>
    </row>
    <row r="63" spans="1:12" x14ac:dyDescent="0.2">
      <c r="A63" s="298"/>
      <c r="B63" s="312" t="s">
        <v>223</v>
      </c>
      <c r="C63" s="313">
        <f>85+87+60+85+80+87+85+87+87+90+90+75+65+45</f>
        <v>1108</v>
      </c>
      <c r="D63" s="322">
        <f>86+96+80+104+40+91.96+87.5+100+101.5+98+38+100+100+110</f>
        <v>1232.96</v>
      </c>
      <c r="E63" s="315">
        <f t="shared" si="23"/>
        <v>111.27797833935018</v>
      </c>
      <c r="F63" s="322">
        <f>73+35+92+90+90+95+91+80+100+90+100+91+90+51+100+90+100</f>
        <v>1458</v>
      </c>
      <c r="G63" s="322">
        <f>80+36+91+90+95+100+100+95+100+100+100+91+92+51+100+112+100</f>
        <v>1533</v>
      </c>
      <c r="H63" s="315">
        <f t="shared" si="24"/>
        <v>105.14403292181071</v>
      </c>
      <c r="I63" s="322">
        <f>74+40+93+90+90+95+92+80+100+90+100+91+90+51+100+90+100</f>
        <v>1466</v>
      </c>
      <c r="J63" s="322">
        <f>79+40+85+100+95+98+85+100+100+100+100+85+82+80+100+100+100</f>
        <v>1529</v>
      </c>
      <c r="K63" s="315">
        <f t="shared" si="25"/>
        <v>104.29740791268759</v>
      </c>
      <c r="L63" s="316">
        <f t="shared" si="26"/>
        <v>106.90647305794948</v>
      </c>
    </row>
    <row r="64" spans="1:12" x14ac:dyDescent="0.2">
      <c r="A64" s="298"/>
      <c r="B64" s="327" t="s">
        <v>205</v>
      </c>
      <c r="C64" s="326">
        <f>56+73+87+67+87+83+92+75+73</f>
        <v>693</v>
      </c>
      <c r="D64" s="323">
        <f>79+83+96+100+100+91+95+88+74</f>
        <v>806</v>
      </c>
      <c r="E64" s="320">
        <f t="shared" si="23"/>
        <v>116.30591630591631</v>
      </c>
      <c r="F64" s="323">
        <f>57+74+88+88+85+81+91+75+58</f>
        <v>697</v>
      </c>
      <c r="G64" s="323">
        <f>57+83+95+88+93+89+93+80+66</f>
        <v>744</v>
      </c>
      <c r="H64" s="320">
        <f t="shared" si="24"/>
        <v>106.74318507890962</v>
      </c>
      <c r="I64" s="323">
        <f>69+71+88+80+88+81+92+78+71</f>
        <v>718</v>
      </c>
      <c r="J64" s="323">
        <f>60+80+78+100+92+89+89+80+62</f>
        <v>730</v>
      </c>
      <c r="K64" s="320">
        <f t="shared" si="25"/>
        <v>101.67130919220055</v>
      </c>
      <c r="L64" s="316">
        <f t="shared" si="26"/>
        <v>108.24013685900883</v>
      </c>
    </row>
    <row r="65" spans="1:15" x14ac:dyDescent="0.2">
      <c r="A65" s="298"/>
      <c r="B65" s="312" t="s">
        <v>224</v>
      </c>
      <c r="C65" s="313">
        <f>80+80+80</f>
        <v>240</v>
      </c>
      <c r="D65" s="322">
        <f>130+113+147</f>
        <v>390</v>
      </c>
      <c r="E65" s="315">
        <f t="shared" si="23"/>
        <v>162.5</v>
      </c>
      <c r="F65" s="322">
        <f>80+90+80</f>
        <v>250</v>
      </c>
      <c r="G65" s="322">
        <f>164+100+146</f>
        <v>410</v>
      </c>
      <c r="H65" s="315">
        <f t="shared" si="24"/>
        <v>164</v>
      </c>
      <c r="I65" s="322">
        <f>80+90+80</f>
        <v>250</v>
      </c>
      <c r="J65" s="322">
        <f>210+100+199</f>
        <v>509</v>
      </c>
      <c r="K65" s="315">
        <f t="shared" si="25"/>
        <v>203.6</v>
      </c>
      <c r="L65" s="316">
        <f t="shared" si="26"/>
        <v>176.70000000000002</v>
      </c>
    </row>
    <row r="66" spans="1:15" x14ac:dyDescent="0.2">
      <c r="A66" s="298"/>
      <c r="B66" s="327" t="s">
        <v>225</v>
      </c>
      <c r="C66" s="326">
        <f>80+85+50+80+80</f>
        <v>375</v>
      </c>
      <c r="D66" s="323">
        <f>100+100+100+100+100</f>
        <v>500</v>
      </c>
      <c r="E66" s="320">
        <f t="shared" si="23"/>
        <v>133.33333333333334</v>
      </c>
      <c r="F66" s="323">
        <f>80+85+50+80+80</f>
        <v>375</v>
      </c>
      <c r="G66" s="323">
        <f>100+90+50+80+80</f>
        <v>400</v>
      </c>
      <c r="H66" s="320">
        <f t="shared" si="24"/>
        <v>106.66666666666667</v>
      </c>
      <c r="I66" s="323">
        <f>80+85+50+80+80</f>
        <v>375</v>
      </c>
      <c r="J66" s="323">
        <f>100+90+50+80+90</f>
        <v>410</v>
      </c>
      <c r="K66" s="320">
        <f t="shared" si="25"/>
        <v>109.33333333333333</v>
      </c>
      <c r="L66" s="316">
        <f t="shared" si="26"/>
        <v>116.44444444444444</v>
      </c>
    </row>
    <row r="67" spans="1:15" x14ac:dyDescent="0.2">
      <c r="A67" s="298"/>
      <c r="B67" s="312" t="s">
        <v>226</v>
      </c>
      <c r="C67" s="313">
        <f>90+50+50+80+50+90</f>
        <v>410</v>
      </c>
      <c r="D67" s="322">
        <f>100+50+50+80+50+100</f>
        <v>430</v>
      </c>
      <c r="E67" s="315">
        <f t="shared" si="23"/>
        <v>104.8780487804878</v>
      </c>
      <c r="F67" s="322">
        <f>90+75+67+80+50+100</f>
        <v>462</v>
      </c>
      <c r="G67" s="322">
        <f>100+75+67+80+50+100</f>
        <v>472</v>
      </c>
      <c r="H67" s="315">
        <f t="shared" si="24"/>
        <v>102.16450216450217</v>
      </c>
      <c r="I67" s="322">
        <f>90+75+67+80+50+100</f>
        <v>462</v>
      </c>
      <c r="J67" s="322">
        <f>100+75+67+80+50+100</f>
        <v>472</v>
      </c>
      <c r="K67" s="315">
        <f t="shared" si="25"/>
        <v>102.16450216450217</v>
      </c>
      <c r="L67" s="316">
        <f t="shared" si="26"/>
        <v>103.06901770316404</v>
      </c>
    </row>
    <row r="68" spans="1:15" x14ac:dyDescent="0.2">
      <c r="A68" s="298"/>
      <c r="B68" s="327" t="s">
        <v>227</v>
      </c>
      <c r="C68" s="326">
        <f>100+50+50</f>
        <v>200</v>
      </c>
      <c r="D68" s="323">
        <f>100+50+66</f>
        <v>216</v>
      </c>
      <c r="E68" s="320">
        <f t="shared" si="23"/>
        <v>108</v>
      </c>
      <c r="F68" s="323">
        <f>100+50+50</f>
        <v>200</v>
      </c>
      <c r="G68" s="323">
        <f>100+50+50</f>
        <v>200</v>
      </c>
      <c r="H68" s="320">
        <f t="shared" si="24"/>
        <v>100</v>
      </c>
      <c r="I68" s="323">
        <f>100+50+50</f>
        <v>200</v>
      </c>
      <c r="J68" s="323">
        <f>100+50+50</f>
        <v>200</v>
      </c>
      <c r="K68" s="320">
        <f t="shared" si="25"/>
        <v>100</v>
      </c>
      <c r="L68" s="316">
        <f t="shared" si="26"/>
        <v>102.66666666666667</v>
      </c>
    </row>
    <row r="69" spans="1:15" x14ac:dyDescent="0.2">
      <c r="B69" s="312" t="s">
        <v>228</v>
      </c>
      <c r="C69" s="313">
        <f>80+80</f>
        <v>160</v>
      </c>
      <c r="D69" s="322">
        <f>91+96</f>
        <v>187</v>
      </c>
      <c r="E69" s="315">
        <f t="shared" si="23"/>
        <v>116.875</v>
      </c>
      <c r="F69" s="322">
        <f>80+80</f>
        <v>160</v>
      </c>
      <c r="G69" s="322">
        <f>92+97</f>
        <v>189</v>
      </c>
      <c r="H69" s="315">
        <f t="shared" si="24"/>
        <v>118.125</v>
      </c>
      <c r="I69" s="322">
        <f>80+80</f>
        <v>160</v>
      </c>
      <c r="J69" s="322">
        <f>93+98</f>
        <v>191</v>
      </c>
      <c r="K69" s="315">
        <f t="shared" si="25"/>
        <v>119.375</v>
      </c>
      <c r="L69" s="316">
        <f t="shared" si="26"/>
        <v>118.125</v>
      </c>
    </row>
    <row r="70" spans="1:15" x14ac:dyDescent="0.2">
      <c r="A70" s="298"/>
      <c r="B70" s="338"/>
      <c r="C70" s="339"/>
      <c r="D70" s="340"/>
      <c r="E70" s="340"/>
      <c r="F70" s="340"/>
      <c r="G70" s="340"/>
      <c r="H70" s="340"/>
      <c r="I70" s="340"/>
      <c r="J70" s="340"/>
      <c r="K70" s="340"/>
      <c r="L70" s="296"/>
    </row>
    <row r="71" spans="1:15" ht="15" x14ac:dyDescent="0.2">
      <c r="A71" s="298"/>
      <c r="B71" s="335" t="s">
        <v>229</v>
      </c>
      <c r="C71" s="336"/>
      <c r="D71" s="337"/>
      <c r="E71" s="337"/>
      <c r="F71" s="337"/>
      <c r="G71" s="337"/>
      <c r="H71" s="337"/>
      <c r="I71" s="337"/>
      <c r="J71" s="337"/>
      <c r="K71" s="337"/>
      <c r="L71" s="311"/>
    </row>
    <row r="72" spans="1:15" ht="9.75" customHeight="1" x14ac:dyDescent="0.2">
      <c r="A72" s="298"/>
      <c r="B72" s="338"/>
      <c r="C72" s="339"/>
      <c r="D72" s="341"/>
      <c r="E72" s="341"/>
      <c r="F72" s="341"/>
      <c r="G72" s="341"/>
      <c r="H72" s="341"/>
      <c r="I72" s="341"/>
      <c r="J72" s="341"/>
      <c r="K72" s="341"/>
      <c r="L72" s="296"/>
    </row>
    <row r="73" spans="1:15" x14ac:dyDescent="0.2">
      <c r="A73" s="298"/>
      <c r="B73" s="327" t="s">
        <v>230</v>
      </c>
      <c r="C73" s="326">
        <f>100+89+100</f>
        <v>289</v>
      </c>
      <c r="D73" s="323">
        <f>100+89+100</f>
        <v>289</v>
      </c>
      <c r="E73" s="320">
        <f t="shared" ref="E73:E74" si="27">+D73*100/C73</f>
        <v>100</v>
      </c>
      <c r="F73" s="323">
        <f>100+89+100</f>
        <v>289</v>
      </c>
      <c r="G73" s="323">
        <f>100+89+100</f>
        <v>289</v>
      </c>
      <c r="H73" s="320">
        <f t="shared" ref="H73:H74" si="28">+G73*100/F73</f>
        <v>100</v>
      </c>
      <c r="I73" s="323">
        <f>100+89+100</f>
        <v>289</v>
      </c>
      <c r="J73" s="323">
        <f>100+89+100</f>
        <v>289</v>
      </c>
      <c r="K73" s="320">
        <f t="shared" ref="K73:K74" si="29">+J73*100/I73</f>
        <v>100</v>
      </c>
      <c r="L73" s="316">
        <f t="shared" ref="L73:L74" si="30">+(E73+H73+K73)/3</f>
        <v>100</v>
      </c>
    </row>
    <row r="74" spans="1:15" x14ac:dyDescent="0.2">
      <c r="A74" s="298"/>
      <c r="B74" s="312" t="s">
        <v>231</v>
      </c>
      <c r="C74" s="313">
        <f>80+100+98</f>
        <v>278</v>
      </c>
      <c r="D74" s="322">
        <f>81+60+0</f>
        <v>141</v>
      </c>
      <c r="E74" s="315">
        <f t="shared" si="27"/>
        <v>50.719424460431654</v>
      </c>
      <c r="F74" s="322">
        <f>80+100+98</f>
        <v>278</v>
      </c>
      <c r="G74" s="322">
        <f>76+100+99.9</f>
        <v>275.89999999999998</v>
      </c>
      <c r="H74" s="315">
        <f t="shared" si="28"/>
        <v>99.244604316546756</v>
      </c>
      <c r="I74" s="322">
        <f>80+100+98</f>
        <v>278</v>
      </c>
      <c r="J74" s="322">
        <f>76+100+99.83</f>
        <v>275.83</v>
      </c>
      <c r="K74" s="315">
        <f t="shared" si="29"/>
        <v>99.219424460431654</v>
      </c>
      <c r="L74" s="316">
        <f t="shared" si="30"/>
        <v>83.061151079136678</v>
      </c>
    </row>
    <row r="75" spans="1:15" ht="12.75" customHeight="1" x14ac:dyDescent="0.2">
      <c r="A75" s="298"/>
      <c r="B75" s="298"/>
      <c r="C75" s="298"/>
      <c r="D75" s="298"/>
      <c r="E75" s="298"/>
      <c r="F75" s="298"/>
      <c r="G75" s="298"/>
      <c r="H75" s="298"/>
      <c r="I75" s="298"/>
      <c r="J75" s="298"/>
      <c r="K75" s="298"/>
      <c r="L75" s="298"/>
      <c r="M75" s="298"/>
      <c r="N75" s="298"/>
      <c r="O75" s="298"/>
    </row>
    <row r="76" spans="1:15" ht="15" x14ac:dyDescent="0.2">
      <c r="A76" s="298"/>
      <c r="B76" s="342" t="s">
        <v>159</v>
      </c>
      <c r="C76" s="343"/>
      <c r="D76" s="344"/>
      <c r="E76" s="344"/>
      <c r="F76" s="344"/>
      <c r="G76" s="344"/>
      <c r="H76" s="344"/>
      <c r="I76" s="344"/>
      <c r="J76" s="344"/>
      <c r="K76" s="344"/>
      <c r="L76" s="311"/>
    </row>
    <row r="77" spans="1:15" ht="11.25" customHeight="1" x14ac:dyDescent="0.2">
      <c r="A77" s="298"/>
      <c r="B77" s="345"/>
      <c r="C77" s="299"/>
      <c r="D77" s="340"/>
      <c r="E77" s="340"/>
      <c r="F77" s="340"/>
      <c r="G77" s="340"/>
      <c r="H77" s="340"/>
      <c r="I77" s="340"/>
      <c r="J77" s="340"/>
      <c r="K77" s="340"/>
      <c r="L77" s="296"/>
    </row>
    <row r="78" spans="1:15" x14ac:dyDescent="0.2">
      <c r="A78" s="298"/>
      <c r="B78" s="327" t="s">
        <v>232</v>
      </c>
      <c r="C78" s="326">
        <f>80+100+100</f>
        <v>280</v>
      </c>
      <c r="D78" s="323">
        <f>95+100+100</f>
        <v>295</v>
      </c>
      <c r="E78" s="320">
        <f t="shared" ref="E78:E82" si="31">+D78*100/C78</f>
        <v>105.35714285714286</v>
      </c>
      <c r="F78" s="323">
        <f>80+100+100</f>
        <v>280</v>
      </c>
      <c r="G78" s="323">
        <f>102+100+100</f>
        <v>302</v>
      </c>
      <c r="H78" s="320">
        <f t="shared" ref="H78:H82" si="32">+G78*100/F78</f>
        <v>107.85714285714286</v>
      </c>
      <c r="I78" s="323">
        <f>80+100+100</f>
        <v>280</v>
      </c>
      <c r="J78" s="323">
        <f>81+100+100</f>
        <v>281</v>
      </c>
      <c r="K78" s="320">
        <f t="shared" ref="K78:K82" si="33">+J78*100/I78</f>
        <v>100.35714285714286</v>
      </c>
      <c r="L78" s="316">
        <f t="shared" ref="L78:L82" si="34">+(E78+H78+K78)/3</f>
        <v>104.52380952380952</v>
      </c>
    </row>
    <row r="79" spans="1:15" x14ac:dyDescent="0.2">
      <c r="A79" s="298"/>
      <c r="B79" s="312" t="s">
        <v>233</v>
      </c>
      <c r="C79" s="313">
        <f>100+80+75</f>
        <v>255</v>
      </c>
      <c r="D79" s="322">
        <f>100+89.41+100</f>
        <v>289.40999999999997</v>
      </c>
      <c r="E79" s="315">
        <f t="shared" si="31"/>
        <v>113.49411764705881</v>
      </c>
      <c r="F79" s="322">
        <f>100+80+75</f>
        <v>255</v>
      </c>
      <c r="G79" s="322">
        <f>100+95.61+100</f>
        <v>295.61</v>
      </c>
      <c r="H79" s="315">
        <f t="shared" si="32"/>
        <v>115.92549019607843</v>
      </c>
      <c r="I79" s="322">
        <f>100+80+80</f>
        <v>260</v>
      </c>
      <c r="J79" s="322">
        <f>100+85.71+86.11</f>
        <v>271.82</v>
      </c>
      <c r="K79" s="315">
        <f t="shared" si="33"/>
        <v>104.54615384615384</v>
      </c>
      <c r="L79" s="316">
        <f t="shared" si="34"/>
        <v>111.32192056309702</v>
      </c>
    </row>
    <row r="80" spans="1:15" x14ac:dyDescent="0.2">
      <c r="A80" s="298"/>
      <c r="B80" s="327" t="s">
        <v>234</v>
      </c>
      <c r="C80" s="326">
        <f>60+60+60</f>
        <v>180</v>
      </c>
      <c r="D80" s="323">
        <f>100+75+78.94</f>
        <v>253.94</v>
      </c>
      <c r="E80" s="320">
        <f t="shared" si="31"/>
        <v>141.07777777777778</v>
      </c>
      <c r="F80" s="323">
        <f>65+65+65</f>
        <v>195</v>
      </c>
      <c r="G80" s="323">
        <f>66+71+70</f>
        <v>207</v>
      </c>
      <c r="H80" s="320">
        <f t="shared" si="32"/>
        <v>106.15384615384616</v>
      </c>
      <c r="I80" s="323">
        <f>65+65+65</f>
        <v>195</v>
      </c>
      <c r="J80" s="323">
        <f>66+71+72</f>
        <v>209</v>
      </c>
      <c r="K80" s="320">
        <f t="shared" si="33"/>
        <v>107.17948717948718</v>
      </c>
      <c r="L80" s="316">
        <f t="shared" si="34"/>
        <v>118.13703703703705</v>
      </c>
    </row>
    <row r="81" spans="1:12" x14ac:dyDescent="0.2">
      <c r="A81" s="298"/>
      <c r="B81" s="312" t="s">
        <v>235</v>
      </c>
      <c r="C81" s="313">
        <f>100+100+100</f>
        <v>300</v>
      </c>
      <c r="D81" s="322">
        <f>100+100+100</f>
        <v>300</v>
      </c>
      <c r="E81" s="315">
        <f t="shared" si="31"/>
        <v>100</v>
      </c>
      <c r="F81" s="322">
        <f>100+100+100</f>
        <v>300</v>
      </c>
      <c r="G81" s="322">
        <f>100+100+100</f>
        <v>300</v>
      </c>
      <c r="H81" s="315">
        <f t="shared" si="32"/>
        <v>100</v>
      </c>
      <c r="I81" s="322">
        <f>100+100+100</f>
        <v>300</v>
      </c>
      <c r="J81" s="322">
        <f>100+100+100</f>
        <v>300</v>
      </c>
      <c r="K81" s="315">
        <f t="shared" si="33"/>
        <v>100</v>
      </c>
      <c r="L81" s="316">
        <f t="shared" si="34"/>
        <v>100</v>
      </c>
    </row>
    <row r="82" spans="1:12" x14ac:dyDescent="0.2">
      <c r="A82" s="298"/>
      <c r="B82" s="346" t="s">
        <v>236</v>
      </c>
      <c r="C82" s="347">
        <f>100+80+80+70</f>
        <v>330</v>
      </c>
      <c r="D82" s="324">
        <f>100+100+100+100</f>
        <v>400</v>
      </c>
      <c r="E82" s="320">
        <f t="shared" si="31"/>
        <v>121.21212121212122</v>
      </c>
      <c r="F82" s="324">
        <f>100+80+80+80</f>
        <v>340</v>
      </c>
      <c r="G82" s="324">
        <f>100+100+100+85</f>
        <v>385</v>
      </c>
      <c r="H82" s="320">
        <f t="shared" si="32"/>
        <v>113.23529411764706</v>
      </c>
      <c r="I82" s="324">
        <f>100+80+80+80</f>
        <v>340</v>
      </c>
      <c r="J82" s="324">
        <f>100+0+80+70</f>
        <v>250</v>
      </c>
      <c r="K82" s="320">
        <f t="shared" si="33"/>
        <v>73.529411764705884</v>
      </c>
      <c r="L82" s="316">
        <f t="shared" si="34"/>
        <v>102.65894236482472</v>
      </c>
    </row>
    <row r="83" spans="1:12" x14ac:dyDescent="0.2">
      <c r="A83" s="298"/>
      <c r="B83" s="338"/>
      <c r="C83" s="339"/>
      <c r="D83" s="340"/>
      <c r="E83" s="340"/>
      <c r="F83" s="340"/>
      <c r="G83" s="340"/>
      <c r="H83" s="340"/>
      <c r="I83" s="340"/>
      <c r="J83" s="340"/>
      <c r="K83" s="340"/>
      <c r="L83" s="296"/>
    </row>
    <row r="84" spans="1:12" ht="15" x14ac:dyDescent="0.2">
      <c r="A84" s="298"/>
      <c r="B84" s="342" t="s">
        <v>237</v>
      </c>
      <c r="C84" s="343"/>
      <c r="D84" s="348"/>
      <c r="E84" s="348"/>
      <c r="F84" s="348"/>
      <c r="G84" s="348"/>
      <c r="H84" s="348"/>
      <c r="I84" s="348"/>
      <c r="J84" s="348"/>
      <c r="K84" s="348"/>
      <c r="L84" s="311"/>
    </row>
    <row r="85" spans="1:12" ht="12" customHeight="1" x14ac:dyDescent="0.2">
      <c r="A85" s="298"/>
      <c r="B85" s="332"/>
      <c r="C85" s="333"/>
      <c r="D85" s="340"/>
      <c r="E85" s="340"/>
      <c r="F85" s="340"/>
      <c r="G85" s="340"/>
      <c r="H85" s="340"/>
      <c r="I85" s="340"/>
      <c r="J85" s="340"/>
      <c r="K85" s="340"/>
      <c r="L85" s="296"/>
    </row>
    <row r="86" spans="1:12" x14ac:dyDescent="0.2">
      <c r="A86" s="298"/>
      <c r="B86" s="312" t="s">
        <v>238</v>
      </c>
      <c r="C86" s="313">
        <f>80+80+80+80+100+100+100</f>
        <v>620</v>
      </c>
      <c r="D86" s="322">
        <f>100+100+89+89+100+115+120</f>
        <v>713</v>
      </c>
      <c r="E86" s="315">
        <f t="shared" ref="E86:E88" si="35">+D86*100/C86</f>
        <v>115</v>
      </c>
      <c r="F86" s="322">
        <f>80+80+80+100+100+100</f>
        <v>540</v>
      </c>
      <c r="G86" s="322">
        <f>100+100+100+100+138+159</f>
        <v>697</v>
      </c>
      <c r="H86" s="315">
        <f t="shared" ref="H86:H88" si="36">+G86*100/F86</f>
        <v>129.07407407407408</v>
      </c>
      <c r="I86" s="322">
        <f>80+80+80+100+100+100</f>
        <v>540</v>
      </c>
      <c r="J86" s="322">
        <f>100+100+88+100+100+100</f>
        <v>588</v>
      </c>
      <c r="K86" s="315">
        <f t="shared" ref="K86:K88" si="37">+J86*100/I86</f>
        <v>108.88888888888889</v>
      </c>
      <c r="L86" s="316">
        <f t="shared" ref="L86:L88" si="38">+(E86+H86+K86)/3</f>
        <v>117.65432098765432</v>
      </c>
    </row>
    <row r="87" spans="1:12" x14ac:dyDescent="0.2">
      <c r="A87" s="298"/>
      <c r="B87" s="327" t="s">
        <v>239</v>
      </c>
      <c r="C87" s="326">
        <f>80+80+100+100+100+100+80</f>
        <v>640</v>
      </c>
      <c r="D87" s="323">
        <f>80.49+80.49+100+100+100+136.21+80.49</f>
        <v>677.68000000000006</v>
      </c>
      <c r="E87" s="320">
        <f t="shared" si="35"/>
        <v>105.8875</v>
      </c>
      <c r="F87" s="323">
        <f>80+80+100+80+100+100+100+80</f>
        <v>720</v>
      </c>
      <c r="G87" s="323">
        <f>83.62+48.02+100+83.33+100+100+100+83.62</f>
        <v>698.59</v>
      </c>
      <c r="H87" s="320">
        <f t="shared" si="36"/>
        <v>97.026388888888889</v>
      </c>
      <c r="I87" s="323">
        <f>80+80+80+100+100+100+100+80</f>
        <v>720</v>
      </c>
      <c r="J87" s="323">
        <f>82.35+37.75+100+100+100+100+103.45+82.35</f>
        <v>705.90000000000009</v>
      </c>
      <c r="K87" s="320">
        <f t="shared" si="37"/>
        <v>98.041666666666686</v>
      </c>
      <c r="L87" s="316">
        <f t="shared" si="38"/>
        <v>100.31851851851853</v>
      </c>
    </row>
    <row r="88" spans="1:12" x14ac:dyDescent="0.2">
      <c r="A88" s="349"/>
      <c r="B88" s="312" t="s">
        <v>240</v>
      </c>
      <c r="C88" s="313">
        <f>80+70+100+100</f>
        <v>350</v>
      </c>
      <c r="D88" s="322">
        <f>90+100+105.88+100</f>
        <v>395.88</v>
      </c>
      <c r="E88" s="315">
        <f t="shared" si="35"/>
        <v>113.10857142857142</v>
      </c>
      <c r="F88" s="322">
        <f>80+100+100+100</f>
        <v>380</v>
      </c>
      <c r="G88" s="322">
        <f>97+100+149.41+100</f>
        <v>446.40999999999997</v>
      </c>
      <c r="H88" s="315">
        <f t="shared" si="36"/>
        <v>117.47631578947369</v>
      </c>
      <c r="I88" s="322">
        <f>80+100+100+100</f>
        <v>380</v>
      </c>
      <c r="J88" s="322">
        <f>95+106+147.65+100</f>
        <v>448.65</v>
      </c>
      <c r="K88" s="315">
        <f t="shared" si="37"/>
        <v>118.06578947368421</v>
      </c>
      <c r="L88" s="316">
        <f t="shared" si="38"/>
        <v>116.21689223057643</v>
      </c>
    </row>
    <row r="89" spans="1:12" x14ac:dyDescent="0.2">
      <c r="A89" s="298"/>
      <c r="B89" s="350"/>
      <c r="C89" s="351"/>
      <c r="D89" s="352"/>
      <c r="E89" s="352"/>
      <c r="F89" s="352"/>
      <c r="G89" s="352"/>
      <c r="H89" s="352"/>
      <c r="I89" s="352"/>
      <c r="J89" s="352"/>
      <c r="K89" s="352"/>
      <c r="L89" s="296"/>
    </row>
    <row r="90" spans="1:12" ht="26.25" customHeight="1" x14ac:dyDescent="0.2">
      <c r="A90" s="298"/>
      <c r="B90" s="342" t="s">
        <v>241</v>
      </c>
      <c r="C90" s="343"/>
      <c r="D90" s="348"/>
      <c r="E90" s="348"/>
      <c r="F90" s="348"/>
      <c r="G90" s="348"/>
      <c r="H90" s="348"/>
      <c r="I90" s="348"/>
      <c r="J90" s="348"/>
      <c r="K90" s="348"/>
      <c r="L90" s="311"/>
    </row>
    <row r="91" spans="1:12" ht="9" customHeight="1" x14ac:dyDescent="0.2">
      <c r="A91" s="298"/>
      <c r="B91" s="332"/>
      <c r="C91" s="333"/>
      <c r="D91" s="340"/>
      <c r="E91" s="340"/>
      <c r="F91" s="340"/>
      <c r="G91" s="340"/>
      <c r="H91" s="340"/>
      <c r="I91" s="340"/>
      <c r="J91" s="340"/>
      <c r="K91" s="340"/>
      <c r="L91" s="296"/>
    </row>
    <row r="92" spans="1:12" x14ac:dyDescent="0.2">
      <c r="A92" s="298"/>
      <c r="B92" s="327" t="s">
        <v>242</v>
      </c>
      <c r="C92" s="326">
        <f>98+98+50+96+90+96</f>
        <v>528</v>
      </c>
      <c r="D92" s="323">
        <f>100+100+50+99.9+90+100</f>
        <v>539.9</v>
      </c>
      <c r="E92" s="320">
        <f t="shared" ref="E92:E93" si="39">+D92*100/C92</f>
        <v>102.25378787878788</v>
      </c>
      <c r="F92" s="323">
        <f>98+98+100+8+96+90+96</f>
        <v>586</v>
      </c>
      <c r="G92" s="323">
        <f>91.2+100+100+9.8+100+100+100</f>
        <v>601</v>
      </c>
      <c r="H92" s="320">
        <f t="shared" ref="H92:H93" si="40">+G92*100/F92</f>
        <v>102.55972696245733</v>
      </c>
      <c r="I92" s="323">
        <f>98+98+100+8+96+90+96</f>
        <v>586</v>
      </c>
      <c r="J92" s="323">
        <f>100+100+100+9+99.9+100+100</f>
        <v>608.9</v>
      </c>
      <c r="K92" s="320">
        <f t="shared" ref="K92:K93" si="41">+J92*100/I92</f>
        <v>103.90784982935153</v>
      </c>
      <c r="L92" s="316">
        <f t="shared" ref="L92:L93" si="42">+(E92+H92+K92)/3</f>
        <v>102.90712155686556</v>
      </c>
    </row>
    <row r="93" spans="1:12" x14ac:dyDescent="0.2">
      <c r="A93" s="298"/>
      <c r="B93" s="312" t="s">
        <v>243</v>
      </c>
      <c r="C93" s="313">
        <f>90+80</f>
        <v>170</v>
      </c>
      <c r="D93" s="322">
        <f>91+80</f>
        <v>171</v>
      </c>
      <c r="E93" s="315">
        <f t="shared" si="39"/>
        <v>100.58823529411765</v>
      </c>
      <c r="F93" s="322">
        <f>10+25+90+20+80+25+50</f>
        <v>300</v>
      </c>
      <c r="G93" s="322">
        <f>0+0+100+0+86+0+58</f>
        <v>244</v>
      </c>
      <c r="H93" s="315">
        <f t="shared" si="40"/>
        <v>81.333333333333329</v>
      </c>
      <c r="I93" s="322">
        <f>20+50+90+40+100+80+100+50+75</f>
        <v>605</v>
      </c>
      <c r="J93" s="322">
        <f>0+0+100+0+0+90+0+0+100</f>
        <v>290</v>
      </c>
      <c r="K93" s="315">
        <f t="shared" si="41"/>
        <v>47.933884297520663</v>
      </c>
      <c r="L93" s="316">
        <f t="shared" si="42"/>
        <v>76.618484308323886</v>
      </c>
    </row>
    <row r="94" spans="1:12" ht="13.7" customHeight="1" x14ac:dyDescent="0.2">
      <c r="A94" s="298"/>
      <c r="B94" s="298"/>
      <c r="C94" s="298"/>
      <c r="D94" s="298"/>
      <c r="E94" s="298"/>
      <c r="F94" s="298"/>
      <c r="G94" s="298"/>
      <c r="H94" s="298"/>
      <c r="I94" s="298"/>
      <c r="J94" s="298"/>
      <c r="K94" s="298"/>
      <c r="L94" s="296"/>
    </row>
    <row r="95" spans="1:12" ht="15" x14ac:dyDescent="0.2">
      <c r="A95" s="298"/>
      <c r="B95" s="342" t="s">
        <v>244</v>
      </c>
      <c r="C95" s="343"/>
      <c r="D95" s="348"/>
      <c r="E95" s="348"/>
      <c r="F95" s="348"/>
      <c r="G95" s="348"/>
      <c r="H95" s="348"/>
      <c r="I95" s="348"/>
      <c r="J95" s="348"/>
      <c r="K95" s="348"/>
      <c r="L95" s="311"/>
    </row>
    <row r="96" spans="1:12" ht="10.5" customHeight="1" x14ac:dyDescent="0.2">
      <c r="A96" s="298"/>
      <c r="B96" s="345"/>
      <c r="C96" s="299"/>
      <c r="D96" s="340"/>
      <c r="E96" s="340"/>
      <c r="F96" s="340"/>
      <c r="G96" s="340"/>
      <c r="H96" s="340"/>
      <c r="I96" s="340"/>
      <c r="J96" s="340"/>
      <c r="K96" s="340"/>
      <c r="L96" s="296"/>
    </row>
    <row r="97" spans="1:12" x14ac:dyDescent="0.2">
      <c r="A97" s="298"/>
      <c r="B97" s="327" t="s">
        <v>245</v>
      </c>
      <c r="C97" s="326">
        <f>80+70+80+80+100+100</f>
        <v>510</v>
      </c>
      <c r="D97" s="323">
        <f>82.14+97.72+100+100+100+100</f>
        <v>579.86</v>
      </c>
      <c r="E97" s="320">
        <f t="shared" ref="E97:E99" si="43">+D97*100/C97</f>
        <v>113.69803921568628</v>
      </c>
      <c r="F97" s="323">
        <f>80+70+80+80+100+100+100+100</f>
        <v>710</v>
      </c>
      <c r="G97" s="323">
        <f>82.14+97.67+100+100+100+100+100+100</f>
        <v>779.81</v>
      </c>
      <c r="H97" s="320">
        <f t="shared" ref="H97:H99" si="44">+G97*100/F97</f>
        <v>109.83239436619718</v>
      </c>
      <c r="I97" s="323">
        <f>80+70+80+100+100+100</f>
        <v>530</v>
      </c>
      <c r="J97" s="323">
        <f>85.71+97.75+80+100+100+100</f>
        <v>563.46</v>
      </c>
      <c r="K97" s="320">
        <f t="shared" ref="K97:K99" si="45">+J97*100/I97</f>
        <v>106.31320754716981</v>
      </c>
      <c r="L97" s="316">
        <f t="shared" ref="L97:L99" si="46">+(E97+H97+K97)/3</f>
        <v>109.94788037635108</v>
      </c>
    </row>
    <row r="98" spans="1:12" x14ac:dyDescent="0.2">
      <c r="A98" s="298"/>
      <c r="B98" s="312" t="s">
        <v>246</v>
      </c>
      <c r="C98" s="313">
        <f>100+100</f>
        <v>200</v>
      </c>
      <c r="D98" s="322">
        <f>100+100</f>
        <v>200</v>
      </c>
      <c r="E98" s="315">
        <f t="shared" si="43"/>
        <v>100</v>
      </c>
      <c r="F98" s="322">
        <f>100+100</f>
        <v>200</v>
      </c>
      <c r="G98" s="322">
        <f>100+100</f>
        <v>200</v>
      </c>
      <c r="H98" s="315">
        <f t="shared" si="44"/>
        <v>100</v>
      </c>
      <c r="I98" s="322">
        <f>100+100</f>
        <v>200</v>
      </c>
      <c r="J98" s="322">
        <f>100+100</f>
        <v>200</v>
      </c>
      <c r="K98" s="315">
        <f t="shared" si="45"/>
        <v>100</v>
      </c>
      <c r="L98" s="316">
        <f t="shared" si="46"/>
        <v>100</v>
      </c>
    </row>
    <row r="99" spans="1:12" x14ac:dyDescent="0.2">
      <c r="A99" s="298"/>
      <c r="B99" s="317" t="s">
        <v>247</v>
      </c>
      <c r="C99" s="318">
        <v>80</v>
      </c>
      <c r="D99" s="323">
        <v>95.47</v>
      </c>
      <c r="E99" s="320">
        <f t="shared" si="43"/>
        <v>119.33750000000001</v>
      </c>
      <c r="F99" s="323">
        <v>90</v>
      </c>
      <c r="G99" s="323">
        <v>82.75</v>
      </c>
      <c r="H99" s="320">
        <f t="shared" si="44"/>
        <v>91.944444444444443</v>
      </c>
      <c r="I99" s="323">
        <v>90</v>
      </c>
      <c r="J99" s="323">
        <v>80</v>
      </c>
      <c r="K99" s="320">
        <f t="shared" si="45"/>
        <v>88.888888888888886</v>
      </c>
      <c r="L99" s="316">
        <f t="shared" si="46"/>
        <v>100.05694444444445</v>
      </c>
    </row>
    <row r="100" spans="1:12" x14ac:dyDescent="0.2">
      <c r="A100" s="298"/>
      <c r="B100" s="332"/>
      <c r="C100" s="333"/>
      <c r="D100" s="340"/>
      <c r="E100" s="340"/>
      <c r="F100" s="340"/>
      <c r="G100" s="340"/>
      <c r="H100" s="340"/>
      <c r="I100" s="340"/>
      <c r="J100" s="340"/>
      <c r="K100" s="340"/>
      <c r="L100" s="296"/>
    </row>
    <row r="101" spans="1:12" ht="30" x14ac:dyDescent="0.2">
      <c r="A101" s="298"/>
      <c r="B101" s="342" t="s">
        <v>248</v>
      </c>
      <c r="C101" s="343"/>
      <c r="D101" s="348"/>
      <c r="E101" s="348"/>
      <c r="F101" s="348"/>
      <c r="G101" s="348"/>
      <c r="H101" s="348"/>
      <c r="I101" s="348"/>
      <c r="J101" s="348"/>
      <c r="K101" s="348"/>
      <c r="L101" s="311"/>
    </row>
    <row r="102" spans="1:12" ht="9" customHeight="1" x14ac:dyDescent="0.2">
      <c r="A102" s="298"/>
      <c r="B102" s="338"/>
      <c r="C102" s="339"/>
      <c r="D102" s="340"/>
      <c r="E102" s="340"/>
      <c r="F102" s="340"/>
      <c r="G102" s="340"/>
      <c r="H102" s="340"/>
      <c r="I102" s="340"/>
      <c r="J102" s="340"/>
      <c r="K102" s="340"/>
      <c r="L102" s="296"/>
    </row>
    <row r="103" spans="1:12" x14ac:dyDescent="0.2">
      <c r="A103" s="298"/>
      <c r="B103" s="312" t="s">
        <v>230</v>
      </c>
      <c r="C103" s="313">
        <f>100+33+100</f>
        <v>233</v>
      </c>
      <c r="D103" s="322">
        <f>100+100+33</f>
        <v>233</v>
      </c>
      <c r="E103" s="315">
        <f t="shared" ref="E103:E106" si="47">+D103*100/C103</f>
        <v>100</v>
      </c>
      <c r="F103" s="322">
        <f>25+10+30</f>
        <v>65</v>
      </c>
      <c r="G103" s="322">
        <f>25+10+30</f>
        <v>65</v>
      </c>
      <c r="H103" s="315">
        <f t="shared" ref="H103:H106" si="48">+G103*100/F103</f>
        <v>100</v>
      </c>
      <c r="I103" s="322">
        <f>25+33+10+50</f>
        <v>118</v>
      </c>
      <c r="J103" s="322">
        <f>25+33+10+50</f>
        <v>118</v>
      </c>
      <c r="K103" s="315">
        <f t="shared" ref="K103:K106" si="49">+J103*100/I103</f>
        <v>100</v>
      </c>
      <c r="L103" s="316">
        <f t="shared" ref="L103:L106" si="50">+(E103+H103+K103)/3</f>
        <v>100</v>
      </c>
    </row>
    <row r="104" spans="1:12" x14ac:dyDescent="0.2">
      <c r="A104" s="298"/>
      <c r="B104" s="327" t="s">
        <v>249</v>
      </c>
      <c r="C104" s="326">
        <f>80+100+100+100+100+100+100+100+100+100</f>
        <v>980</v>
      </c>
      <c r="D104" s="323">
        <f>81.25+104.32+100+100+100+100+100+100+100+100</f>
        <v>985.56999999999994</v>
      </c>
      <c r="E104" s="320">
        <f t="shared" si="47"/>
        <v>100.56836734693877</v>
      </c>
      <c r="F104" s="323">
        <f>80+100+100+100+100+100+100+100+100+100+100</f>
        <v>1080</v>
      </c>
      <c r="G104" s="323">
        <f>83.33+100+100+100+100+100+100+100+100+100+100</f>
        <v>1083.33</v>
      </c>
      <c r="H104" s="320">
        <f t="shared" si="48"/>
        <v>100.30833333333334</v>
      </c>
      <c r="I104" s="323">
        <f>80+100+100+100+100+100+100</f>
        <v>680</v>
      </c>
      <c r="J104" s="323">
        <f>75+100.1+100+100+100+100+100</f>
        <v>675.1</v>
      </c>
      <c r="K104" s="320">
        <f t="shared" si="49"/>
        <v>99.279411764705884</v>
      </c>
      <c r="L104" s="316">
        <f t="shared" si="50"/>
        <v>100.05203748165934</v>
      </c>
    </row>
    <row r="105" spans="1:12" x14ac:dyDescent="0.2">
      <c r="A105" s="298"/>
      <c r="B105" s="312" t="s">
        <v>250</v>
      </c>
      <c r="C105" s="313">
        <f>100+100+100</f>
        <v>300</v>
      </c>
      <c r="D105" s="322">
        <f>100+100+100</f>
        <v>300</v>
      </c>
      <c r="E105" s="315">
        <f t="shared" si="47"/>
        <v>100</v>
      </c>
      <c r="F105" s="322">
        <f>100+100+100+100+100</f>
        <v>500</v>
      </c>
      <c r="G105" s="322">
        <f>100+100+100+166</f>
        <v>466</v>
      </c>
      <c r="H105" s="315">
        <f t="shared" si="48"/>
        <v>93.2</v>
      </c>
      <c r="I105" s="322">
        <f>100+100+100</f>
        <v>300</v>
      </c>
      <c r="J105" s="322">
        <f>100+100+100</f>
        <v>300</v>
      </c>
      <c r="K105" s="315">
        <f t="shared" si="49"/>
        <v>100</v>
      </c>
      <c r="L105" s="316">
        <f t="shared" si="50"/>
        <v>97.733333333333334</v>
      </c>
    </row>
    <row r="106" spans="1:12" x14ac:dyDescent="0.2">
      <c r="A106" s="298"/>
      <c r="B106" s="327" t="s">
        <v>251</v>
      </c>
      <c r="C106" s="326">
        <f>70+70+40+40+40+40</f>
        <v>300</v>
      </c>
      <c r="D106" s="323">
        <f>75+220.83+152.5+45.36+31.51+68.07</f>
        <v>593.27</v>
      </c>
      <c r="E106" s="320">
        <f t="shared" si="47"/>
        <v>197.75666666666666</v>
      </c>
      <c r="F106" s="323">
        <f>70+70+40+100+15+40+40+40</f>
        <v>415</v>
      </c>
      <c r="G106" s="323">
        <f>75+346.5+70+100+21.43+73.53+41.73+194.77</f>
        <v>922.95999999999992</v>
      </c>
      <c r="H106" s="320">
        <f t="shared" si="48"/>
        <v>222.39999999999998</v>
      </c>
      <c r="I106" s="323">
        <f>70+70+40+100+15+40+40+40</f>
        <v>415</v>
      </c>
      <c r="J106" s="323">
        <f>75+256.17+82.5+100+8.34+57.06+53.63+159.67</f>
        <v>792.37000000000012</v>
      </c>
      <c r="K106" s="320">
        <f t="shared" si="49"/>
        <v>190.93253012048197</v>
      </c>
      <c r="L106" s="316">
        <f t="shared" si="50"/>
        <v>203.69639892904954</v>
      </c>
    </row>
    <row r="107" spans="1:12" x14ac:dyDescent="0.2">
      <c r="A107" s="298"/>
      <c r="B107" s="338"/>
      <c r="C107" s="339"/>
      <c r="D107" s="340"/>
      <c r="E107" s="340"/>
      <c r="F107" s="340"/>
      <c r="G107" s="340"/>
      <c r="H107" s="340"/>
      <c r="I107" s="340"/>
      <c r="J107" s="340"/>
      <c r="K107" s="340"/>
      <c r="L107" s="296"/>
    </row>
    <row r="108" spans="1:12" ht="15" x14ac:dyDescent="0.2">
      <c r="A108" s="298"/>
      <c r="B108" s="342" t="s">
        <v>252</v>
      </c>
      <c r="C108" s="343"/>
      <c r="D108" s="348"/>
      <c r="E108" s="348"/>
      <c r="F108" s="348"/>
      <c r="G108" s="348"/>
      <c r="H108" s="348"/>
      <c r="I108" s="348"/>
      <c r="J108" s="348"/>
      <c r="K108" s="348"/>
      <c r="L108" s="311"/>
    </row>
    <row r="109" spans="1:12" ht="8.25" customHeight="1" x14ac:dyDescent="0.2">
      <c r="A109" s="298"/>
      <c r="B109" s="353"/>
      <c r="C109" s="303"/>
      <c r="D109" s="340"/>
      <c r="E109" s="340"/>
      <c r="F109" s="340"/>
      <c r="G109" s="340"/>
      <c r="H109" s="340"/>
      <c r="I109" s="340"/>
      <c r="J109" s="340"/>
      <c r="K109" s="340"/>
      <c r="L109" s="296"/>
    </row>
    <row r="110" spans="1:12" x14ac:dyDescent="0.2">
      <c r="A110" s="298"/>
      <c r="B110" s="312" t="s">
        <v>253</v>
      </c>
      <c r="C110" s="313">
        <f>11+7+10+3</f>
        <v>31</v>
      </c>
      <c r="D110" s="322">
        <f>7.43+0.73+4.3+2.61</f>
        <v>15.07</v>
      </c>
      <c r="E110" s="315">
        <f t="shared" ref="E110:E111" si="51">+D110*100/C110</f>
        <v>48.612903225806448</v>
      </c>
      <c r="F110" s="322">
        <f>10+6+12+3</f>
        <v>31</v>
      </c>
      <c r="G110" s="322">
        <f>3.32+3+0.92+2.48</f>
        <v>9.7200000000000006</v>
      </c>
      <c r="H110" s="315">
        <f t="shared" ref="H110:H111" si="52">+G110*100/F110</f>
        <v>31.354838709677423</v>
      </c>
      <c r="I110" s="322">
        <f>9+5+12+3</f>
        <v>29</v>
      </c>
      <c r="J110" s="322">
        <f>6.86+0+4.28+0.07</f>
        <v>11.21</v>
      </c>
      <c r="K110" s="315">
        <f t="shared" ref="K110:K111" si="53">+J110*100/I110</f>
        <v>38.655172413793103</v>
      </c>
      <c r="L110" s="316">
        <f t="shared" ref="L110:L111" si="54">+(E110+H110+K110)/3</f>
        <v>39.540971449758992</v>
      </c>
    </row>
    <row r="111" spans="1:12" x14ac:dyDescent="0.2">
      <c r="A111" s="298"/>
      <c r="B111" s="327" t="s">
        <v>254</v>
      </c>
      <c r="C111" s="326">
        <f>90+85+20</f>
        <v>195</v>
      </c>
      <c r="D111" s="323">
        <f>92+89+12</f>
        <v>193</v>
      </c>
      <c r="E111" s="320">
        <f t="shared" si="51"/>
        <v>98.974358974358978</v>
      </c>
      <c r="F111" s="323">
        <f>92+88+20</f>
        <v>200</v>
      </c>
      <c r="G111" s="323">
        <f>94+96+16</f>
        <v>206</v>
      </c>
      <c r="H111" s="320">
        <f t="shared" si="52"/>
        <v>103</v>
      </c>
      <c r="I111" s="323">
        <f>93+90+20</f>
        <v>203</v>
      </c>
      <c r="J111" s="323">
        <f>93+100+10</f>
        <v>203</v>
      </c>
      <c r="K111" s="320">
        <f t="shared" si="53"/>
        <v>100</v>
      </c>
      <c r="L111" s="316">
        <f t="shared" si="54"/>
        <v>100.65811965811967</v>
      </c>
    </row>
    <row r="112" spans="1:12" x14ac:dyDescent="0.2">
      <c r="A112" s="298"/>
      <c r="B112" s="338"/>
      <c r="C112" s="339"/>
      <c r="D112" s="340"/>
      <c r="E112" s="340"/>
      <c r="F112" s="340"/>
      <c r="G112" s="340"/>
      <c r="H112" s="340"/>
      <c r="I112" s="340"/>
      <c r="J112" s="340"/>
      <c r="K112" s="340"/>
      <c r="L112" s="296"/>
    </row>
    <row r="113" spans="1:12" ht="15" x14ac:dyDescent="0.2">
      <c r="A113" s="298"/>
      <c r="B113" s="342" t="s">
        <v>160</v>
      </c>
      <c r="C113" s="343"/>
      <c r="D113" s="348"/>
      <c r="E113" s="348"/>
      <c r="F113" s="348"/>
      <c r="G113" s="348"/>
      <c r="H113" s="348"/>
      <c r="I113" s="348"/>
      <c r="J113" s="348"/>
      <c r="K113" s="348"/>
      <c r="L113" s="311"/>
    </row>
    <row r="114" spans="1:12" ht="12" customHeight="1" x14ac:dyDescent="0.2">
      <c r="A114" s="298"/>
      <c r="B114" s="353"/>
      <c r="C114" s="303"/>
      <c r="D114" s="340"/>
      <c r="E114" s="340"/>
      <c r="F114" s="340"/>
      <c r="G114" s="340"/>
      <c r="H114" s="340"/>
      <c r="I114" s="340"/>
      <c r="J114" s="340"/>
      <c r="K114" s="340"/>
      <c r="L114" s="296"/>
    </row>
    <row r="115" spans="1:12" x14ac:dyDescent="0.2">
      <c r="A115" s="354"/>
      <c r="B115" s="312" t="s">
        <v>255</v>
      </c>
      <c r="C115" s="313">
        <f>100+100+100</f>
        <v>300</v>
      </c>
      <c r="D115" s="322">
        <f>114.4+100+127.5</f>
        <v>341.9</v>
      </c>
      <c r="E115" s="315">
        <f>+D115*100/C115</f>
        <v>113.96666666666667</v>
      </c>
      <c r="F115" s="322">
        <f>100+100+100</f>
        <v>300</v>
      </c>
      <c r="G115" s="322">
        <f>120+100+115</f>
        <v>335</v>
      </c>
      <c r="H115" s="315">
        <f>+G115*100/F115</f>
        <v>111.66666666666667</v>
      </c>
      <c r="I115" s="322">
        <f>100+100+100</f>
        <v>300</v>
      </c>
      <c r="J115" s="322">
        <f>94.81+100+120</f>
        <v>314.81</v>
      </c>
      <c r="K115" s="315">
        <f>+J115*100/I115</f>
        <v>104.93666666666667</v>
      </c>
      <c r="L115" s="316">
        <f>+(E115+H115+K115)/3</f>
        <v>110.19</v>
      </c>
    </row>
    <row r="116" spans="1:12" x14ac:dyDescent="0.2">
      <c r="A116" s="355"/>
      <c r="B116" s="350"/>
      <c r="C116" s="351"/>
      <c r="D116" s="352"/>
      <c r="E116" s="352"/>
      <c r="F116" s="352"/>
      <c r="G116" s="352"/>
      <c r="H116" s="352"/>
      <c r="I116" s="352"/>
      <c r="J116" s="352"/>
      <c r="K116" s="352"/>
      <c r="L116" s="296"/>
    </row>
    <row r="117" spans="1:12" ht="15" x14ac:dyDescent="0.2">
      <c r="A117" s="355"/>
      <c r="B117" s="342" t="s">
        <v>256</v>
      </c>
      <c r="C117" s="343"/>
      <c r="D117" s="348"/>
      <c r="E117" s="348"/>
      <c r="F117" s="348"/>
      <c r="G117" s="348"/>
      <c r="H117" s="348"/>
      <c r="I117" s="348"/>
      <c r="J117" s="348"/>
      <c r="K117" s="348"/>
      <c r="L117" s="311"/>
    </row>
    <row r="118" spans="1:12" ht="9.75" customHeight="1" x14ac:dyDescent="0.2">
      <c r="A118" s="298"/>
      <c r="B118" s="345"/>
      <c r="C118" s="299"/>
      <c r="D118" s="340"/>
      <c r="E118" s="340"/>
      <c r="F118" s="340"/>
      <c r="G118" s="340"/>
      <c r="H118" s="340"/>
      <c r="I118" s="340"/>
      <c r="J118" s="340"/>
      <c r="K118" s="340"/>
      <c r="L118" s="296"/>
    </row>
    <row r="119" spans="1:12" x14ac:dyDescent="0.2">
      <c r="A119" s="298"/>
      <c r="B119" s="327" t="s">
        <v>257</v>
      </c>
      <c r="C119" s="323">
        <f>100+100+100+100</f>
        <v>400</v>
      </c>
      <c r="D119" s="323">
        <f>100+100+100+100</f>
        <v>400</v>
      </c>
      <c r="E119" s="320">
        <f>+D119*100/C119</f>
        <v>100</v>
      </c>
      <c r="F119" s="323">
        <f>100+100+100+100</f>
        <v>400</v>
      </c>
      <c r="G119" s="323">
        <f>100+100+100+100</f>
        <v>400</v>
      </c>
      <c r="H119" s="320">
        <f>+G119*100/F119</f>
        <v>100</v>
      </c>
      <c r="I119" s="323">
        <f>100+100+100+100</f>
        <v>400</v>
      </c>
      <c r="J119" s="323">
        <f>100+100+100+100</f>
        <v>400</v>
      </c>
      <c r="K119" s="320">
        <f>+J119*100/I119</f>
        <v>100</v>
      </c>
      <c r="L119" s="316">
        <f>+(E119+H119+K119)/3</f>
        <v>100</v>
      </c>
    </row>
    <row r="120" spans="1:12" x14ac:dyDescent="0.2">
      <c r="A120" s="298"/>
      <c r="B120" s="353"/>
      <c r="C120" s="303"/>
      <c r="D120" s="340"/>
      <c r="E120" s="340"/>
      <c r="F120" s="340"/>
      <c r="G120" s="340"/>
      <c r="H120" s="340"/>
      <c r="I120" s="340"/>
      <c r="J120" s="340"/>
      <c r="K120" s="340"/>
      <c r="L120" s="296"/>
    </row>
    <row r="121" spans="1:12" x14ac:dyDescent="0.2">
      <c r="A121" s="298"/>
      <c r="B121" s="312" t="s">
        <v>258</v>
      </c>
      <c r="C121" s="313">
        <f>80+75+85+50+30+85</f>
        <v>405</v>
      </c>
      <c r="D121" s="322">
        <f>92.72+83.3+85+50+30+95</f>
        <v>436.02</v>
      </c>
      <c r="E121" s="315">
        <f>+D121*100/C121</f>
        <v>107.65925925925926</v>
      </c>
      <c r="F121" s="322">
        <f>80+75+85+50+30+85</f>
        <v>405</v>
      </c>
      <c r="G121" s="322">
        <f>84.61+75+85.71+66.66+30+93.01</f>
        <v>434.99</v>
      </c>
      <c r="H121" s="315">
        <f>+G121*100/F121</f>
        <v>107.40493827160493</v>
      </c>
      <c r="I121" s="322">
        <f>80+75+85+50+30+85</f>
        <v>405</v>
      </c>
      <c r="J121" s="322">
        <f>83.33+80+85.71+66.66+24.8+88.88</f>
        <v>429.37999999999994</v>
      </c>
      <c r="K121" s="315">
        <f>+J121*100/I121</f>
        <v>106.01975308641974</v>
      </c>
      <c r="L121" s="316">
        <f>+(E121+H121+K121)/3</f>
        <v>107.02798353909463</v>
      </c>
    </row>
    <row r="122" spans="1:12" x14ac:dyDescent="0.2">
      <c r="A122" s="298"/>
      <c r="B122" s="353"/>
      <c r="C122" s="303"/>
      <c r="D122" s="340"/>
      <c r="E122" s="340"/>
      <c r="F122" s="340"/>
      <c r="G122" s="340"/>
      <c r="H122" s="340"/>
      <c r="I122" s="340"/>
      <c r="J122" s="340"/>
      <c r="K122" s="340"/>
      <c r="L122" s="296"/>
    </row>
    <row r="123" spans="1:12" x14ac:dyDescent="0.2">
      <c r="A123" s="298"/>
      <c r="B123" s="327" t="s">
        <v>259</v>
      </c>
      <c r="C123" s="326">
        <f>100+100+100+80+100</f>
        <v>480</v>
      </c>
      <c r="D123" s="323">
        <f>100+100+100+100+100</f>
        <v>500</v>
      </c>
      <c r="E123" s="320">
        <f>+D123*100/C123</f>
        <v>104.16666666666667</v>
      </c>
      <c r="F123" s="323">
        <f>100+100+100+80+100</f>
        <v>480</v>
      </c>
      <c r="G123" s="323">
        <f>100+100+100+80+100</f>
        <v>480</v>
      </c>
      <c r="H123" s="320">
        <f>+G123*100/F123</f>
        <v>100</v>
      </c>
      <c r="I123" s="323">
        <f>100+100+100+80+100</f>
        <v>480</v>
      </c>
      <c r="J123" s="323">
        <f>14.28+0+100+0+100</f>
        <v>214.28</v>
      </c>
      <c r="K123" s="320">
        <f>+J123*100/I123</f>
        <v>44.641666666666666</v>
      </c>
      <c r="L123" s="316">
        <f>+(E123+H123+K123)/3</f>
        <v>82.936111111111117</v>
      </c>
    </row>
    <row r="124" spans="1:12" x14ac:dyDescent="0.2">
      <c r="A124" s="298"/>
      <c r="B124" s="345"/>
      <c r="C124" s="299"/>
      <c r="D124" s="300"/>
      <c r="E124" s="300"/>
      <c r="F124" s="300"/>
      <c r="G124" s="300"/>
      <c r="H124" s="300"/>
      <c r="I124" s="300"/>
      <c r="J124" s="300"/>
      <c r="K124" s="300"/>
      <c r="L124" s="296"/>
    </row>
    <row r="125" spans="1:12" ht="15" x14ac:dyDescent="0.2">
      <c r="A125" s="355"/>
      <c r="B125" s="342" t="s">
        <v>260</v>
      </c>
      <c r="C125" s="343"/>
      <c r="D125" s="348"/>
      <c r="E125" s="348"/>
      <c r="F125" s="348"/>
      <c r="G125" s="348"/>
      <c r="H125" s="348"/>
      <c r="I125" s="348"/>
      <c r="J125" s="348"/>
      <c r="K125" s="348"/>
      <c r="L125" s="311"/>
    </row>
    <row r="126" spans="1:12" ht="8.25" customHeight="1" x14ac:dyDescent="0.2">
      <c r="A126" s="298"/>
      <c r="B126" s="345"/>
      <c r="C126" s="299"/>
      <c r="D126" s="300"/>
      <c r="E126" s="300"/>
      <c r="F126" s="300"/>
      <c r="G126" s="300"/>
      <c r="H126" s="300"/>
      <c r="I126" s="300"/>
      <c r="J126" s="300"/>
      <c r="K126" s="300"/>
      <c r="L126" s="296"/>
    </row>
    <row r="127" spans="1:12" x14ac:dyDescent="0.2">
      <c r="B127" s="312" t="s">
        <v>261</v>
      </c>
      <c r="C127" s="313">
        <f>32+41</f>
        <v>73</v>
      </c>
      <c r="D127" s="322">
        <f>30+51</f>
        <v>81</v>
      </c>
      <c r="E127" s="315">
        <f>+D127*100/C127</f>
        <v>110.95890410958904</v>
      </c>
      <c r="F127" s="322">
        <f>100+100+100+100</f>
        <v>400</v>
      </c>
      <c r="G127" s="322">
        <f>100+280.64+246.15+99.15</f>
        <v>725.93999999999994</v>
      </c>
      <c r="H127" s="315">
        <f>+G127*100/F127</f>
        <v>181.48500000000001</v>
      </c>
      <c r="I127" s="322">
        <f>100+100+100+100</f>
        <v>400</v>
      </c>
      <c r="J127" s="322">
        <f>99.15+286.2+234.21+101.83</f>
        <v>721.3900000000001</v>
      </c>
      <c r="K127" s="315">
        <f>+J127*100/I127</f>
        <v>180.34750000000003</v>
      </c>
      <c r="L127" s="316">
        <f>+(E127+H127+K127)/3</f>
        <v>157.59713470319636</v>
      </c>
    </row>
    <row r="128" spans="1:12" x14ac:dyDescent="0.2">
      <c r="B128" s="356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</row>
    <row r="129" spans="1:12" s="357" customFormat="1" x14ac:dyDescent="0.2">
      <c r="A129" s="298"/>
      <c r="B129" s="327" t="s">
        <v>262</v>
      </c>
      <c r="C129" s="326">
        <f>80+90+40+100+100+100+100</f>
        <v>610</v>
      </c>
      <c r="D129" s="323">
        <f>86+86+0+124+100+0+100</f>
        <v>496</v>
      </c>
      <c r="E129" s="320">
        <f>+D129*100/C129</f>
        <v>81.311475409836063</v>
      </c>
      <c r="F129" s="323">
        <f>80+90+40+100+100+100+100</f>
        <v>610</v>
      </c>
      <c r="G129" s="323">
        <f>208+100+100+100+100+100</f>
        <v>708</v>
      </c>
      <c r="H129" s="320">
        <f>+G129*100/F129</f>
        <v>116.06557377049181</v>
      </c>
      <c r="I129" s="323">
        <f>80+90+40+100+100+100+100</f>
        <v>610</v>
      </c>
      <c r="J129" s="323">
        <f>88+100+47+100+100+100+100</f>
        <v>635</v>
      </c>
      <c r="K129" s="320">
        <f>+J129*100/I129</f>
        <v>104.09836065573771</v>
      </c>
      <c r="L129" s="316">
        <f>+(E129+H129+K129)/3</f>
        <v>100.49180327868852</v>
      </c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57013888888888886" right="0.45" top="0.4597222222222222" bottom="1" header="0.51180555555555551" footer="0"/>
  <pageSetup paperSize="9" firstPageNumber="0" orientation="landscape" horizontalDpi="300" verticalDpi="300"/>
  <headerFooter alignWithMargins="0">
    <oddFooter>&amp;CPágina &amp;P de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115" zoomScaleNormal="115" workbookViewId="0">
      <selection activeCell="B8" sqref="B8:L8"/>
    </sheetView>
  </sheetViews>
  <sheetFormatPr baseColWidth="10" defaultRowHeight="12.75" x14ac:dyDescent="0.2"/>
  <cols>
    <col min="1" max="1" width="5.85546875" style="295" customWidth="1"/>
    <col min="2" max="2" width="45.28515625" style="295" customWidth="1"/>
    <col min="3" max="3" width="7.28515625" style="295" customWidth="1"/>
    <col min="4" max="6" width="8.7109375" style="165" customWidth="1"/>
    <col min="7" max="8" width="8.5703125" style="165" customWidth="1"/>
    <col min="9" max="10" width="8.7109375" style="165" customWidth="1"/>
    <col min="11" max="11" width="8.5703125" style="165" customWidth="1"/>
    <col min="12" max="256" width="11.42578125" style="295"/>
    <col min="257" max="257" width="5.85546875" style="295" customWidth="1"/>
    <col min="258" max="258" width="45.28515625" style="295" customWidth="1"/>
    <col min="259" max="259" width="7.28515625" style="295" customWidth="1"/>
    <col min="260" max="262" width="8.7109375" style="295" customWidth="1"/>
    <col min="263" max="264" width="8.5703125" style="295" customWidth="1"/>
    <col min="265" max="266" width="8.7109375" style="295" customWidth="1"/>
    <col min="267" max="267" width="8.5703125" style="295" customWidth="1"/>
    <col min="268" max="512" width="11.42578125" style="295"/>
    <col min="513" max="513" width="5.85546875" style="295" customWidth="1"/>
    <col min="514" max="514" width="45.28515625" style="295" customWidth="1"/>
    <col min="515" max="515" width="7.28515625" style="295" customWidth="1"/>
    <col min="516" max="518" width="8.7109375" style="295" customWidth="1"/>
    <col min="519" max="520" width="8.5703125" style="295" customWidth="1"/>
    <col min="521" max="522" width="8.7109375" style="295" customWidth="1"/>
    <col min="523" max="523" width="8.5703125" style="295" customWidth="1"/>
    <col min="524" max="768" width="11.42578125" style="295"/>
    <col min="769" max="769" width="5.85546875" style="295" customWidth="1"/>
    <col min="770" max="770" width="45.28515625" style="295" customWidth="1"/>
    <col min="771" max="771" width="7.28515625" style="295" customWidth="1"/>
    <col min="772" max="774" width="8.7109375" style="295" customWidth="1"/>
    <col min="775" max="776" width="8.5703125" style="295" customWidth="1"/>
    <col min="777" max="778" width="8.7109375" style="295" customWidth="1"/>
    <col min="779" max="779" width="8.5703125" style="295" customWidth="1"/>
    <col min="780" max="1024" width="11.42578125" style="295"/>
    <col min="1025" max="1025" width="5.85546875" style="295" customWidth="1"/>
    <col min="1026" max="1026" width="45.28515625" style="295" customWidth="1"/>
    <col min="1027" max="1027" width="7.28515625" style="295" customWidth="1"/>
    <col min="1028" max="1030" width="8.7109375" style="295" customWidth="1"/>
    <col min="1031" max="1032" width="8.5703125" style="295" customWidth="1"/>
    <col min="1033" max="1034" width="8.7109375" style="295" customWidth="1"/>
    <col min="1035" max="1035" width="8.5703125" style="295" customWidth="1"/>
    <col min="1036" max="1280" width="11.42578125" style="295"/>
    <col min="1281" max="1281" width="5.85546875" style="295" customWidth="1"/>
    <col min="1282" max="1282" width="45.28515625" style="295" customWidth="1"/>
    <col min="1283" max="1283" width="7.28515625" style="295" customWidth="1"/>
    <col min="1284" max="1286" width="8.7109375" style="295" customWidth="1"/>
    <col min="1287" max="1288" width="8.5703125" style="295" customWidth="1"/>
    <col min="1289" max="1290" width="8.7109375" style="295" customWidth="1"/>
    <col min="1291" max="1291" width="8.5703125" style="295" customWidth="1"/>
    <col min="1292" max="1536" width="11.42578125" style="295"/>
    <col min="1537" max="1537" width="5.85546875" style="295" customWidth="1"/>
    <col min="1538" max="1538" width="45.28515625" style="295" customWidth="1"/>
    <col min="1539" max="1539" width="7.28515625" style="295" customWidth="1"/>
    <col min="1540" max="1542" width="8.7109375" style="295" customWidth="1"/>
    <col min="1543" max="1544" width="8.5703125" style="295" customWidth="1"/>
    <col min="1545" max="1546" width="8.7109375" style="295" customWidth="1"/>
    <col min="1547" max="1547" width="8.5703125" style="295" customWidth="1"/>
    <col min="1548" max="1792" width="11.42578125" style="295"/>
    <col min="1793" max="1793" width="5.85546875" style="295" customWidth="1"/>
    <col min="1794" max="1794" width="45.28515625" style="295" customWidth="1"/>
    <col min="1795" max="1795" width="7.28515625" style="295" customWidth="1"/>
    <col min="1796" max="1798" width="8.7109375" style="295" customWidth="1"/>
    <col min="1799" max="1800" width="8.5703125" style="295" customWidth="1"/>
    <col min="1801" max="1802" width="8.7109375" style="295" customWidth="1"/>
    <col min="1803" max="1803" width="8.5703125" style="295" customWidth="1"/>
    <col min="1804" max="2048" width="11.42578125" style="295"/>
    <col min="2049" max="2049" width="5.85546875" style="295" customWidth="1"/>
    <col min="2050" max="2050" width="45.28515625" style="295" customWidth="1"/>
    <col min="2051" max="2051" width="7.28515625" style="295" customWidth="1"/>
    <col min="2052" max="2054" width="8.7109375" style="295" customWidth="1"/>
    <col min="2055" max="2056" width="8.5703125" style="295" customWidth="1"/>
    <col min="2057" max="2058" width="8.7109375" style="295" customWidth="1"/>
    <col min="2059" max="2059" width="8.5703125" style="295" customWidth="1"/>
    <col min="2060" max="2304" width="11.42578125" style="295"/>
    <col min="2305" max="2305" width="5.85546875" style="295" customWidth="1"/>
    <col min="2306" max="2306" width="45.28515625" style="295" customWidth="1"/>
    <col min="2307" max="2307" width="7.28515625" style="295" customWidth="1"/>
    <col min="2308" max="2310" width="8.7109375" style="295" customWidth="1"/>
    <col min="2311" max="2312" width="8.5703125" style="295" customWidth="1"/>
    <col min="2313" max="2314" width="8.7109375" style="295" customWidth="1"/>
    <col min="2315" max="2315" width="8.5703125" style="295" customWidth="1"/>
    <col min="2316" max="2560" width="11.42578125" style="295"/>
    <col min="2561" max="2561" width="5.85546875" style="295" customWidth="1"/>
    <col min="2562" max="2562" width="45.28515625" style="295" customWidth="1"/>
    <col min="2563" max="2563" width="7.28515625" style="295" customWidth="1"/>
    <col min="2564" max="2566" width="8.7109375" style="295" customWidth="1"/>
    <col min="2567" max="2568" width="8.5703125" style="295" customWidth="1"/>
    <col min="2569" max="2570" width="8.7109375" style="295" customWidth="1"/>
    <col min="2571" max="2571" width="8.5703125" style="295" customWidth="1"/>
    <col min="2572" max="2816" width="11.42578125" style="295"/>
    <col min="2817" max="2817" width="5.85546875" style="295" customWidth="1"/>
    <col min="2818" max="2818" width="45.28515625" style="295" customWidth="1"/>
    <col min="2819" max="2819" width="7.28515625" style="295" customWidth="1"/>
    <col min="2820" max="2822" width="8.7109375" style="295" customWidth="1"/>
    <col min="2823" max="2824" width="8.5703125" style="295" customWidth="1"/>
    <col min="2825" max="2826" width="8.7109375" style="295" customWidth="1"/>
    <col min="2827" max="2827" width="8.5703125" style="295" customWidth="1"/>
    <col min="2828" max="3072" width="11.42578125" style="295"/>
    <col min="3073" max="3073" width="5.85546875" style="295" customWidth="1"/>
    <col min="3074" max="3074" width="45.28515625" style="295" customWidth="1"/>
    <col min="3075" max="3075" width="7.28515625" style="295" customWidth="1"/>
    <col min="3076" max="3078" width="8.7109375" style="295" customWidth="1"/>
    <col min="3079" max="3080" width="8.5703125" style="295" customWidth="1"/>
    <col min="3081" max="3082" width="8.7109375" style="295" customWidth="1"/>
    <col min="3083" max="3083" width="8.5703125" style="295" customWidth="1"/>
    <col min="3084" max="3328" width="11.42578125" style="295"/>
    <col min="3329" max="3329" width="5.85546875" style="295" customWidth="1"/>
    <col min="3330" max="3330" width="45.28515625" style="295" customWidth="1"/>
    <col min="3331" max="3331" width="7.28515625" style="295" customWidth="1"/>
    <col min="3332" max="3334" width="8.7109375" style="295" customWidth="1"/>
    <col min="3335" max="3336" width="8.5703125" style="295" customWidth="1"/>
    <col min="3337" max="3338" width="8.7109375" style="295" customWidth="1"/>
    <col min="3339" max="3339" width="8.5703125" style="295" customWidth="1"/>
    <col min="3340" max="3584" width="11.42578125" style="295"/>
    <col min="3585" max="3585" width="5.85546875" style="295" customWidth="1"/>
    <col min="3586" max="3586" width="45.28515625" style="295" customWidth="1"/>
    <col min="3587" max="3587" width="7.28515625" style="295" customWidth="1"/>
    <col min="3588" max="3590" width="8.7109375" style="295" customWidth="1"/>
    <col min="3591" max="3592" width="8.5703125" style="295" customWidth="1"/>
    <col min="3593" max="3594" width="8.7109375" style="295" customWidth="1"/>
    <col min="3595" max="3595" width="8.5703125" style="295" customWidth="1"/>
    <col min="3596" max="3840" width="11.42578125" style="295"/>
    <col min="3841" max="3841" width="5.85546875" style="295" customWidth="1"/>
    <col min="3842" max="3842" width="45.28515625" style="295" customWidth="1"/>
    <col min="3843" max="3843" width="7.28515625" style="295" customWidth="1"/>
    <col min="3844" max="3846" width="8.7109375" style="295" customWidth="1"/>
    <col min="3847" max="3848" width="8.5703125" style="295" customWidth="1"/>
    <col min="3849" max="3850" width="8.7109375" style="295" customWidth="1"/>
    <col min="3851" max="3851" width="8.5703125" style="295" customWidth="1"/>
    <col min="3852" max="4096" width="11.42578125" style="295"/>
    <col min="4097" max="4097" width="5.85546875" style="295" customWidth="1"/>
    <col min="4098" max="4098" width="45.28515625" style="295" customWidth="1"/>
    <col min="4099" max="4099" width="7.28515625" style="295" customWidth="1"/>
    <col min="4100" max="4102" width="8.7109375" style="295" customWidth="1"/>
    <col min="4103" max="4104" width="8.5703125" style="295" customWidth="1"/>
    <col min="4105" max="4106" width="8.7109375" style="295" customWidth="1"/>
    <col min="4107" max="4107" width="8.5703125" style="295" customWidth="1"/>
    <col min="4108" max="4352" width="11.42578125" style="295"/>
    <col min="4353" max="4353" width="5.85546875" style="295" customWidth="1"/>
    <col min="4354" max="4354" width="45.28515625" style="295" customWidth="1"/>
    <col min="4355" max="4355" width="7.28515625" style="295" customWidth="1"/>
    <col min="4356" max="4358" width="8.7109375" style="295" customWidth="1"/>
    <col min="4359" max="4360" width="8.5703125" style="295" customWidth="1"/>
    <col min="4361" max="4362" width="8.7109375" style="295" customWidth="1"/>
    <col min="4363" max="4363" width="8.5703125" style="295" customWidth="1"/>
    <col min="4364" max="4608" width="11.42578125" style="295"/>
    <col min="4609" max="4609" width="5.85546875" style="295" customWidth="1"/>
    <col min="4610" max="4610" width="45.28515625" style="295" customWidth="1"/>
    <col min="4611" max="4611" width="7.28515625" style="295" customWidth="1"/>
    <col min="4612" max="4614" width="8.7109375" style="295" customWidth="1"/>
    <col min="4615" max="4616" width="8.5703125" style="295" customWidth="1"/>
    <col min="4617" max="4618" width="8.7109375" style="295" customWidth="1"/>
    <col min="4619" max="4619" width="8.5703125" style="295" customWidth="1"/>
    <col min="4620" max="4864" width="11.42578125" style="295"/>
    <col min="4865" max="4865" width="5.85546875" style="295" customWidth="1"/>
    <col min="4866" max="4866" width="45.28515625" style="295" customWidth="1"/>
    <col min="4867" max="4867" width="7.28515625" style="295" customWidth="1"/>
    <col min="4868" max="4870" width="8.7109375" style="295" customWidth="1"/>
    <col min="4871" max="4872" width="8.5703125" style="295" customWidth="1"/>
    <col min="4873" max="4874" width="8.7109375" style="295" customWidth="1"/>
    <col min="4875" max="4875" width="8.5703125" style="295" customWidth="1"/>
    <col min="4876" max="5120" width="11.42578125" style="295"/>
    <col min="5121" max="5121" width="5.85546875" style="295" customWidth="1"/>
    <col min="5122" max="5122" width="45.28515625" style="295" customWidth="1"/>
    <col min="5123" max="5123" width="7.28515625" style="295" customWidth="1"/>
    <col min="5124" max="5126" width="8.7109375" style="295" customWidth="1"/>
    <col min="5127" max="5128" width="8.5703125" style="295" customWidth="1"/>
    <col min="5129" max="5130" width="8.7109375" style="295" customWidth="1"/>
    <col min="5131" max="5131" width="8.5703125" style="295" customWidth="1"/>
    <col min="5132" max="5376" width="11.42578125" style="295"/>
    <col min="5377" max="5377" width="5.85546875" style="295" customWidth="1"/>
    <col min="5378" max="5378" width="45.28515625" style="295" customWidth="1"/>
    <col min="5379" max="5379" width="7.28515625" style="295" customWidth="1"/>
    <col min="5380" max="5382" width="8.7109375" style="295" customWidth="1"/>
    <col min="5383" max="5384" width="8.5703125" style="295" customWidth="1"/>
    <col min="5385" max="5386" width="8.7109375" style="295" customWidth="1"/>
    <col min="5387" max="5387" width="8.5703125" style="295" customWidth="1"/>
    <col min="5388" max="5632" width="11.42578125" style="295"/>
    <col min="5633" max="5633" width="5.85546875" style="295" customWidth="1"/>
    <col min="5634" max="5634" width="45.28515625" style="295" customWidth="1"/>
    <col min="5635" max="5635" width="7.28515625" style="295" customWidth="1"/>
    <col min="5636" max="5638" width="8.7109375" style="295" customWidth="1"/>
    <col min="5639" max="5640" width="8.5703125" style="295" customWidth="1"/>
    <col min="5641" max="5642" width="8.7109375" style="295" customWidth="1"/>
    <col min="5643" max="5643" width="8.5703125" style="295" customWidth="1"/>
    <col min="5644" max="5888" width="11.42578125" style="295"/>
    <col min="5889" max="5889" width="5.85546875" style="295" customWidth="1"/>
    <col min="5890" max="5890" width="45.28515625" style="295" customWidth="1"/>
    <col min="5891" max="5891" width="7.28515625" style="295" customWidth="1"/>
    <col min="5892" max="5894" width="8.7109375" style="295" customWidth="1"/>
    <col min="5895" max="5896" width="8.5703125" style="295" customWidth="1"/>
    <col min="5897" max="5898" width="8.7109375" style="295" customWidth="1"/>
    <col min="5899" max="5899" width="8.5703125" style="295" customWidth="1"/>
    <col min="5900" max="6144" width="11.42578125" style="295"/>
    <col min="6145" max="6145" width="5.85546875" style="295" customWidth="1"/>
    <col min="6146" max="6146" width="45.28515625" style="295" customWidth="1"/>
    <col min="6147" max="6147" width="7.28515625" style="295" customWidth="1"/>
    <col min="6148" max="6150" width="8.7109375" style="295" customWidth="1"/>
    <col min="6151" max="6152" width="8.5703125" style="295" customWidth="1"/>
    <col min="6153" max="6154" width="8.7109375" style="295" customWidth="1"/>
    <col min="6155" max="6155" width="8.5703125" style="295" customWidth="1"/>
    <col min="6156" max="6400" width="11.42578125" style="295"/>
    <col min="6401" max="6401" width="5.85546875" style="295" customWidth="1"/>
    <col min="6402" max="6402" width="45.28515625" style="295" customWidth="1"/>
    <col min="6403" max="6403" width="7.28515625" style="295" customWidth="1"/>
    <col min="6404" max="6406" width="8.7109375" style="295" customWidth="1"/>
    <col min="6407" max="6408" width="8.5703125" style="295" customWidth="1"/>
    <col min="6409" max="6410" width="8.7109375" style="295" customWidth="1"/>
    <col min="6411" max="6411" width="8.5703125" style="295" customWidth="1"/>
    <col min="6412" max="6656" width="11.42578125" style="295"/>
    <col min="6657" max="6657" width="5.85546875" style="295" customWidth="1"/>
    <col min="6658" max="6658" width="45.28515625" style="295" customWidth="1"/>
    <col min="6659" max="6659" width="7.28515625" style="295" customWidth="1"/>
    <col min="6660" max="6662" width="8.7109375" style="295" customWidth="1"/>
    <col min="6663" max="6664" width="8.5703125" style="295" customWidth="1"/>
    <col min="6665" max="6666" width="8.7109375" style="295" customWidth="1"/>
    <col min="6667" max="6667" width="8.5703125" style="295" customWidth="1"/>
    <col min="6668" max="6912" width="11.42578125" style="295"/>
    <col min="6913" max="6913" width="5.85546875" style="295" customWidth="1"/>
    <col min="6914" max="6914" width="45.28515625" style="295" customWidth="1"/>
    <col min="6915" max="6915" width="7.28515625" style="295" customWidth="1"/>
    <col min="6916" max="6918" width="8.7109375" style="295" customWidth="1"/>
    <col min="6919" max="6920" width="8.5703125" style="295" customWidth="1"/>
    <col min="6921" max="6922" width="8.7109375" style="295" customWidth="1"/>
    <col min="6923" max="6923" width="8.5703125" style="295" customWidth="1"/>
    <col min="6924" max="7168" width="11.42578125" style="295"/>
    <col min="7169" max="7169" width="5.85546875" style="295" customWidth="1"/>
    <col min="7170" max="7170" width="45.28515625" style="295" customWidth="1"/>
    <col min="7171" max="7171" width="7.28515625" style="295" customWidth="1"/>
    <col min="7172" max="7174" width="8.7109375" style="295" customWidth="1"/>
    <col min="7175" max="7176" width="8.5703125" style="295" customWidth="1"/>
    <col min="7177" max="7178" width="8.7109375" style="295" customWidth="1"/>
    <col min="7179" max="7179" width="8.5703125" style="295" customWidth="1"/>
    <col min="7180" max="7424" width="11.42578125" style="295"/>
    <col min="7425" max="7425" width="5.85546875" style="295" customWidth="1"/>
    <col min="7426" max="7426" width="45.28515625" style="295" customWidth="1"/>
    <col min="7427" max="7427" width="7.28515625" style="295" customWidth="1"/>
    <col min="7428" max="7430" width="8.7109375" style="295" customWidth="1"/>
    <col min="7431" max="7432" width="8.5703125" style="295" customWidth="1"/>
    <col min="7433" max="7434" width="8.7109375" style="295" customWidth="1"/>
    <col min="7435" max="7435" width="8.5703125" style="295" customWidth="1"/>
    <col min="7436" max="7680" width="11.42578125" style="295"/>
    <col min="7681" max="7681" width="5.85546875" style="295" customWidth="1"/>
    <col min="7682" max="7682" width="45.28515625" style="295" customWidth="1"/>
    <col min="7683" max="7683" width="7.28515625" style="295" customWidth="1"/>
    <col min="7684" max="7686" width="8.7109375" style="295" customWidth="1"/>
    <col min="7687" max="7688" width="8.5703125" style="295" customWidth="1"/>
    <col min="7689" max="7690" width="8.7109375" style="295" customWidth="1"/>
    <col min="7691" max="7691" width="8.5703125" style="295" customWidth="1"/>
    <col min="7692" max="7936" width="11.42578125" style="295"/>
    <col min="7937" max="7937" width="5.85546875" style="295" customWidth="1"/>
    <col min="7938" max="7938" width="45.28515625" style="295" customWidth="1"/>
    <col min="7939" max="7939" width="7.28515625" style="295" customWidth="1"/>
    <col min="7940" max="7942" width="8.7109375" style="295" customWidth="1"/>
    <col min="7943" max="7944" width="8.5703125" style="295" customWidth="1"/>
    <col min="7945" max="7946" width="8.7109375" style="295" customWidth="1"/>
    <col min="7947" max="7947" width="8.5703125" style="295" customWidth="1"/>
    <col min="7948" max="8192" width="11.42578125" style="295"/>
    <col min="8193" max="8193" width="5.85546875" style="295" customWidth="1"/>
    <col min="8194" max="8194" width="45.28515625" style="295" customWidth="1"/>
    <col min="8195" max="8195" width="7.28515625" style="295" customWidth="1"/>
    <col min="8196" max="8198" width="8.7109375" style="295" customWidth="1"/>
    <col min="8199" max="8200" width="8.5703125" style="295" customWidth="1"/>
    <col min="8201" max="8202" width="8.7109375" style="295" customWidth="1"/>
    <col min="8203" max="8203" width="8.5703125" style="295" customWidth="1"/>
    <col min="8204" max="8448" width="11.42578125" style="295"/>
    <col min="8449" max="8449" width="5.85546875" style="295" customWidth="1"/>
    <col min="8450" max="8450" width="45.28515625" style="295" customWidth="1"/>
    <col min="8451" max="8451" width="7.28515625" style="295" customWidth="1"/>
    <col min="8452" max="8454" width="8.7109375" style="295" customWidth="1"/>
    <col min="8455" max="8456" width="8.5703125" style="295" customWidth="1"/>
    <col min="8457" max="8458" width="8.7109375" style="295" customWidth="1"/>
    <col min="8459" max="8459" width="8.5703125" style="295" customWidth="1"/>
    <col min="8460" max="8704" width="11.42578125" style="295"/>
    <col min="8705" max="8705" width="5.85546875" style="295" customWidth="1"/>
    <col min="8706" max="8706" width="45.28515625" style="295" customWidth="1"/>
    <col min="8707" max="8707" width="7.28515625" style="295" customWidth="1"/>
    <col min="8708" max="8710" width="8.7109375" style="295" customWidth="1"/>
    <col min="8711" max="8712" width="8.5703125" style="295" customWidth="1"/>
    <col min="8713" max="8714" width="8.7109375" style="295" customWidth="1"/>
    <col min="8715" max="8715" width="8.5703125" style="295" customWidth="1"/>
    <col min="8716" max="8960" width="11.42578125" style="295"/>
    <col min="8961" max="8961" width="5.85546875" style="295" customWidth="1"/>
    <col min="8962" max="8962" width="45.28515625" style="295" customWidth="1"/>
    <col min="8963" max="8963" width="7.28515625" style="295" customWidth="1"/>
    <col min="8964" max="8966" width="8.7109375" style="295" customWidth="1"/>
    <col min="8967" max="8968" width="8.5703125" style="295" customWidth="1"/>
    <col min="8969" max="8970" width="8.7109375" style="295" customWidth="1"/>
    <col min="8971" max="8971" width="8.5703125" style="295" customWidth="1"/>
    <col min="8972" max="9216" width="11.42578125" style="295"/>
    <col min="9217" max="9217" width="5.85546875" style="295" customWidth="1"/>
    <col min="9218" max="9218" width="45.28515625" style="295" customWidth="1"/>
    <col min="9219" max="9219" width="7.28515625" style="295" customWidth="1"/>
    <col min="9220" max="9222" width="8.7109375" style="295" customWidth="1"/>
    <col min="9223" max="9224" width="8.5703125" style="295" customWidth="1"/>
    <col min="9225" max="9226" width="8.7109375" style="295" customWidth="1"/>
    <col min="9227" max="9227" width="8.5703125" style="295" customWidth="1"/>
    <col min="9228" max="9472" width="11.42578125" style="295"/>
    <col min="9473" max="9473" width="5.85546875" style="295" customWidth="1"/>
    <col min="9474" max="9474" width="45.28515625" style="295" customWidth="1"/>
    <col min="9475" max="9475" width="7.28515625" style="295" customWidth="1"/>
    <col min="9476" max="9478" width="8.7109375" style="295" customWidth="1"/>
    <col min="9479" max="9480" width="8.5703125" style="295" customWidth="1"/>
    <col min="9481" max="9482" width="8.7109375" style="295" customWidth="1"/>
    <col min="9483" max="9483" width="8.5703125" style="295" customWidth="1"/>
    <col min="9484" max="9728" width="11.42578125" style="295"/>
    <col min="9729" max="9729" width="5.85546875" style="295" customWidth="1"/>
    <col min="9730" max="9730" width="45.28515625" style="295" customWidth="1"/>
    <col min="9731" max="9731" width="7.28515625" style="295" customWidth="1"/>
    <col min="9732" max="9734" width="8.7109375" style="295" customWidth="1"/>
    <col min="9735" max="9736" width="8.5703125" style="295" customWidth="1"/>
    <col min="9737" max="9738" width="8.7109375" style="295" customWidth="1"/>
    <col min="9739" max="9739" width="8.5703125" style="295" customWidth="1"/>
    <col min="9740" max="9984" width="11.42578125" style="295"/>
    <col min="9985" max="9985" width="5.85546875" style="295" customWidth="1"/>
    <col min="9986" max="9986" width="45.28515625" style="295" customWidth="1"/>
    <col min="9987" max="9987" width="7.28515625" style="295" customWidth="1"/>
    <col min="9988" max="9990" width="8.7109375" style="295" customWidth="1"/>
    <col min="9991" max="9992" width="8.5703125" style="295" customWidth="1"/>
    <col min="9993" max="9994" width="8.7109375" style="295" customWidth="1"/>
    <col min="9995" max="9995" width="8.5703125" style="295" customWidth="1"/>
    <col min="9996" max="10240" width="11.42578125" style="295"/>
    <col min="10241" max="10241" width="5.85546875" style="295" customWidth="1"/>
    <col min="10242" max="10242" width="45.28515625" style="295" customWidth="1"/>
    <col min="10243" max="10243" width="7.28515625" style="295" customWidth="1"/>
    <col min="10244" max="10246" width="8.7109375" style="295" customWidth="1"/>
    <col min="10247" max="10248" width="8.5703125" style="295" customWidth="1"/>
    <col min="10249" max="10250" width="8.7109375" style="295" customWidth="1"/>
    <col min="10251" max="10251" width="8.5703125" style="295" customWidth="1"/>
    <col min="10252" max="10496" width="11.42578125" style="295"/>
    <col min="10497" max="10497" width="5.85546875" style="295" customWidth="1"/>
    <col min="10498" max="10498" width="45.28515625" style="295" customWidth="1"/>
    <col min="10499" max="10499" width="7.28515625" style="295" customWidth="1"/>
    <col min="10500" max="10502" width="8.7109375" style="295" customWidth="1"/>
    <col min="10503" max="10504" width="8.5703125" style="295" customWidth="1"/>
    <col min="10505" max="10506" width="8.7109375" style="295" customWidth="1"/>
    <col min="10507" max="10507" width="8.5703125" style="295" customWidth="1"/>
    <col min="10508" max="10752" width="11.42578125" style="295"/>
    <col min="10753" max="10753" width="5.85546875" style="295" customWidth="1"/>
    <col min="10754" max="10754" width="45.28515625" style="295" customWidth="1"/>
    <col min="10755" max="10755" width="7.28515625" style="295" customWidth="1"/>
    <col min="10756" max="10758" width="8.7109375" style="295" customWidth="1"/>
    <col min="10759" max="10760" width="8.5703125" style="295" customWidth="1"/>
    <col min="10761" max="10762" width="8.7109375" style="295" customWidth="1"/>
    <col min="10763" max="10763" width="8.5703125" style="295" customWidth="1"/>
    <col min="10764" max="11008" width="11.42578125" style="295"/>
    <col min="11009" max="11009" width="5.85546875" style="295" customWidth="1"/>
    <col min="11010" max="11010" width="45.28515625" style="295" customWidth="1"/>
    <col min="11011" max="11011" width="7.28515625" style="295" customWidth="1"/>
    <col min="11012" max="11014" width="8.7109375" style="295" customWidth="1"/>
    <col min="11015" max="11016" width="8.5703125" style="295" customWidth="1"/>
    <col min="11017" max="11018" width="8.7109375" style="295" customWidth="1"/>
    <col min="11019" max="11019" width="8.5703125" style="295" customWidth="1"/>
    <col min="11020" max="11264" width="11.42578125" style="295"/>
    <col min="11265" max="11265" width="5.85546875" style="295" customWidth="1"/>
    <col min="11266" max="11266" width="45.28515625" style="295" customWidth="1"/>
    <col min="11267" max="11267" width="7.28515625" style="295" customWidth="1"/>
    <col min="11268" max="11270" width="8.7109375" style="295" customWidth="1"/>
    <col min="11271" max="11272" width="8.5703125" style="295" customWidth="1"/>
    <col min="11273" max="11274" width="8.7109375" style="295" customWidth="1"/>
    <col min="11275" max="11275" width="8.5703125" style="295" customWidth="1"/>
    <col min="11276" max="11520" width="11.42578125" style="295"/>
    <col min="11521" max="11521" width="5.85546875" style="295" customWidth="1"/>
    <col min="11522" max="11522" width="45.28515625" style="295" customWidth="1"/>
    <col min="11523" max="11523" width="7.28515625" style="295" customWidth="1"/>
    <col min="11524" max="11526" width="8.7109375" style="295" customWidth="1"/>
    <col min="11527" max="11528" width="8.5703125" style="295" customWidth="1"/>
    <col min="11529" max="11530" width="8.7109375" style="295" customWidth="1"/>
    <col min="11531" max="11531" width="8.5703125" style="295" customWidth="1"/>
    <col min="11532" max="11776" width="11.42578125" style="295"/>
    <col min="11777" max="11777" width="5.85546875" style="295" customWidth="1"/>
    <col min="11778" max="11778" width="45.28515625" style="295" customWidth="1"/>
    <col min="11779" max="11779" width="7.28515625" style="295" customWidth="1"/>
    <col min="11780" max="11782" width="8.7109375" style="295" customWidth="1"/>
    <col min="11783" max="11784" width="8.5703125" style="295" customWidth="1"/>
    <col min="11785" max="11786" width="8.7109375" style="295" customWidth="1"/>
    <col min="11787" max="11787" width="8.5703125" style="295" customWidth="1"/>
    <col min="11788" max="12032" width="11.42578125" style="295"/>
    <col min="12033" max="12033" width="5.85546875" style="295" customWidth="1"/>
    <col min="12034" max="12034" width="45.28515625" style="295" customWidth="1"/>
    <col min="12035" max="12035" width="7.28515625" style="295" customWidth="1"/>
    <col min="12036" max="12038" width="8.7109375" style="295" customWidth="1"/>
    <col min="12039" max="12040" width="8.5703125" style="295" customWidth="1"/>
    <col min="12041" max="12042" width="8.7109375" style="295" customWidth="1"/>
    <col min="12043" max="12043" width="8.5703125" style="295" customWidth="1"/>
    <col min="12044" max="12288" width="11.42578125" style="295"/>
    <col min="12289" max="12289" width="5.85546875" style="295" customWidth="1"/>
    <col min="12290" max="12290" width="45.28515625" style="295" customWidth="1"/>
    <col min="12291" max="12291" width="7.28515625" style="295" customWidth="1"/>
    <col min="12292" max="12294" width="8.7109375" style="295" customWidth="1"/>
    <col min="12295" max="12296" width="8.5703125" style="295" customWidth="1"/>
    <col min="12297" max="12298" width="8.7109375" style="295" customWidth="1"/>
    <col min="12299" max="12299" width="8.5703125" style="295" customWidth="1"/>
    <col min="12300" max="12544" width="11.42578125" style="295"/>
    <col min="12545" max="12545" width="5.85546875" style="295" customWidth="1"/>
    <col min="12546" max="12546" width="45.28515625" style="295" customWidth="1"/>
    <col min="12547" max="12547" width="7.28515625" style="295" customWidth="1"/>
    <col min="12548" max="12550" width="8.7109375" style="295" customWidth="1"/>
    <col min="12551" max="12552" width="8.5703125" style="295" customWidth="1"/>
    <col min="12553" max="12554" width="8.7109375" style="295" customWidth="1"/>
    <col min="12555" max="12555" width="8.5703125" style="295" customWidth="1"/>
    <col min="12556" max="12800" width="11.42578125" style="295"/>
    <col min="12801" max="12801" width="5.85546875" style="295" customWidth="1"/>
    <col min="12802" max="12802" width="45.28515625" style="295" customWidth="1"/>
    <col min="12803" max="12803" width="7.28515625" style="295" customWidth="1"/>
    <col min="12804" max="12806" width="8.7109375" style="295" customWidth="1"/>
    <col min="12807" max="12808" width="8.5703125" style="295" customWidth="1"/>
    <col min="12809" max="12810" width="8.7109375" style="295" customWidth="1"/>
    <col min="12811" max="12811" width="8.5703125" style="295" customWidth="1"/>
    <col min="12812" max="13056" width="11.42578125" style="295"/>
    <col min="13057" max="13057" width="5.85546875" style="295" customWidth="1"/>
    <col min="13058" max="13058" width="45.28515625" style="295" customWidth="1"/>
    <col min="13059" max="13059" width="7.28515625" style="295" customWidth="1"/>
    <col min="13060" max="13062" width="8.7109375" style="295" customWidth="1"/>
    <col min="13063" max="13064" width="8.5703125" style="295" customWidth="1"/>
    <col min="13065" max="13066" width="8.7109375" style="295" customWidth="1"/>
    <col min="13067" max="13067" width="8.5703125" style="295" customWidth="1"/>
    <col min="13068" max="13312" width="11.42578125" style="295"/>
    <col min="13313" max="13313" width="5.85546875" style="295" customWidth="1"/>
    <col min="13314" max="13314" width="45.28515625" style="295" customWidth="1"/>
    <col min="13315" max="13315" width="7.28515625" style="295" customWidth="1"/>
    <col min="13316" max="13318" width="8.7109375" style="295" customWidth="1"/>
    <col min="13319" max="13320" width="8.5703125" style="295" customWidth="1"/>
    <col min="13321" max="13322" width="8.7109375" style="295" customWidth="1"/>
    <col min="13323" max="13323" width="8.5703125" style="295" customWidth="1"/>
    <col min="13324" max="13568" width="11.42578125" style="295"/>
    <col min="13569" max="13569" width="5.85546875" style="295" customWidth="1"/>
    <col min="13570" max="13570" width="45.28515625" style="295" customWidth="1"/>
    <col min="13571" max="13571" width="7.28515625" style="295" customWidth="1"/>
    <col min="13572" max="13574" width="8.7109375" style="295" customWidth="1"/>
    <col min="13575" max="13576" width="8.5703125" style="295" customWidth="1"/>
    <col min="13577" max="13578" width="8.7109375" style="295" customWidth="1"/>
    <col min="13579" max="13579" width="8.5703125" style="295" customWidth="1"/>
    <col min="13580" max="13824" width="11.42578125" style="295"/>
    <col min="13825" max="13825" width="5.85546875" style="295" customWidth="1"/>
    <col min="13826" max="13826" width="45.28515625" style="295" customWidth="1"/>
    <col min="13827" max="13827" width="7.28515625" style="295" customWidth="1"/>
    <col min="13828" max="13830" width="8.7109375" style="295" customWidth="1"/>
    <col min="13831" max="13832" width="8.5703125" style="295" customWidth="1"/>
    <col min="13833" max="13834" width="8.7109375" style="295" customWidth="1"/>
    <col min="13835" max="13835" width="8.5703125" style="295" customWidth="1"/>
    <col min="13836" max="14080" width="11.42578125" style="295"/>
    <col min="14081" max="14081" width="5.85546875" style="295" customWidth="1"/>
    <col min="14082" max="14082" width="45.28515625" style="295" customWidth="1"/>
    <col min="14083" max="14083" width="7.28515625" style="295" customWidth="1"/>
    <col min="14084" max="14086" width="8.7109375" style="295" customWidth="1"/>
    <col min="14087" max="14088" width="8.5703125" style="295" customWidth="1"/>
    <col min="14089" max="14090" width="8.7109375" style="295" customWidth="1"/>
    <col min="14091" max="14091" width="8.5703125" style="295" customWidth="1"/>
    <col min="14092" max="14336" width="11.42578125" style="295"/>
    <col min="14337" max="14337" width="5.85546875" style="295" customWidth="1"/>
    <col min="14338" max="14338" width="45.28515625" style="295" customWidth="1"/>
    <col min="14339" max="14339" width="7.28515625" style="295" customWidth="1"/>
    <col min="14340" max="14342" width="8.7109375" style="295" customWidth="1"/>
    <col min="14343" max="14344" width="8.5703125" style="295" customWidth="1"/>
    <col min="14345" max="14346" width="8.7109375" style="295" customWidth="1"/>
    <col min="14347" max="14347" width="8.5703125" style="295" customWidth="1"/>
    <col min="14348" max="14592" width="11.42578125" style="295"/>
    <col min="14593" max="14593" width="5.85546875" style="295" customWidth="1"/>
    <col min="14594" max="14594" width="45.28515625" style="295" customWidth="1"/>
    <col min="14595" max="14595" width="7.28515625" style="295" customWidth="1"/>
    <col min="14596" max="14598" width="8.7109375" style="295" customWidth="1"/>
    <col min="14599" max="14600" width="8.5703125" style="295" customWidth="1"/>
    <col min="14601" max="14602" width="8.7109375" style="295" customWidth="1"/>
    <col min="14603" max="14603" width="8.5703125" style="295" customWidth="1"/>
    <col min="14604" max="14848" width="11.42578125" style="295"/>
    <col min="14849" max="14849" width="5.85546875" style="295" customWidth="1"/>
    <col min="14850" max="14850" width="45.28515625" style="295" customWidth="1"/>
    <col min="14851" max="14851" width="7.28515625" style="295" customWidth="1"/>
    <col min="14852" max="14854" width="8.7109375" style="295" customWidth="1"/>
    <col min="14855" max="14856" width="8.5703125" style="295" customWidth="1"/>
    <col min="14857" max="14858" width="8.7109375" style="295" customWidth="1"/>
    <col min="14859" max="14859" width="8.5703125" style="295" customWidth="1"/>
    <col min="14860" max="15104" width="11.42578125" style="295"/>
    <col min="15105" max="15105" width="5.85546875" style="295" customWidth="1"/>
    <col min="15106" max="15106" width="45.28515625" style="295" customWidth="1"/>
    <col min="15107" max="15107" width="7.28515625" style="295" customWidth="1"/>
    <col min="15108" max="15110" width="8.7109375" style="295" customWidth="1"/>
    <col min="15111" max="15112" width="8.5703125" style="295" customWidth="1"/>
    <col min="15113" max="15114" width="8.7109375" style="295" customWidth="1"/>
    <col min="15115" max="15115" width="8.5703125" style="295" customWidth="1"/>
    <col min="15116" max="15360" width="11.42578125" style="295"/>
    <col min="15361" max="15361" width="5.85546875" style="295" customWidth="1"/>
    <col min="15362" max="15362" width="45.28515625" style="295" customWidth="1"/>
    <col min="15363" max="15363" width="7.28515625" style="295" customWidth="1"/>
    <col min="15364" max="15366" width="8.7109375" style="295" customWidth="1"/>
    <col min="15367" max="15368" width="8.5703125" style="295" customWidth="1"/>
    <col min="15369" max="15370" width="8.7109375" style="295" customWidth="1"/>
    <col min="15371" max="15371" width="8.5703125" style="295" customWidth="1"/>
    <col min="15372" max="15616" width="11.42578125" style="295"/>
    <col min="15617" max="15617" width="5.85546875" style="295" customWidth="1"/>
    <col min="15618" max="15618" width="45.28515625" style="295" customWidth="1"/>
    <col min="15619" max="15619" width="7.28515625" style="295" customWidth="1"/>
    <col min="15620" max="15622" width="8.7109375" style="295" customWidth="1"/>
    <col min="15623" max="15624" width="8.5703125" style="295" customWidth="1"/>
    <col min="15625" max="15626" width="8.7109375" style="295" customWidth="1"/>
    <col min="15627" max="15627" width="8.5703125" style="295" customWidth="1"/>
    <col min="15628" max="15872" width="11.42578125" style="295"/>
    <col min="15873" max="15873" width="5.85546875" style="295" customWidth="1"/>
    <col min="15874" max="15874" width="45.28515625" style="295" customWidth="1"/>
    <col min="15875" max="15875" width="7.28515625" style="295" customWidth="1"/>
    <col min="15876" max="15878" width="8.7109375" style="295" customWidth="1"/>
    <col min="15879" max="15880" width="8.5703125" style="295" customWidth="1"/>
    <col min="15881" max="15882" width="8.7109375" style="295" customWidth="1"/>
    <col min="15883" max="15883" width="8.5703125" style="295" customWidth="1"/>
    <col min="15884" max="16128" width="11.42578125" style="295"/>
    <col min="16129" max="16129" width="5.85546875" style="295" customWidth="1"/>
    <col min="16130" max="16130" width="45.28515625" style="295" customWidth="1"/>
    <col min="16131" max="16131" width="7.28515625" style="295" customWidth="1"/>
    <col min="16132" max="16134" width="8.7109375" style="295" customWidth="1"/>
    <col min="16135" max="16136" width="8.5703125" style="295" customWidth="1"/>
    <col min="16137" max="16138" width="8.7109375" style="295" customWidth="1"/>
    <col min="16139" max="16139" width="8.5703125" style="295" customWidth="1"/>
    <col min="16140" max="16384" width="11.42578125" style="295"/>
  </cols>
  <sheetData>
    <row r="1" spans="1:12" x14ac:dyDescent="0.2">
      <c r="B1" s="296"/>
      <c r="C1" s="296"/>
      <c r="D1" s="297"/>
      <c r="E1" s="297"/>
      <c r="F1" s="297"/>
      <c r="G1" s="297"/>
      <c r="H1" s="297"/>
      <c r="I1" s="297"/>
      <c r="J1" s="297"/>
      <c r="K1" s="297"/>
      <c r="L1" s="296"/>
    </row>
    <row r="2" spans="1:12" x14ac:dyDescent="0.2">
      <c r="B2" s="296"/>
      <c r="C2" s="296"/>
      <c r="D2" s="297"/>
      <c r="E2" s="297"/>
      <c r="F2" s="297"/>
      <c r="G2" s="297"/>
      <c r="H2" s="297"/>
      <c r="I2" s="297"/>
      <c r="J2" s="297"/>
      <c r="K2" s="297"/>
      <c r="L2" s="296"/>
    </row>
    <row r="3" spans="1:12" x14ac:dyDescent="0.2">
      <c r="B3" s="296"/>
      <c r="C3" s="296"/>
      <c r="D3" s="297"/>
      <c r="E3" s="297"/>
      <c r="F3" s="297"/>
      <c r="G3" s="297"/>
      <c r="H3" s="297"/>
      <c r="I3" s="297"/>
      <c r="J3" s="297"/>
      <c r="K3" s="297"/>
      <c r="L3" s="296"/>
    </row>
    <row r="4" spans="1:12" x14ac:dyDescent="0.2">
      <c r="B4" s="296"/>
      <c r="C4" s="296"/>
      <c r="D4" s="297"/>
      <c r="E4" s="297"/>
      <c r="F4" s="297"/>
      <c r="G4" s="297"/>
      <c r="H4" s="297"/>
      <c r="I4" s="297"/>
      <c r="J4" s="297"/>
      <c r="K4" s="297"/>
      <c r="L4" s="296"/>
    </row>
    <row r="5" spans="1:12" x14ac:dyDescent="0.2">
      <c r="B5" s="296"/>
      <c r="C5" s="296"/>
      <c r="D5" s="297"/>
      <c r="E5" s="297"/>
      <c r="F5" s="297"/>
      <c r="G5" s="297"/>
      <c r="H5" s="297"/>
      <c r="I5" s="297"/>
      <c r="J5" s="297"/>
      <c r="K5" s="297"/>
      <c r="L5" s="296"/>
    </row>
    <row r="6" spans="1:12" x14ac:dyDescent="0.2">
      <c r="A6" s="298"/>
      <c r="B6" s="299"/>
      <c r="C6" s="299"/>
      <c r="D6" s="300"/>
      <c r="E6" s="300"/>
      <c r="F6" s="300"/>
      <c r="G6" s="300"/>
      <c r="H6" s="300"/>
      <c r="I6" s="300"/>
      <c r="J6" s="300"/>
      <c r="K6" s="300"/>
      <c r="L6" s="296"/>
    </row>
    <row r="7" spans="1:12" s="302" customFormat="1" ht="33" customHeight="1" x14ac:dyDescent="0.2">
      <c r="A7" s="301"/>
      <c r="B7" s="444" t="s">
        <v>166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</row>
    <row r="8" spans="1:12" s="302" customFormat="1" ht="30" customHeight="1" x14ac:dyDescent="0.2">
      <c r="A8" s="301"/>
      <c r="B8" s="444" t="s">
        <v>263</v>
      </c>
      <c r="C8" s="444"/>
      <c r="D8" s="444"/>
      <c r="E8" s="444"/>
      <c r="F8" s="444"/>
      <c r="G8" s="444"/>
      <c r="H8" s="444"/>
      <c r="I8" s="444"/>
      <c r="J8" s="444"/>
      <c r="K8" s="444"/>
      <c r="L8" s="444"/>
    </row>
    <row r="9" spans="1:12" x14ac:dyDescent="0.2">
      <c r="A9" s="298"/>
      <c r="B9" s="299"/>
      <c r="C9" s="299"/>
      <c r="D9" s="300"/>
      <c r="E9" s="300"/>
      <c r="F9" s="300"/>
      <c r="G9" s="300"/>
      <c r="H9" s="300"/>
      <c r="I9" s="300"/>
      <c r="J9" s="300"/>
      <c r="K9" s="300"/>
      <c r="L9" s="296"/>
    </row>
    <row r="10" spans="1:12" ht="19.5" customHeight="1" x14ac:dyDescent="0.2">
      <c r="A10" s="303"/>
      <c r="B10" s="440" t="s">
        <v>170</v>
      </c>
      <c r="C10" s="441" t="s">
        <v>171</v>
      </c>
      <c r="D10" s="441"/>
      <c r="E10" s="441"/>
      <c r="F10" s="441" t="s">
        <v>172</v>
      </c>
      <c r="G10" s="441"/>
      <c r="H10" s="441"/>
      <c r="I10" s="441" t="s">
        <v>173</v>
      </c>
      <c r="J10" s="441"/>
      <c r="K10" s="441"/>
      <c r="L10" s="442" t="s">
        <v>264</v>
      </c>
    </row>
    <row r="11" spans="1:12" ht="12.75" customHeight="1" x14ac:dyDescent="0.2">
      <c r="A11" s="303"/>
      <c r="B11" s="440"/>
      <c r="C11" s="304" t="s">
        <v>175</v>
      </c>
      <c r="D11" s="304" t="s">
        <v>176</v>
      </c>
      <c r="E11" s="304" t="s">
        <v>177</v>
      </c>
      <c r="F11" s="304" t="s">
        <v>175</v>
      </c>
      <c r="G11" s="304" t="s">
        <v>176</v>
      </c>
      <c r="H11" s="304" t="s">
        <v>177</v>
      </c>
      <c r="I11" s="304" t="s">
        <v>175</v>
      </c>
      <c r="J11" s="304" t="s">
        <v>176</v>
      </c>
      <c r="K11" s="304" t="s">
        <v>177</v>
      </c>
      <c r="L11" s="442"/>
    </row>
    <row r="12" spans="1:12" ht="7.5" customHeight="1" x14ac:dyDescent="0.2">
      <c r="A12" s="305"/>
      <c r="B12" s="306"/>
      <c r="C12" s="306"/>
      <c r="D12" s="307"/>
      <c r="E12" s="307"/>
      <c r="F12" s="307"/>
      <c r="G12" s="307"/>
      <c r="H12" s="307"/>
      <c r="I12" s="307"/>
      <c r="J12" s="307"/>
      <c r="K12" s="307"/>
      <c r="L12" s="296"/>
    </row>
    <row r="13" spans="1:12" ht="6.75" customHeight="1" x14ac:dyDescent="0.2">
      <c r="A13" s="305"/>
      <c r="B13" s="306"/>
      <c r="C13" s="306"/>
      <c r="D13" s="307"/>
      <c r="E13" s="307"/>
      <c r="F13" s="307"/>
      <c r="G13" s="307"/>
      <c r="H13" s="307"/>
      <c r="I13" s="307"/>
      <c r="J13" s="307"/>
      <c r="K13" s="307"/>
      <c r="L13" s="296"/>
    </row>
    <row r="14" spans="1:12" ht="18.75" x14ac:dyDescent="0.2">
      <c r="A14" s="305"/>
      <c r="B14" s="308" t="s">
        <v>178</v>
      </c>
      <c r="C14" s="309"/>
      <c r="D14" s="310"/>
      <c r="E14" s="310"/>
      <c r="F14" s="310"/>
      <c r="G14" s="310"/>
      <c r="H14" s="310"/>
      <c r="I14" s="310"/>
      <c r="J14" s="310"/>
      <c r="K14" s="310"/>
      <c r="L14" s="311"/>
    </row>
    <row r="15" spans="1:12" ht="9" customHeight="1" x14ac:dyDescent="0.2">
      <c r="A15" s="305"/>
      <c r="B15" s="306"/>
      <c r="C15" s="306"/>
      <c r="D15" s="307"/>
      <c r="E15" s="307"/>
      <c r="F15" s="307"/>
      <c r="G15" s="307"/>
      <c r="H15" s="307"/>
      <c r="I15" s="307"/>
      <c r="J15" s="307"/>
      <c r="K15" s="307"/>
      <c r="L15" s="296"/>
    </row>
    <row r="16" spans="1:12" ht="15.75" x14ac:dyDescent="0.25">
      <c r="A16" s="298"/>
      <c r="B16" s="358" t="s">
        <v>179</v>
      </c>
      <c r="C16" s="359">
        <f>SUM(C17:C21)</f>
        <v>327.14999999999998</v>
      </c>
      <c r="D16" s="359">
        <f>SUM(D17:D21)</f>
        <v>341.42</v>
      </c>
      <c r="E16" s="360">
        <f t="shared" ref="E16:E21" si="0">+D16*100/C16</f>
        <v>104.36191349533854</v>
      </c>
      <c r="F16" s="361">
        <f>SUM(F17:F21)</f>
        <v>249.75</v>
      </c>
      <c r="G16" s="361">
        <f>SUM(G17:G21)</f>
        <v>253.57999999999998</v>
      </c>
      <c r="H16" s="360">
        <f t="shared" ref="H16:H17" si="1">+G16*100/F16</f>
        <v>101.53353353353353</v>
      </c>
      <c r="I16" s="361">
        <f>SUM(I17:I21)</f>
        <v>249.75</v>
      </c>
      <c r="J16" s="361">
        <f>SUM(J17:J21)</f>
        <v>253.57999999999998</v>
      </c>
      <c r="K16" s="360">
        <f t="shared" ref="K16:K17" si="2">+J16*100/I16</f>
        <v>101.53353353353353</v>
      </c>
      <c r="L16" s="362">
        <f>+(E16+H16+K16)/3</f>
        <v>102.47632685413521</v>
      </c>
    </row>
    <row r="17" spans="1:12" x14ac:dyDescent="0.2">
      <c r="A17" s="298"/>
      <c r="B17" s="363" t="s">
        <v>265</v>
      </c>
      <c r="C17" s="318">
        <v>77.08</v>
      </c>
      <c r="D17" s="319">
        <v>85.42</v>
      </c>
      <c r="E17" s="320">
        <f t="shared" si="0"/>
        <v>110.81992734820966</v>
      </c>
      <c r="F17" s="321">
        <v>86</v>
      </c>
      <c r="G17" s="321">
        <v>94</v>
      </c>
      <c r="H17" s="320">
        <f t="shared" si="1"/>
        <v>109.30232558139535</v>
      </c>
      <c r="I17" s="321">
        <v>86</v>
      </c>
      <c r="J17" s="321">
        <v>94</v>
      </c>
      <c r="K17" s="320">
        <f t="shared" si="2"/>
        <v>109.30232558139535</v>
      </c>
    </row>
    <row r="18" spans="1:12" ht="12.75" customHeight="1" x14ac:dyDescent="0.2">
      <c r="A18" s="298"/>
      <c r="B18" s="443" t="s">
        <v>266</v>
      </c>
      <c r="C18" s="313">
        <v>44.32</v>
      </c>
      <c r="D18" s="322">
        <v>44.32</v>
      </c>
      <c r="E18" s="315">
        <f t="shared" si="0"/>
        <v>100</v>
      </c>
      <c r="F18" s="322">
        <v>0</v>
      </c>
      <c r="G18" s="322">
        <v>0</v>
      </c>
      <c r="H18" s="315">
        <v>0</v>
      </c>
      <c r="I18" s="322">
        <v>0</v>
      </c>
      <c r="J18" s="322">
        <v>0</v>
      </c>
      <c r="K18" s="315">
        <v>0</v>
      </c>
    </row>
    <row r="19" spans="1:12" x14ac:dyDescent="0.2">
      <c r="A19" s="298"/>
      <c r="B19" s="443"/>
      <c r="C19" s="313">
        <v>55.68</v>
      </c>
      <c r="D19" s="322">
        <v>55.68</v>
      </c>
      <c r="E19" s="315">
        <f t="shared" si="0"/>
        <v>100</v>
      </c>
      <c r="F19" s="322">
        <v>0</v>
      </c>
      <c r="G19" s="322">
        <v>0</v>
      </c>
      <c r="H19" s="315">
        <v>0</v>
      </c>
      <c r="I19" s="322">
        <v>0</v>
      </c>
      <c r="J19" s="322">
        <v>0</v>
      </c>
      <c r="K19" s="315">
        <v>0</v>
      </c>
    </row>
    <row r="20" spans="1:12" x14ac:dyDescent="0.2">
      <c r="A20" s="298"/>
      <c r="B20" s="363" t="s">
        <v>267</v>
      </c>
      <c r="C20" s="318">
        <v>74.069999999999993</v>
      </c>
      <c r="D20" s="323">
        <v>74.67</v>
      </c>
      <c r="E20" s="320">
        <f t="shared" si="0"/>
        <v>100.81004455245039</v>
      </c>
      <c r="F20" s="323">
        <v>80</v>
      </c>
      <c r="G20" s="323">
        <v>73.33</v>
      </c>
      <c r="H20" s="320">
        <f t="shared" ref="H20:H21" si="3">+G20*100/F20</f>
        <v>91.662499999999994</v>
      </c>
      <c r="I20" s="323">
        <v>80</v>
      </c>
      <c r="J20" s="323">
        <v>73.33</v>
      </c>
      <c r="K20" s="320">
        <f t="shared" ref="K20:K21" si="4">+J20*100/I20</f>
        <v>91.662499999999994</v>
      </c>
    </row>
    <row r="21" spans="1:12" x14ac:dyDescent="0.2">
      <c r="A21" s="298"/>
      <c r="B21" s="363" t="s">
        <v>268</v>
      </c>
      <c r="C21" s="313">
        <v>76</v>
      </c>
      <c r="D21" s="322">
        <v>81.33</v>
      </c>
      <c r="E21" s="315">
        <f t="shared" si="0"/>
        <v>107.01315789473684</v>
      </c>
      <c r="F21" s="322">
        <v>83.75</v>
      </c>
      <c r="G21" s="322">
        <v>86.25</v>
      </c>
      <c r="H21" s="315">
        <f t="shared" si="3"/>
        <v>102.98507462686567</v>
      </c>
      <c r="I21" s="322">
        <v>83.75</v>
      </c>
      <c r="J21" s="322">
        <v>86.25</v>
      </c>
      <c r="K21" s="315">
        <f t="shared" si="4"/>
        <v>102.98507462686567</v>
      </c>
    </row>
    <row r="22" spans="1:12" x14ac:dyDescent="0.2">
      <c r="D22" s="295"/>
      <c r="E22" s="295"/>
      <c r="F22" s="295"/>
      <c r="G22" s="295"/>
      <c r="H22" s="295"/>
      <c r="I22" s="295"/>
      <c r="J22" s="295"/>
      <c r="K22" s="295"/>
    </row>
    <row r="23" spans="1:12" ht="15.75" x14ac:dyDescent="0.25">
      <c r="A23" s="298"/>
      <c r="B23" s="364" t="s">
        <v>198</v>
      </c>
      <c r="C23" s="359">
        <f>SUM(C24:C32)</f>
        <v>475</v>
      </c>
      <c r="D23" s="359">
        <f>SUM(D24:D32)</f>
        <v>685</v>
      </c>
      <c r="E23" s="360">
        <f t="shared" ref="E23:E32" si="5">+D23*100/C23</f>
        <v>144.21052631578948</v>
      </c>
      <c r="F23" s="361">
        <f>SUM(F24:F32)</f>
        <v>480</v>
      </c>
      <c r="G23" s="361">
        <f>SUM(G24:G32)</f>
        <v>660</v>
      </c>
      <c r="H23" s="360">
        <f t="shared" ref="H23:H32" si="6">+G23*100/F23</f>
        <v>137.5</v>
      </c>
      <c r="I23" s="361">
        <f>SUM(I24:I32)</f>
        <v>480</v>
      </c>
      <c r="J23" s="361">
        <f>SUM(J24:J32)</f>
        <v>634</v>
      </c>
      <c r="K23" s="360">
        <f t="shared" ref="K23:K32" si="7">+J23*100/I23</f>
        <v>132.08333333333334</v>
      </c>
      <c r="L23" s="362">
        <f>+(E23+H23+K23)/3</f>
        <v>137.93128654970761</v>
      </c>
    </row>
    <row r="24" spans="1:12" ht="12.75" customHeight="1" x14ac:dyDescent="0.2">
      <c r="A24" s="298"/>
      <c r="B24" s="443" t="s">
        <v>269</v>
      </c>
      <c r="C24" s="326">
        <v>40</v>
      </c>
      <c r="D24" s="323">
        <v>99</v>
      </c>
      <c r="E24" s="320">
        <f t="shared" si="5"/>
        <v>247.5</v>
      </c>
      <c r="F24" s="323">
        <v>40</v>
      </c>
      <c r="G24" s="323">
        <v>94</v>
      </c>
      <c r="H24" s="320">
        <f t="shared" si="6"/>
        <v>235</v>
      </c>
      <c r="I24" s="323">
        <v>40</v>
      </c>
      <c r="J24" s="323">
        <v>86</v>
      </c>
      <c r="K24" s="320">
        <f t="shared" si="7"/>
        <v>215</v>
      </c>
    </row>
    <row r="25" spans="1:12" x14ac:dyDescent="0.2">
      <c r="A25" s="298"/>
      <c r="B25" s="443"/>
      <c r="C25" s="318">
        <v>80</v>
      </c>
      <c r="D25" s="319">
        <v>83</v>
      </c>
      <c r="E25" s="320">
        <f t="shared" si="5"/>
        <v>103.75</v>
      </c>
      <c r="F25" s="321">
        <v>80</v>
      </c>
      <c r="G25" s="321">
        <v>95</v>
      </c>
      <c r="H25" s="320">
        <f t="shared" si="6"/>
        <v>118.75</v>
      </c>
      <c r="I25" s="321">
        <v>80</v>
      </c>
      <c r="J25" s="321">
        <v>83</v>
      </c>
      <c r="K25" s="320">
        <f t="shared" si="7"/>
        <v>103.75</v>
      </c>
    </row>
    <row r="26" spans="1:12" ht="25.5" x14ac:dyDescent="0.2">
      <c r="A26" s="298"/>
      <c r="B26" s="365" t="s">
        <v>270</v>
      </c>
      <c r="C26" s="313">
        <v>90</v>
      </c>
      <c r="D26" s="322">
        <v>100</v>
      </c>
      <c r="E26" s="315">
        <f t="shared" si="5"/>
        <v>111.11111111111111</v>
      </c>
      <c r="F26" s="322">
        <v>90</v>
      </c>
      <c r="G26" s="322">
        <v>100</v>
      </c>
      <c r="H26" s="315">
        <f t="shared" si="6"/>
        <v>111.11111111111111</v>
      </c>
      <c r="I26" s="322">
        <v>90</v>
      </c>
      <c r="J26" s="322">
        <v>100</v>
      </c>
      <c r="K26" s="315">
        <f t="shared" si="7"/>
        <v>111.11111111111111</v>
      </c>
    </row>
    <row r="27" spans="1:12" x14ac:dyDescent="0.2">
      <c r="A27" s="298"/>
      <c r="B27" s="365" t="s">
        <v>271</v>
      </c>
      <c r="C27" s="318">
        <v>40</v>
      </c>
      <c r="D27" s="319">
        <v>54</v>
      </c>
      <c r="E27" s="320">
        <f t="shared" si="5"/>
        <v>135</v>
      </c>
      <c r="F27" s="321">
        <v>40</v>
      </c>
      <c r="G27" s="321">
        <v>56</v>
      </c>
      <c r="H27" s="320">
        <f t="shared" si="6"/>
        <v>140</v>
      </c>
      <c r="I27" s="321">
        <v>40</v>
      </c>
      <c r="J27" s="321">
        <v>71</v>
      </c>
      <c r="K27" s="320">
        <f t="shared" si="7"/>
        <v>177.5</v>
      </c>
    </row>
    <row r="28" spans="1:12" x14ac:dyDescent="0.2">
      <c r="A28" s="298"/>
      <c r="B28" s="365" t="s">
        <v>272</v>
      </c>
      <c r="C28" s="313">
        <v>10</v>
      </c>
      <c r="D28" s="322">
        <v>54</v>
      </c>
      <c r="E28" s="315">
        <f t="shared" si="5"/>
        <v>540</v>
      </c>
      <c r="F28" s="322">
        <v>25</v>
      </c>
      <c r="G28" s="322">
        <v>26</v>
      </c>
      <c r="H28" s="315">
        <f t="shared" si="6"/>
        <v>104</v>
      </c>
      <c r="I28" s="322">
        <v>25</v>
      </c>
      <c r="J28" s="322">
        <v>26</v>
      </c>
      <c r="K28" s="315">
        <f t="shared" si="7"/>
        <v>104</v>
      </c>
    </row>
    <row r="29" spans="1:12" x14ac:dyDescent="0.2">
      <c r="A29" s="298"/>
      <c r="B29" s="365" t="s">
        <v>273</v>
      </c>
      <c r="C29" s="318">
        <v>5</v>
      </c>
      <c r="D29" s="319">
        <v>7</v>
      </c>
      <c r="E29" s="320">
        <f t="shared" si="5"/>
        <v>140</v>
      </c>
      <c r="F29" s="321">
        <v>5</v>
      </c>
      <c r="G29" s="321">
        <v>6</v>
      </c>
      <c r="H29" s="320">
        <f t="shared" si="6"/>
        <v>120</v>
      </c>
      <c r="I29" s="321">
        <v>5</v>
      </c>
      <c r="J29" s="321">
        <v>5</v>
      </c>
      <c r="K29" s="320">
        <f t="shared" si="7"/>
        <v>100</v>
      </c>
    </row>
    <row r="30" spans="1:12" x14ac:dyDescent="0.2">
      <c r="A30" s="298"/>
      <c r="B30" s="365" t="s">
        <v>274</v>
      </c>
      <c r="C30" s="313">
        <v>80</v>
      </c>
      <c r="D30" s="322">
        <v>100</v>
      </c>
      <c r="E30" s="315">
        <f t="shared" si="5"/>
        <v>125</v>
      </c>
      <c r="F30" s="322">
        <v>80</v>
      </c>
      <c r="G30" s="322">
        <v>100</v>
      </c>
      <c r="H30" s="315">
        <f t="shared" si="6"/>
        <v>125</v>
      </c>
      <c r="I30" s="322">
        <v>80</v>
      </c>
      <c r="J30" s="322">
        <v>100</v>
      </c>
      <c r="K30" s="315">
        <f t="shared" si="7"/>
        <v>125</v>
      </c>
    </row>
    <row r="31" spans="1:12" x14ac:dyDescent="0.2">
      <c r="A31" s="298"/>
      <c r="B31" s="365" t="s">
        <v>275</v>
      </c>
      <c r="C31" s="318">
        <v>40</v>
      </c>
      <c r="D31" s="319">
        <v>92</v>
      </c>
      <c r="E31" s="320">
        <f t="shared" si="5"/>
        <v>230</v>
      </c>
      <c r="F31" s="321">
        <v>40</v>
      </c>
      <c r="G31" s="321">
        <v>100</v>
      </c>
      <c r="H31" s="320">
        <f t="shared" si="6"/>
        <v>250</v>
      </c>
      <c r="I31" s="321">
        <v>40</v>
      </c>
      <c r="J31" s="321">
        <v>74</v>
      </c>
      <c r="K31" s="320">
        <f t="shared" si="7"/>
        <v>185</v>
      </c>
    </row>
    <row r="32" spans="1:12" x14ac:dyDescent="0.2">
      <c r="A32" s="298"/>
      <c r="B32" s="365" t="s">
        <v>276</v>
      </c>
      <c r="C32" s="313">
        <v>90</v>
      </c>
      <c r="D32" s="322">
        <v>96</v>
      </c>
      <c r="E32" s="315">
        <f t="shared" si="5"/>
        <v>106.66666666666667</v>
      </c>
      <c r="F32" s="322">
        <v>80</v>
      </c>
      <c r="G32" s="322">
        <v>83</v>
      </c>
      <c r="H32" s="315">
        <f t="shared" si="6"/>
        <v>103.75</v>
      </c>
      <c r="I32" s="322">
        <v>80</v>
      </c>
      <c r="J32" s="322">
        <v>89</v>
      </c>
      <c r="K32" s="315">
        <f t="shared" si="7"/>
        <v>111.25</v>
      </c>
    </row>
  </sheetData>
  <sheetProtection selectLockedCells="1" selectUnlockedCells="1"/>
  <mergeCells count="9">
    <mergeCell ref="B18:B19"/>
    <mergeCell ref="B24:B25"/>
    <mergeCell ref="B7:L7"/>
    <mergeCell ref="B8:L8"/>
    <mergeCell ref="B10:B11"/>
    <mergeCell ref="C10:E10"/>
    <mergeCell ref="F10:H10"/>
    <mergeCell ref="I10:K10"/>
    <mergeCell ref="L10:L11"/>
  </mergeCells>
  <pageMargins left="0.57013888888888886" right="0.45" top="0.4597222222222222" bottom="0.67986111111111114" header="0.51180555555555551" footer="0.51180555555555551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10601</vt:lpstr>
      <vt:lpstr>10602 </vt:lpstr>
      <vt:lpstr>10610</vt:lpstr>
      <vt:lpstr>50603</vt:lpstr>
      <vt:lpstr>50604</vt:lpstr>
      <vt:lpstr>ZONA SUR E INTELIGENCIA FISCAL</vt:lpstr>
      <vt:lpstr>'10601'!Área_de_impresión</vt:lpstr>
      <vt:lpstr>'10602 '!Área_de_impresión</vt:lpstr>
      <vt:lpstr>'10610'!Área_de_impresión</vt:lpstr>
      <vt:lpstr>'50603'!Área_de_impresión</vt:lpstr>
      <vt:lpstr>'50604'!Área_de_impresión</vt:lpstr>
      <vt:lpstr>'ZONA SUR E INTELIGENCIA FISCAL'!Área_de_impresión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2016-11-11T11:37:59Z</cp:lastPrinted>
  <dcterms:created xsi:type="dcterms:W3CDTF">2005-11-28T14:59:09Z</dcterms:created>
  <dcterms:modified xsi:type="dcterms:W3CDTF">2016-11-15T17:48:45Z</dcterms:modified>
</cp:coreProperties>
</file>