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5640" activeTab="0"/>
  </bookViews>
  <sheets>
    <sheet name="anexo 5" sheetId="1" r:id="rId1"/>
    <sheet name="anexo XII" sheetId="2" r:id="rId2"/>
    <sheet name="anexo 16" sheetId="3" r:id="rId3"/>
  </sheets>
  <definedNames>
    <definedName name="_xlnm.Print_Area" localSheetId="2">'anexo 16'!$A$1:$K$57</definedName>
    <definedName name="_xlnm.Print_Area" localSheetId="0">'anexo 5'!$A$1:$I$64</definedName>
    <definedName name="_xlnm.Print_Area" localSheetId="1">'anexo XII'!$A$1:$V$60</definedName>
  </definedNames>
  <calcPr fullCalcOnLoad="1"/>
</workbook>
</file>

<file path=xl/sharedStrings.xml><?xml version="1.0" encoding="utf-8"?>
<sst xmlns="http://schemas.openxmlformats.org/spreadsheetml/2006/main" count="431" uniqueCount="209">
  <si>
    <t>ANEXO 5: EVOLUCION DE LA DEUDA PUBLICA CONSOLIDADA ACUMULADA AL FIN DEL TRIMESTRE</t>
  </si>
  <si>
    <t>REPARTICION / ORGANISMO:  Contaduría General de la Provincia</t>
  </si>
  <si>
    <t>NOMENCLADOR</t>
  </si>
  <si>
    <t>EJERCICIO:   2.007</t>
  </si>
  <si>
    <t>TRIMESTRE:</t>
  </si>
  <si>
    <t>CONCEPTO</t>
  </si>
  <si>
    <t>SALDO AL INICIO DEL</t>
  </si>
  <si>
    <t xml:space="preserve">PAGOS REALIZADOS EN  </t>
  </si>
  <si>
    <t xml:space="preserve">DEUDA CONTRAIDA EN  </t>
  </si>
  <si>
    <t>SALDO AL FINAL</t>
  </si>
  <si>
    <t>NORMA LEGAL</t>
  </si>
  <si>
    <t>TIPO DE ENTIDAD ACREEDORA</t>
  </si>
  <si>
    <t>TRIMESTRE</t>
  </si>
  <si>
    <t>EL TRIMESTRE</t>
  </si>
  <si>
    <t>DEL TRIMESTRE</t>
  </si>
  <si>
    <t>TIPO</t>
  </si>
  <si>
    <t>NUMERO</t>
  </si>
  <si>
    <t>En Moneda Nacional ( en pesos)</t>
  </si>
  <si>
    <t>Carácter 01 - Administración Central</t>
  </si>
  <si>
    <t xml:space="preserve"> </t>
  </si>
  <si>
    <t>Deuda con S.V.O.A. (Fonavi)</t>
  </si>
  <si>
    <t>Decreto</t>
  </si>
  <si>
    <t>3033/89</t>
  </si>
  <si>
    <t>Gobierno Nacional</t>
  </si>
  <si>
    <t>Deuda por bono saneamiento financiero provincial</t>
  </si>
  <si>
    <t>Ley</t>
  </si>
  <si>
    <t>Bonos Consolidación $ - Ley 5812 - Capital</t>
  </si>
  <si>
    <t>Títulos Provinciales</t>
  </si>
  <si>
    <t>Bonos Consolidación $ - Ley 5812 - Intereses capitaliz -</t>
  </si>
  <si>
    <t>Anses por régimen policial y penitenciario</t>
  </si>
  <si>
    <t>109/96</t>
  </si>
  <si>
    <t>Sistema Integrado Jubilaciones y Pensiones ( Régimen Gral.)</t>
  </si>
  <si>
    <t>Deuda con la Nación por Lecop - Ley 6944</t>
  </si>
  <si>
    <t>Títulos Nacionales</t>
  </si>
  <si>
    <t>Fondo Fiduciario p/ desarrollo pcial.</t>
  </si>
  <si>
    <t>1915/02</t>
  </si>
  <si>
    <t>Fondo Fiduciario de Obras Publicas - Ley 6623</t>
  </si>
  <si>
    <t>Otros Préstamos</t>
  </si>
  <si>
    <t>Bonos consolidación U$S - Ley 5812 - Capital original</t>
  </si>
  <si>
    <t>Bonos consolidación U$S Ley 5812 Int.capitalizados</t>
  </si>
  <si>
    <t>F.F.D.P.- Conversión deuda Pca. Ley 7140</t>
  </si>
  <si>
    <t>1218/05</t>
  </si>
  <si>
    <t>F.F.D.P. - Doble Via - Ley 6834</t>
  </si>
  <si>
    <t>F.F.D.P. - calle P. Segura - Ley 7219</t>
  </si>
  <si>
    <t>1504/05</t>
  </si>
  <si>
    <t>Deuda con FFDP., decreto 1689/05</t>
  </si>
  <si>
    <t>1685/05</t>
  </si>
  <si>
    <t>Deuda con F.F.D.P.-Canje Municipalidades, Dec. 1445</t>
  </si>
  <si>
    <t>1445/04</t>
  </si>
  <si>
    <t>Deuda Ley 7477, Presentismo Jubilados</t>
  </si>
  <si>
    <t xml:space="preserve">Ley </t>
  </si>
  <si>
    <t>F.F.D.P. - Ruta Prov. 89 - Ley 7219</t>
  </si>
  <si>
    <t>DEUDA BID 206 FONAVI 14 ESCUELAS DGE</t>
  </si>
  <si>
    <t>BID</t>
  </si>
  <si>
    <t>DEUDA FFDP,PAF 2006-DEC.2277/06</t>
  </si>
  <si>
    <t>2277/06</t>
  </si>
  <si>
    <t>PFO 2004 DEC.2164/06</t>
  </si>
  <si>
    <t>F.T.C. DEUDA DECRETO 2392/06</t>
  </si>
  <si>
    <t>2392/06</t>
  </si>
  <si>
    <t>Deuda c/ Bco. de Comercio Exterior (BICE)</t>
  </si>
  <si>
    <t xml:space="preserve">Decreto </t>
  </si>
  <si>
    <t>2060/06</t>
  </si>
  <si>
    <t>BICE</t>
  </si>
  <si>
    <t>Carácter 02 - Dir. Provincial de Vialidad</t>
  </si>
  <si>
    <t>Deuda con Unidad Ejecutora Provincial</t>
  </si>
  <si>
    <t>Ley - Decreto</t>
  </si>
  <si>
    <t>5626-1219/97</t>
  </si>
  <si>
    <t>Carácter 03 - Unidad de Financiamiento Internacional</t>
  </si>
  <si>
    <t>Fondo de Transformación y Crecimiento</t>
  </si>
  <si>
    <t>Fondo de Transf. y Crecimiento ( PROSAP)</t>
  </si>
  <si>
    <t>En Moneda Extranjera ( En dólares)</t>
  </si>
  <si>
    <t>Ley 6482-Credit.Suisse,Boston I, Group y Bco. Rio</t>
  </si>
  <si>
    <t>Bco. Internacional de Reconstrucción y Fomento (BIRF)</t>
  </si>
  <si>
    <t>BIRF</t>
  </si>
  <si>
    <t>Deuda Bonos Mendoza 18</t>
  </si>
  <si>
    <t>Deuda BID 845-PRISE-DGE</t>
  </si>
  <si>
    <t>DEUDA BIRF AR/3794-PRODYMES-DGE</t>
  </si>
  <si>
    <t>DEUDA ENHOSA-BID III- MRIO. OBRAS</t>
  </si>
  <si>
    <t>DEUDA CON Helibras por compra Helicopteros- Dec. 1247/05</t>
  </si>
  <si>
    <t>1247/05</t>
  </si>
  <si>
    <t>Préstamos B.I.D. - Operatoria 619</t>
  </si>
  <si>
    <t>Préstamo B.I.R.F. - Operatoria 3280</t>
  </si>
  <si>
    <t>Préstamo B.I.D. - Operatoria 899 (PROSAP)</t>
  </si>
  <si>
    <t>Préstamos B.I.R.F. - Operatoria 4150 (PROSAP)</t>
  </si>
  <si>
    <t>Préstamo B.I.D. - Operatoria  830 y 932 (MUNICIPIOS)</t>
  </si>
  <si>
    <t>Préstamo B.I.R.F. - Operatoria 3860( MUNICIPIOS)</t>
  </si>
  <si>
    <t>Préstamo B.I.R.F.- Operatoria 3877 (PDP)</t>
  </si>
  <si>
    <t xml:space="preserve">Préstamo BID Operatoria 1640 Prog.Desarr.Prod. Y Compet. de Mza. </t>
  </si>
  <si>
    <t>Préstamo Programa de Mejoramiento Barrial</t>
  </si>
  <si>
    <t>TOTALES</t>
  </si>
  <si>
    <t>EJERCICIO 2007/ 1er. Trimestre</t>
  </si>
  <si>
    <t>ANEXO XII DEUDA PUBLICA CONSOLIDADA (Acuerdo Nº 2988, texto ordenado según Acuerdo Nº 3062)</t>
  </si>
  <si>
    <t>SALDO AL INICIO</t>
  </si>
  <si>
    <t>PAGOS REALIZADOS EN EL EJERCICIO</t>
  </si>
  <si>
    <t>DEUDAS CONTRAIDAS EN EL EJ.</t>
  </si>
  <si>
    <t>RENEGOCIACION DEUDA</t>
  </si>
  <si>
    <t>AJUSTE DEUDA</t>
  </si>
  <si>
    <t xml:space="preserve">                           SALDO FINAL</t>
  </si>
  <si>
    <t xml:space="preserve">Capital </t>
  </si>
  <si>
    <t>Intereses Pactados</t>
  </si>
  <si>
    <t>Total Deuda</t>
  </si>
  <si>
    <t>Amort.Deuda Devengada</t>
  </si>
  <si>
    <t>Amort.Deuda Pagada</t>
  </si>
  <si>
    <t>Intereses Devengados</t>
  </si>
  <si>
    <t>Intereses Pagados</t>
  </si>
  <si>
    <t>Amort. Ajuste Deuda Devengada</t>
  </si>
  <si>
    <t>Amort. Ajuste Deuda Pagada</t>
  </si>
  <si>
    <t>Total Pagos</t>
  </si>
  <si>
    <t xml:space="preserve">Total Deuda </t>
  </si>
  <si>
    <t>Capital</t>
  </si>
  <si>
    <t xml:space="preserve">Intereses Pactados </t>
  </si>
  <si>
    <t>Total</t>
  </si>
  <si>
    <t>D</t>
  </si>
  <si>
    <t>H</t>
  </si>
  <si>
    <t>Int. Pactados</t>
  </si>
  <si>
    <t>Carácter 1 - Administración Central</t>
  </si>
  <si>
    <t xml:space="preserve">En moneda nacional </t>
  </si>
  <si>
    <t>Sistema Integrado Jubilaciones y Pensiones ( Régimen General)</t>
  </si>
  <si>
    <t>Fondo Fiduciario p/desarrollo Pcial.</t>
  </si>
  <si>
    <t>Deuda con F.F.D.P.- Canje Municipalidades, Decreto 1445/04</t>
  </si>
  <si>
    <t>DEUDA BID 206 FONAVI 14 ESCUELAS - DGE</t>
  </si>
  <si>
    <t>DEUDA FFDP,PAF 2006-D EC.2277/06</t>
  </si>
  <si>
    <t>PFO2004 DEC.2164/06</t>
  </si>
  <si>
    <t>F.T.C. DEUDA DECRETO2392/06</t>
  </si>
  <si>
    <t>Deuda c/Bco. de Inversión y Comercio Exterior (BICE)</t>
  </si>
  <si>
    <t>En moneda extranjera</t>
  </si>
  <si>
    <t>Ley 6482-Credit Suisse F.Boston, Boston I.Group y Bco.Río</t>
  </si>
  <si>
    <t>Banco Internacional de reconstrucción y fomento (BIRF)</t>
  </si>
  <si>
    <t>DEUDA BIRF AR/3794 - PRODYMES - DGE</t>
  </si>
  <si>
    <t>DEUDA ENOHSA - BID III - MRIO. OBRAS</t>
  </si>
  <si>
    <t>DEUDA con Helibras por compra Helicópteros-Dec.1247/05</t>
  </si>
  <si>
    <t>Carácter 2 - Dir. Provincial de Vialidad</t>
  </si>
  <si>
    <t xml:space="preserve">Deuda con Unidad Ejecutora Provincial </t>
  </si>
  <si>
    <t>Carácter 3 - Unidad de Financiam. Inter.</t>
  </si>
  <si>
    <t xml:space="preserve">Fondo de Transformación y Crecimiento </t>
  </si>
  <si>
    <t xml:space="preserve">Fondo de Transformación y Crecimiento ( P.R.O.S.A.P) </t>
  </si>
  <si>
    <t xml:space="preserve">Préstamos B.I.D - Operatoria 619 </t>
  </si>
  <si>
    <t xml:space="preserve">Préstamos B.I.R.F.- Operatoria 3280 </t>
  </si>
  <si>
    <t xml:space="preserve">Préstamos B.I.D. - Operatoria 899 (PROSAP) </t>
  </si>
  <si>
    <t xml:space="preserve">Préstamos B.I.R.F.- Operatoria 4150 (PROSAP) </t>
  </si>
  <si>
    <t xml:space="preserve">Présatmo B.I.D.- Operatoria 830 y 932 ( MUNICIPIIOS) </t>
  </si>
  <si>
    <t xml:space="preserve">Préstamo B.I.R.F. - Operatoria 3860 (MUNICIPIOS) </t>
  </si>
  <si>
    <t>Préstamo B.I.R.F. - Operatoria 3877 (PDP)</t>
  </si>
  <si>
    <t>T.D.Consolidada</t>
  </si>
  <si>
    <t>NOMENCLADOR:</t>
  </si>
  <si>
    <t>EJERCICIO:  2007</t>
  </si>
  <si>
    <t>TIPO ENTIDAD ACREEDORA</t>
  </si>
  <si>
    <t>MONEDA</t>
  </si>
  <si>
    <t>MONTO TOTAL</t>
  </si>
  <si>
    <t>GARANTIAS</t>
  </si>
  <si>
    <t>FECHA DE LA</t>
  </si>
  <si>
    <t>TASA</t>
  </si>
  <si>
    <t>PLAZO</t>
  </si>
  <si>
    <t xml:space="preserve">DE LA DEUDA en </t>
  </si>
  <si>
    <t>OPERACIÓN</t>
  </si>
  <si>
    <t>En meses</t>
  </si>
  <si>
    <t>En cuotas</t>
  </si>
  <si>
    <t>miles de $</t>
  </si>
  <si>
    <t>Gracia</t>
  </si>
  <si>
    <t>Amort.</t>
  </si>
  <si>
    <t xml:space="preserve">Cant. </t>
  </si>
  <si>
    <t>Período</t>
  </si>
  <si>
    <t>Pesos</t>
  </si>
  <si>
    <t>Sin Gtía.</t>
  </si>
  <si>
    <t>Mensual</t>
  </si>
  <si>
    <t>Timestral</t>
  </si>
  <si>
    <t>Cop. Federal</t>
  </si>
  <si>
    <t>F.F.D.P.-Conversión Deuda Pública Ley 7140</t>
  </si>
  <si>
    <t>F.F.D.P.- Doble Vía  Ley 6834</t>
  </si>
  <si>
    <t>7/0,25//3/0,75</t>
  </si>
  <si>
    <t>53/0,25//117/0,75</t>
  </si>
  <si>
    <t>60/0,25//120/0,75</t>
  </si>
  <si>
    <t>F.F.D.P.-calle Pedro Pascual Segura</t>
  </si>
  <si>
    <t>Deuda con F.F.D.P. Decreto 1689/05</t>
  </si>
  <si>
    <t>mensual</t>
  </si>
  <si>
    <t>F.F.D.P. -Canje Municipalidades, Dec.1445</t>
  </si>
  <si>
    <t>F.F.D.P.-Ruta Provincial 89</t>
  </si>
  <si>
    <t>PFO 2004 DEC. 2164/06</t>
  </si>
  <si>
    <t>F.T.C.DEUDA DECRETO 2392/06</t>
  </si>
  <si>
    <t>50% TNA</t>
  </si>
  <si>
    <t>Semestral</t>
  </si>
  <si>
    <t>Organismos Internacionales</t>
  </si>
  <si>
    <t>1.1 B.I.D.</t>
  </si>
  <si>
    <t>Dólar</t>
  </si>
  <si>
    <t>Cop. Fed.</t>
  </si>
  <si>
    <t>Libor 180+3</t>
  </si>
  <si>
    <t xml:space="preserve">Préstamo B.I.D. - Operatoria  830 y 932 (MUNICIPIOS) </t>
  </si>
  <si>
    <t>Trimestral</t>
  </si>
  <si>
    <t>1.2 B.I.R.F</t>
  </si>
  <si>
    <t>Préstamo B.I.D. - Operatoria 3280</t>
  </si>
  <si>
    <t>Péstamo B.I.R.F. - Operatoria 3860( MUNICIPIOS)</t>
  </si>
  <si>
    <t>1.3 B.I.D.</t>
  </si>
  <si>
    <t>Deuda c/Bco. de Comercio Exterior (BICE)</t>
  </si>
  <si>
    <t>Bonos Consolidación  Ley 5812 - Pesos</t>
  </si>
  <si>
    <t>marzo-1997</t>
  </si>
  <si>
    <t>Bonos Consolidación Ley 5812- Dólares</t>
  </si>
  <si>
    <t>abril-1997</t>
  </si>
  <si>
    <t>Unica</t>
  </si>
  <si>
    <t>Deuda con Helibras por compra de helicópteros - Dec.1247/05</t>
  </si>
  <si>
    <t xml:space="preserve">Títulos Nacionales </t>
  </si>
  <si>
    <t>Sin interes</t>
  </si>
  <si>
    <t>Entidades bancarias y financieras</t>
  </si>
  <si>
    <t>VARIACIÓN EN EL TRIMESTRE POR RENEGOCIACIÓN DE LA DEUDA</t>
  </si>
  <si>
    <t>F.T.C.Deuda ley 7324 art.89 y Dec. 1631/05 **</t>
  </si>
  <si>
    <t>** Se realizó ajuste en el 2do. Trimestre</t>
  </si>
  <si>
    <t>** Se realizó ajuste en el 2 trimestre.</t>
  </si>
  <si>
    <t>ACUERDO Nº 3949</t>
  </si>
  <si>
    <t>ANEXO 16: CONDICIONES DE LA DEUDA PÚBLICA CONSOLIDADA AL FINAL DEL TRIMESTRE</t>
  </si>
  <si>
    <t>REPARTICION / ORGANISMO: Consolidado Administración Pública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</si>
</sst>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5" xfId="0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7" fillId="0" borderId="21" xfId="0" applyFon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4" fontId="1" fillId="0" borderId="26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NumberFormat="1" applyFont="1" applyBorder="1" applyAlignment="1">
      <alignment horizontal="centerContinuous"/>
    </xf>
    <xf numFmtId="0" fontId="7" fillId="0" borderId="19" xfId="0" applyNumberFormat="1" applyFont="1" applyBorder="1" applyAlignment="1">
      <alignment horizontal="centerContinuous"/>
    </xf>
    <xf numFmtId="0" fontId="7" fillId="0" borderId="24" xfId="0" applyNumberFormat="1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17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22" xfId="0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11" fillId="0" borderId="21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4" fontId="9" fillId="0" borderId="30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17" fontId="0" fillId="0" borderId="19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7" fillId="0" borderId="21" xfId="0" applyFont="1" applyFill="1" applyBorder="1" applyAlignment="1" quotePrefix="1">
      <alignment horizontal="left"/>
    </xf>
    <xf numFmtId="0" fontId="12" fillId="0" borderId="19" xfId="0" applyFont="1" applyBorder="1" applyAlignment="1" quotePrefix="1">
      <alignment horizontal="left"/>
    </xf>
    <xf numFmtId="0" fontId="12" fillId="0" borderId="19" xfId="0" applyFont="1" applyBorder="1" applyAlignment="1">
      <alignment/>
    </xf>
    <xf numFmtId="0" fontId="7" fillId="0" borderId="21" xfId="0" applyFont="1" applyFill="1" applyBorder="1" applyAlignment="1">
      <alignment horizontal="left"/>
    </xf>
    <xf numFmtId="10" fontId="0" fillId="0" borderId="19" xfId="0" applyNumberFormat="1" applyFill="1" applyBorder="1" applyAlignment="1">
      <alignment/>
    </xf>
    <xf numFmtId="0" fontId="0" fillId="0" borderId="19" xfId="0" applyBorder="1" applyAlignment="1">
      <alignment horizontal="right"/>
    </xf>
    <xf numFmtId="0" fontId="13" fillId="0" borderId="21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9" fontId="12" fillId="0" borderId="19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10" fontId="0" fillId="0" borderId="19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8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19050</xdr:rowOff>
    </xdr:from>
    <xdr:to>
      <xdr:col>6</xdr:col>
      <xdr:colOff>257175</xdr:colOff>
      <xdr:row>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801225" y="9334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X
X</a:t>
          </a:r>
        </a:p>
      </xdr:txBody>
    </xdr:sp>
    <xdr:clientData/>
  </xdr:twoCellAnchor>
  <xdr:twoCellAnchor>
    <xdr:from>
      <xdr:col>6</xdr:col>
      <xdr:colOff>409575</xdr:colOff>
      <xdr:row>5</xdr:row>
      <xdr:rowOff>28575</xdr:rowOff>
    </xdr:from>
    <xdr:to>
      <xdr:col>6</xdr:col>
      <xdr:colOff>657225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0210800" y="942975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28575</xdr:rowOff>
    </xdr:from>
    <xdr:to>
      <xdr:col>7</xdr:col>
      <xdr:colOff>314325</xdr:colOff>
      <xdr:row>5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0610850" y="94297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5</xdr:row>
      <xdr:rowOff>19050</xdr:rowOff>
    </xdr:from>
    <xdr:to>
      <xdr:col>7</xdr:col>
      <xdr:colOff>704850</xdr:colOff>
      <xdr:row>5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11010900" y="933450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19050</xdr:rowOff>
    </xdr:from>
    <xdr:to>
      <xdr:col>4</xdr:col>
      <xdr:colOff>600075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905500" y="876300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
X</a:t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219075</xdr:colOff>
      <xdr:row>5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6276975" y="86677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9525</xdr:rowOff>
    </xdr:from>
    <xdr:to>
      <xdr:col>5</xdr:col>
      <xdr:colOff>600075</xdr:colOff>
      <xdr:row>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648450" y="866775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0</xdr:rowOff>
    </xdr:from>
    <xdr:to>
      <xdr:col>6</xdr:col>
      <xdr:colOff>228600</xdr:colOff>
      <xdr:row>5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7048500" y="8572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7.57421875" style="0" customWidth="1"/>
    <col min="2" max="2" width="19.421875" style="0" customWidth="1"/>
    <col min="3" max="3" width="20.7109375" style="0" customWidth="1"/>
    <col min="4" max="4" width="19.421875" style="0" customWidth="1"/>
    <col min="5" max="5" width="22.8515625" style="0" customWidth="1"/>
    <col min="6" max="6" width="17.00390625" style="0" customWidth="1"/>
    <col min="9" max="9" width="17.00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5.75">
      <c r="A2" s="4" t="s">
        <v>0</v>
      </c>
      <c r="B2" s="5"/>
      <c r="C2" s="5"/>
      <c r="D2" s="5"/>
      <c r="E2" s="5"/>
      <c r="F2" s="6"/>
      <c r="G2" s="7"/>
      <c r="H2" s="7"/>
      <c r="I2" s="8"/>
    </row>
    <row r="3" spans="1:9" ht="12.75">
      <c r="A3" s="9"/>
      <c r="B3" s="7"/>
      <c r="C3" s="7"/>
      <c r="D3" s="7"/>
      <c r="E3" s="7"/>
      <c r="F3" s="7"/>
      <c r="G3" s="7"/>
      <c r="H3" s="7"/>
      <c r="I3" s="8"/>
    </row>
    <row r="4" spans="1:9" ht="15.75">
      <c r="A4" s="10" t="s">
        <v>1</v>
      </c>
      <c r="B4" s="11"/>
      <c r="C4" s="11"/>
      <c r="D4" s="11"/>
      <c r="E4" s="11"/>
      <c r="F4" s="11"/>
      <c r="G4" s="12" t="s">
        <v>2</v>
      </c>
      <c r="H4" s="13"/>
      <c r="I4" s="14"/>
    </row>
    <row r="5" spans="1:9" ht="15">
      <c r="A5" s="15"/>
      <c r="B5" s="16"/>
      <c r="C5" s="16"/>
      <c r="D5" s="16"/>
      <c r="E5" s="16"/>
      <c r="F5" s="16"/>
      <c r="G5" s="7"/>
      <c r="H5" s="7"/>
      <c r="I5" s="8"/>
    </row>
    <row r="6" spans="1:9" ht="15.75">
      <c r="A6" s="17" t="s">
        <v>3</v>
      </c>
      <c r="B6" s="18"/>
      <c r="C6" s="18"/>
      <c r="D6" s="18"/>
      <c r="E6" s="18"/>
      <c r="F6" s="19" t="s">
        <v>4</v>
      </c>
      <c r="G6" s="20"/>
      <c r="H6" s="20"/>
      <c r="I6" s="21"/>
    </row>
    <row r="7" spans="1:9" ht="12.75">
      <c r="A7" s="9"/>
      <c r="B7" s="7"/>
      <c r="C7" s="7"/>
      <c r="D7" s="7"/>
      <c r="E7" s="7"/>
      <c r="F7" s="7"/>
      <c r="G7" s="7"/>
      <c r="H7" s="7"/>
      <c r="I7" s="8"/>
    </row>
    <row r="8" spans="1:9" ht="12.75">
      <c r="A8" s="22" t="s">
        <v>5</v>
      </c>
      <c r="B8" s="23" t="s">
        <v>6</v>
      </c>
      <c r="C8" s="24" t="s">
        <v>7</v>
      </c>
      <c r="D8" s="24" t="s">
        <v>8</v>
      </c>
      <c r="E8" s="171" t="s">
        <v>202</v>
      </c>
      <c r="F8" s="25" t="s">
        <v>9</v>
      </c>
      <c r="G8" s="167" t="s">
        <v>10</v>
      </c>
      <c r="H8" s="168"/>
      <c r="I8" s="169" t="s">
        <v>11</v>
      </c>
    </row>
    <row r="9" spans="1:9" ht="20.25" customHeight="1">
      <c r="A9" s="26"/>
      <c r="B9" s="27" t="s">
        <v>12</v>
      </c>
      <c r="C9" s="28" t="s">
        <v>13</v>
      </c>
      <c r="D9" s="28" t="s">
        <v>13</v>
      </c>
      <c r="E9" s="172"/>
      <c r="F9" s="29" t="s">
        <v>14</v>
      </c>
      <c r="G9" s="30" t="s">
        <v>15</v>
      </c>
      <c r="H9" s="31" t="s">
        <v>16</v>
      </c>
      <c r="I9" s="170"/>
    </row>
    <row r="10" spans="1:9" ht="15.75">
      <c r="A10" s="32" t="s">
        <v>17</v>
      </c>
      <c r="B10" s="33">
        <f>+B11+B36+B39</f>
        <v>2013808502.7999997</v>
      </c>
      <c r="C10" s="33">
        <f>+C11+C36+C39</f>
        <v>65428636.989999995</v>
      </c>
      <c r="D10" s="33">
        <f>+D11+D36+D39</f>
        <v>6325201.09</v>
      </c>
      <c r="E10" s="33">
        <v>0</v>
      </c>
      <c r="F10" s="33">
        <f>+F11+F36+F39</f>
        <v>1954705066.8999996</v>
      </c>
      <c r="G10" s="34"/>
      <c r="H10" s="34"/>
      <c r="I10" s="35"/>
    </row>
    <row r="11" spans="1:9" ht="12.75">
      <c r="A11" s="36" t="s">
        <v>18</v>
      </c>
      <c r="B11" s="37">
        <f>SUM(B12:B35)</f>
        <v>1997636443.9499998</v>
      </c>
      <c r="C11" s="37">
        <f>SUM(C12:C35)</f>
        <v>65428636.989999995</v>
      </c>
      <c r="D11" s="37">
        <f>SUM(D12:D35)</f>
        <v>6325201.09</v>
      </c>
      <c r="E11" s="37">
        <v>0</v>
      </c>
      <c r="F11" s="37">
        <f>SUM(F12:F35)</f>
        <v>1938533008.0499997</v>
      </c>
      <c r="G11" s="38"/>
      <c r="H11" s="38" t="s">
        <v>19</v>
      </c>
      <c r="I11" s="39"/>
    </row>
    <row r="12" spans="1:9" ht="12.75">
      <c r="A12" s="40" t="s">
        <v>20</v>
      </c>
      <c r="B12" s="41">
        <v>22400.06</v>
      </c>
      <c r="C12" s="41">
        <v>0</v>
      </c>
      <c r="D12" s="41">
        <v>0</v>
      </c>
      <c r="E12" s="41">
        <v>0</v>
      </c>
      <c r="F12" s="41">
        <f>+B12-C12+D12</f>
        <v>22400.06</v>
      </c>
      <c r="G12" s="42" t="s">
        <v>21</v>
      </c>
      <c r="H12" s="42" t="s">
        <v>22</v>
      </c>
      <c r="I12" s="43" t="s">
        <v>23</v>
      </c>
    </row>
    <row r="13" spans="1:9" ht="12.75">
      <c r="A13" s="40" t="s">
        <v>24</v>
      </c>
      <c r="B13" s="41">
        <v>12540</v>
      </c>
      <c r="C13" s="41">
        <v>0</v>
      </c>
      <c r="D13" s="41">
        <v>0</v>
      </c>
      <c r="E13" s="41">
        <v>0</v>
      </c>
      <c r="F13" s="41">
        <f aca="true" t="shared" si="0" ref="F13:F35">+B13-C13+D13</f>
        <v>12540</v>
      </c>
      <c r="G13" s="42" t="s">
        <v>25</v>
      </c>
      <c r="H13" s="42">
        <v>23658</v>
      </c>
      <c r="I13" s="43" t="s">
        <v>23</v>
      </c>
    </row>
    <row r="14" spans="1:9" ht="12.75">
      <c r="A14" s="40" t="s">
        <v>26</v>
      </c>
      <c r="B14" s="41">
        <v>18739.17</v>
      </c>
      <c r="C14" s="41">
        <v>18739.17</v>
      </c>
      <c r="D14" s="41">
        <v>0</v>
      </c>
      <c r="E14" s="41">
        <v>0</v>
      </c>
      <c r="F14" s="41">
        <f t="shared" si="0"/>
        <v>0</v>
      </c>
      <c r="G14" s="42" t="s">
        <v>25</v>
      </c>
      <c r="H14" s="42">
        <v>5812</v>
      </c>
      <c r="I14" s="43" t="s">
        <v>27</v>
      </c>
    </row>
    <row r="15" spans="1:9" ht="12.75">
      <c r="A15" s="40" t="s">
        <v>28</v>
      </c>
      <c r="B15" s="41">
        <v>7160.43</v>
      </c>
      <c r="C15" s="41">
        <v>7160.43</v>
      </c>
      <c r="D15" s="41">
        <v>0</v>
      </c>
      <c r="E15" s="41">
        <v>0</v>
      </c>
      <c r="F15" s="41">
        <f t="shared" si="0"/>
        <v>0</v>
      </c>
      <c r="G15" s="42" t="s">
        <v>25</v>
      </c>
      <c r="H15" s="42">
        <v>5812</v>
      </c>
      <c r="I15" s="43" t="s">
        <v>27</v>
      </c>
    </row>
    <row r="16" spans="1:9" ht="12.75">
      <c r="A16" s="40" t="s">
        <v>29</v>
      </c>
      <c r="B16" s="41">
        <v>61161506.71</v>
      </c>
      <c r="C16" s="41">
        <v>0</v>
      </c>
      <c r="D16" s="41">
        <v>0</v>
      </c>
      <c r="E16" s="41">
        <v>0</v>
      </c>
      <c r="F16" s="41">
        <f t="shared" si="0"/>
        <v>61161506.71</v>
      </c>
      <c r="G16" s="42" t="s">
        <v>21</v>
      </c>
      <c r="H16" s="42" t="s">
        <v>30</v>
      </c>
      <c r="I16" s="43" t="s">
        <v>23</v>
      </c>
    </row>
    <row r="17" spans="1:9" ht="12.75">
      <c r="A17" s="40" t="s">
        <v>31</v>
      </c>
      <c r="B17" s="41">
        <v>4402624.17</v>
      </c>
      <c r="C17" s="41">
        <v>0</v>
      </c>
      <c r="D17" s="41">
        <v>0</v>
      </c>
      <c r="E17" s="41">
        <v>0</v>
      </c>
      <c r="F17" s="41">
        <f t="shared" si="0"/>
        <v>4402624.17</v>
      </c>
      <c r="G17" s="42" t="s">
        <v>21</v>
      </c>
      <c r="H17" s="42" t="s">
        <v>30</v>
      </c>
      <c r="I17" s="43" t="s">
        <v>23</v>
      </c>
    </row>
    <row r="18" spans="1:9" ht="12.75">
      <c r="A18" s="40" t="s">
        <v>32</v>
      </c>
      <c r="B18" s="41">
        <v>35394273.24</v>
      </c>
      <c r="C18" s="41">
        <v>0</v>
      </c>
      <c r="D18" s="41">
        <v>0</v>
      </c>
      <c r="E18" s="41">
        <v>0</v>
      </c>
      <c r="F18" s="41">
        <f t="shared" si="0"/>
        <v>35394273.24</v>
      </c>
      <c r="G18" s="42" t="s">
        <v>25</v>
      </c>
      <c r="H18" s="42">
        <v>6944</v>
      </c>
      <c r="I18" s="43" t="s">
        <v>33</v>
      </c>
    </row>
    <row r="19" spans="1:9" ht="12.75">
      <c r="A19" s="44" t="s">
        <v>34</v>
      </c>
      <c r="B19" s="41">
        <v>23629946.14</v>
      </c>
      <c r="C19" s="41">
        <v>5889799.47</v>
      </c>
      <c r="D19" s="41">
        <v>0</v>
      </c>
      <c r="E19" s="41">
        <v>0</v>
      </c>
      <c r="F19" s="41">
        <f t="shared" si="0"/>
        <v>17740146.67</v>
      </c>
      <c r="G19" s="42" t="s">
        <v>21</v>
      </c>
      <c r="H19" s="42" t="s">
        <v>35</v>
      </c>
      <c r="I19" s="43" t="s">
        <v>23</v>
      </c>
    </row>
    <row r="20" spans="1:9" ht="12.75">
      <c r="A20" s="40" t="s">
        <v>36</v>
      </c>
      <c r="B20" s="41">
        <v>6036126.22</v>
      </c>
      <c r="C20" s="45">
        <v>1509031.54</v>
      </c>
      <c r="D20" s="45">
        <v>0</v>
      </c>
      <c r="E20" s="45">
        <v>0</v>
      </c>
      <c r="F20" s="41">
        <f t="shared" si="0"/>
        <v>4527094.68</v>
      </c>
      <c r="G20" s="42" t="s">
        <v>25</v>
      </c>
      <c r="H20" s="42">
        <v>6623</v>
      </c>
      <c r="I20" s="43" t="s">
        <v>37</v>
      </c>
    </row>
    <row r="21" spans="1:9" ht="12.75">
      <c r="A21" s="40" t="s">
        <v>38</v>
      </c>
      <c r="B21" s="41">
        <v>62294.4</v>
      </c>
      <c r="C21" s="41">
        <v>62294.4</v>
      </c>
      <c r="D21" s="41">
        <v>0</v>
      </c>
      <c r="E21" s="41">
        <v>0</v>
      </c>
      <c r="F21" s="41">
        <f t="shared" si="0"/>
        <v>0</v>
      </c>
      <c r="G21" s="42" t="s">
        <v>25</v>
      </c>
      <c r="H21" s="42">
        <v>5812</v>
      </c>
      <c r="I21" s="43" t="s">
        <v>27</v>
      </c>
    </row>
    <row r="22" spans="1:9" ht="12.75">
      <c r="A22" s="40" t="s">
        <v>39</v>
      </c>
      <c r="B22" s="41">
        <v>20445.89</v>
      </c>
      <c r="C22" s="41">
        <v>20445.89</v>
      </c>
      <c r="D22" s="41">
        <v>0</v>
      </c>
      <c r="E22" s="41">
        <v>0</v>
      </c>
      <c r="F22" s="41">
        <f t="shared" si="0"/>
        <v>0</v>
      </c>
      <c r="G22" s="42" t="s">
        <v>25</v>
      </c>
      <c r="H22" s="42">
        <v>5812</v>
      </c>
      <c r="I22" s="43" t="s">
        <v>27</v>
      </c>
    </row>
    <row r="23" spans="1:9" ht="12.75">
      <c r="A23" s="40" t="s">
        <v>40</v>
      </c>
      <c r="B23" s="41">
        <v>1357043165.84</v>
      </c>
      <c r="C23" s="41">
        <v>17855831.13</v>
      </c>
      <c r="D23" s="41">
        <v>0</v>
      </c>
      <c r="E23" s="41">
        <v>0</v>
      </c>
      <c r="F23" s="41">
        <f t="shared" si="0"/>
        <v>1339187334.7099998</v>
      </c>
      <c r="G23" s="42" t="s">
        <v>21</v>
      </c>
      <c r="H23" s="42" t="s">
        <v>41</v>
      </c>
      <c r="I23" s="43" t="s">
        <v>23</v>
      </c>
    </row>
    <row r="24" spans="1:9" ht="12.75">
      <c r="A24" s="40" t="s">
        <v>203</v>
      </c>
      <c r="B24" s="41">
        <v>0</v>
      </c>
      <c r="C24" s="41">
        <v>23060000</v>
      </c>
      <c r="D24" s="41">
        <v>0</v>
      </c>
      <c r="E24" s="41">
        <v>0</v>
      </c>
      <c r="F24" s="41">
        <f t="shared" si="0"/>
        <v>-23060000</v>
      </c>
      <c r="G24" s="42"/>
      <c r="H24" s="42"/>
      <c r="I24" s="43"/>
    </row>
    <row r="25" spans="1:9" ht="12.75">
      <c r="A25" s="40" t="s">
        <v>42</v>
      </c>
      <c r="B25" s="41">
        <v>13198533.11</v>
      </c>
      <c r="C25" s="41">
        <v>520994.73</v>
      </c>
      <c r="D25" s="41">
        <v>0</v>
      </c>
      <c r="E25" s="41">
        <v>0</v>
      </c>
      <c r="F25" s="41">
        <f t="shared" si="0"/>
        <v>12677538.379999999</v>
      </c>
      <c r="G25" s="42" t="s">
        <v>25</v>
      </c>
      <c r="H25" s="42">
        <v>6834</v>
      </c>
      <c r="I25" s="43" t="s">
        <v>23</v>
      </c>
    </row>
    <row r="26" spans="1:9" ht="12.75">
      <c r="A26" s="40" t="s">
        <v>43</v>
      </c>
      <c r="B26" s="41">
        <v>1596048.27</v>
      </c>
      <c r="C26" s="41">
        <v>317058.82</v>
      </c>
      <c r="D26" s="41">
        <v>262226.09</v>
      </c>
      <c r="E26" s="41">
        <v>0</v>
      </c>
      <c r="F26" s="41">
        <f t="shared" si="0"/>
        <v>1541215.54</v>
      </c>
      <c r="G26" s="42" t="s">
        <v>21</v>
      </c>
      <c r="H26" s="42" t="s">
        <v>44</v>
      </c>
      <c r="I26" s="43" t="s">
        <v>23</v>
      </c>
    </row>
    <row r="27" spans="1:9" ht="12.75">
      <c r="A27" s="40" t="s">
        <v>45</v>
      </c>
      <c r="B27" s="41">
        <v>68120066.69</v>
      </c>
      <c r="C27" s="41">
        <v>2431886.37</v>
      </c>
      <c r="D27" s="41">
        <v>0</v>
      </c>
      <c r="E27" s="41">
        <v>0</v>
      </c>
      <c r="F27" s="41">
        <f t="shared" si="0"/>
        <v>65688180.32</v>
      </c>
      <c r="G27" s="42" t="s">
        <v>21</v>
      </c>
      <c r="H27" s="42" t="s">
        <v>46</v>
      </c>
      <c r="I27" s="43" t="s">
        <v>23</v>
      </c>
    </row>
    <row r="28" spans="1:9" ht="12.75">
      <c r="A28" s="44" t="s">
        <v>47</v>
      </c>
      <c r="B28" s="41">
        <v>19036659.36</v>
      </c>
      <c r="C28" s="41">
        <v>250482.36</v>
      </c>
      <c r="D28" s="41">
        <v>0</v>
      </c>
      <c r="E28" s="41">
        <v>0</v>
      </c>
      <c r="F28" s="41">
        <f t="shared" si="0"/>
        <v>18786177</v>
      </c>
      <c r="G28" s="42" t="s">
        <v>21</v>
      </c>
      <c r="H28" s="42" t="s">
        <v>48</v>
      </c>
      <c r="I28" s="43" t="s">
        <v>23</v>
      </c>
    </row>
    <row r="29" spans="1:9" ht="12.75">
      <c r="A29" s="40" t="s">
        <v>49</v>
      </c>
      <c r="B29" s="41">
        <v>21203787.52</v>
      </c>
      <c r="C29" s="41">
        <v>3446299.26</v>
      </c>
      <c r="D29" s="41">
        <v>0</v>
      </c>
      <c r="E29" s="41">
        <v>0</v>
      </c>
      <c r="F29" s="46">
        <f t="shared" si="0"/>
        <v>17757488.259999998</v>
      </c>
      <c r="G29" s="42" t="s">
        <v>50</v>
      </c>
      <c r="H29" s="42">
        <v>7477</v>
      </c>
      <c r="I29" s="43" t="s">
        <v>37</v>
      </c>
    </row>
    <row r="30" spans="1:9" ht="12.75">
      <c r="A30" s="40" t="s">
        <v>51</v>
      </c>
      <c r="B30" s="41">
        <v>3814059</v>
      </c>
      <c r="C30" s="41">
        <v>286054.42</v>
      </c>
      <c r="D30" s="41">
        <v>0</v>
      </c>
      <c r="E30" s="41">
        <v>0</v>
      </c>
      <c r="F30" s="41">
        <f t="shared" si="0"/>
        <v>3528004.58</v>
      </c>
      <c r="G30" s="42" t="s">
        <v>21</v>
      </c>
      <c r="H30" s="42"/>
      <c r="I30" s="43" t="s">
        <v>23</v>
      </c>
    </row>
    <row r="31" spans="1:9" ht="12.75">
      <c r="A31" s="44" t="s">
        <v>52</v>
      </c>
      <c r="B31" s="41">
        <v>2163355.89</v>
      </c>
      <c r="C31" s="41">
        <v>0</v>
      </c>
      <c r="D31" s="41">
        <v>0</v>
      </c>
      <c r="E31" s="41">
        <v>0</v>
      </c>
      <c r="F31" s="41">
        <f t="shared" si="0"/>
        <v>2163355.89</v>
      </c>
      <c r="G31" s="42" t="s">
        <v>50</v>
      </c>
      <c r="H31" s="42">
        <v>5612</v>
      </c>
      <c r="I31" s="43" t="s">
        <v>53</v>
      </c>
    </row>
    <row r="32" spans="1:9" ht="12.75">
      <c r="A32" s="44" t="s">
        <v>54</v>
      </c>
      <c r="B32" s="41">
        <v>141135068.49</v>
      </c>
      <c r="C32" s="41">
        <v>0</v>
      </c>
      <c r="D32" s="41">
        <v>0</v>
      </c>
      <c r="E32" s="41">
        <v>0</v>
      </c>
      <c r="F32" s="41">
        <f t="shared" si="0"/>
        <v>141135068.49</v>
      </c>
      <c r="G32" s="42" t="s">
        <v>21</v>
      </c>
      <c r="H32" s="42" t="s">
        <v>55</v>
      </c>
      <c r="I32" s="43" t="s">
        <v>23</v>
      </c>
    </row>
    <row r="33" spans="1:9" ht="12.75">
      <c r="A33" s="44" t="s">
        <v>56</v>
      </c>
      <c r="B33" s="41">
        <v>78137643.35</v>
      </c>
      <c r="C33" s="41">
        <v>9752559</v>
      </c>
      <c r="D33" s="41">
        <v>0</v>
      </c>
      <c r="E33" s="41">
        <v>0</v>
      </c>
      <c r="F33" s="41">
        <f t="shared" si="0"/>
        <v>68385084.35</v>
      </c>
      <c r="G33" s="42" t="s">
        <v>21</v>
      </c>
      <c r="H33" s="42">
        <v>2164</v>
      </c>
      <c r="I33" s="43" t="s">
        <v>23</v>
      </c>
    </row>
    <row r="34" spans="1:9" ht="12.75">
      <c r="A34" s="44" t="s">
        <v>57</v>
      </c>
      <c r="B34" s="41">
        <v>161420000</v>
      </c>
      <c r="C34" s="41">
        <v>0</v>
      </c>
      <c r="D34" s="41">
        <v>0</v>
      </c>
      <c r="E34" s="41">
        <v>0</v>
      </c>
      <c r="F34" s="41">
        <f t="shared" si="0"/>
        <v>161420000</v>
      </c>
      <c r="G34" s="42" t="s">
        <v>21</v>
      </c>
      <c r="H34" s="42" t="s">
        <v>58</v>
      </c>
      <c r="I34" s="43" t="s">
        <v>23</v>
      </c>
    </row>
    <row r="35" spans="1:9" ht="12.75">
      <c r="A35" s="44" t="s">
        <v>59</v>
      </c>
      <c r="B35" s="41">
        <v>0</v>
      </c>
      <c r="C35" s="41">
        <v>0</v>
      </c>
      <c r="D35" s="41">
        <v>6062975</v>
      </c>
      <c r="E35" s="41">
        <v>0</v>
      </c>
      <c r="F35" s="41">
        <f t="shared" si="0"/>
        <v>6062975</v>
      </c>
      <c r="G35" s="42" t="s">
        <v>60</v>
      </c>
      <c r="H35" s="42" t="s">
        <v>61</v>
      </c>
      <c r="I35" s="43" t="s">
        <v>62</v>
      </c>
    </row>
    <row r="36" spans="1:9" ht="12.75">
      <c r="A36" s="36" t="s">
        <v>63</v>
      </c>
      <c r="B36" s="47">
        <f>+B37+B38</f>
        <v>4599951.32</v>
      </c>
      <c r="C36" s="47">
        <f>+C37+C38</f>
        <v>0</v>
      </c>
      <c r="D36" s="47">
        <f>+D37+D38</f>
        <v>0</v>
      </c>
      <c r="E36" s="47">
        <v>0</v>
      </c>
      <c r="F36" s="47">
        <f>+F37+F38</f>
        <v>4599951.32</v>
      </c>
      <c r="G36" s="42"/>
      <c r="H36" s="42"/>
      <c r="I36" s="43"/>
    </row>
    <row r="37" spans="1:9" ht="12.75">
      <c r="A37" s="40" t="s">
        <v>64</v>
      </c>
      <c r="B37" s="41">
        <v>4599951.32</v>
      </c>
      <c r="C37" s="41">
        <v>0</v>
      </c>
      <c r="D37" s="41">
        <v>0</v>
      </c>
      <c r="E37" s="41">
        <v>0</v>
      </c>
      <c r="F37" s="41">
        <f>B37-C37+D37</f>
        <v>4599951.32</v>
      </c>
      <c r="G37" s="42" t="s">
        <v>65</v>
      </c>
      <c r="H37" s="42" t="s">
        <v>66</v>
      </c>
      <c r="I37" s="43"/>
    </row>
    <row r="38" spans="1:9" ht="12.75">
      <c r="A38" s="40"/>
      <c r="B38" s="41"/>
      <c r="C38" s="41"/>
      <c r="D38" s="41"/>
      <c r="E38" s="41">
        <v>0</v>
      </c>
      <c r="F38" s="41"/>
      <c r="G38" s="42"/>
      <c r="H38" s="42"/>
      <c r="I38" s="43"/>
    </row>
    <row r="39" spans="1:9" ht="12.75">
      <c r="A39" s="36" t="s">
        <v>67</v>
      </c>
      <c r="B39" s="47">
        <f>+B40+B41</f>
        <v>11572107.53</v>
      </c>
      <c r="C39" s="47">
        <f>+C40+C41</f>
        <v>0</v>
      </c>
      <c r="D39" s="47">
        <f>+D40+D41</f>
        <v>0</v>
      </c>
      <c r="E39" s="47"/>
      <c r="F39" s="47">
        <f>+F40+F41</f>
        <v>11572107.53</v>
      </c>
      <c r="G39" s="42"/>
      <c r="H39" s="42"/>
      <c r="I39" s="48"/>
    </row>
    <row r="40" spans="1:9" ht="12.75">
      <c r="A40" s="44" t="s">
        <v>68</v>
      </c>
      <c r="B40" s="45">
        <v>11014951.04</v>
      </c>
      <c r="C40" s="45">
        <v>0</v>
      </c>
      <c r="D40" s="45">
        <v>0</v>
      </c>
      <c r="E40" s="45">
        <v>0</v>
      </c>
      <c r="F40" s="41">
        <f>B40-C40+D40</f>
        <v>11014951.04</v>
      </c>
      <c r="G40" s="49"/>
      <c r="H40" s="50"/>
      <c r="I40" s="51"/>
    </row>
    <row r="41" spans="1:9" ht="12.75">
      <c r="A41" s="44" t="s">
        <v>69</v>
      </c>
      <c r="B41" s="45">
        <v>557156.49</v>
      </c>
      <c r="C41" s="45">
        <v>0</v>
      </c>
      <c r="D41" s="45">
        <v>0</v>
      </c>
      <c r="E41" s="45">
        <v>0</v>
      </c>
      <c r="F41" s="41">
        <f>B41-C41+D41</f>
        <v>557156.49</v>
      </c>
      <c r="G41" s="49"/>
      <c r="H41" s="49"/>
      <c r="I41" s="52" t="s">
        <v>37</v>
      </c>
    </row>
    <row r="42" spans="1:9" ht="12.75">
      <c r="A42" s="40"/>
      <c r="B42" s="41">
        <f>+B39+B52</f>
        <v>243682233.72000003</v>
      </c>
      <c r="C42" s="41"/>
      <c r="D42" s="41"/>
      <c r="E42" s="41">
        <v>0</v>
      </c>
      <c r="F42" s="41"/>
      <c r="G42" s="42"/>
      <c r="H42" s="42"/>
      <c r="I42" s="43"/>
    </row>
    <row r="43" spans="1:9" ht="15.75">
      <c r="A43" s="53" t="s">
        <v>70</v>
      </c>
      <c r="B43" s="54">
        <f>+B44+B52</f>
        <v>493184375.66</v>
      </c>
      <c r="C43" s="54">
        <f>+C44+C52</f>
        <v>6343682.37</v>
      </c>
      <c r="D43" s="54">
        <f>+D44+D52</f>
        <v>0</v>
      </c>
      <c r="E43" s="54">
        <v>0</v>
      </c>
      <c r="F43" s="54">
        <f>+F44+F52</f>
        <v>486840693.29</v>
      </c>
      <c r="G43" s="42"/>
      <c r="H43" s="42"/>
      <c r="I43" s="43"/>
    </row>
    <row r="44" spans="1:9" ht="12.75">
      <c r="A44" s="36" t="s">
        <v>18</v>
      </c>
      <c r="B44" s="47">
        <f>SUM(B45:B51)</f>
        <v>261074249.47</v>
      </c>
      <c r="C44" s="47">
        <f>SUM(C45:C51)</f>
        <v>6343682.37</v>
      </c>
      <c r="D44" s="47">
        <f>SUM(D45:D51)</f>
        <v>0</v>
      </c>
      <c r="E44" s="47">
        <v>0</v>
      </c>
      <c r="F44" s="47">
        <f>SUM(F45:F51)</f>
        <v>254730567.1</v>
      </c>
      <c r="G44" s="42"/>
      <c r="H44" s="42"/>
      <c r="I44" s="43"/>
    </row>
    <row r="45" spans="1:9" ht="12.75">
      <c r="A45" s="44" t="s">
        <v>71</v>
      </c>
      <c r="B45" s="41">
        <v>17381000</v>
      </c>
      <c r="C45" s="41">
        <v>0</v>
      </c>
      <c r="D45" s="41">
        <v>0</v>
      </c>
      <c r="E45" s="41">
        <v>0</v>
      </c>
      <c r="F45" s="41">
        <f aca="true" t="shared" si="1" ref="F45:F51">+B45-C45+D45</f>
        <v>17381000</v>
      </c>
      <c r="G45" s="42" t="s">
        <v>50</v>
      </c>
      <c r="H45" s="42">
        <v>6482</v>
      </c>
      <c r="I45" s="43" t="s">
        <v>27</v>
      </c>
    </row>
    <row r="46" spans="1:9" ht="12.75">
      <c r="A46" s="44" t="s">
        <v>72</v>
      </c>
      <c r="B46" s="41">
        <v>4190936.48</v>
      </c>
      <c r="C46" s="41">
        <v>0</v>
      </c>
      <c r="D46" s="41">
        <v>0</v>
      </c>
      <c r="E46" s="41">
        <v>0</v>
      </c>
      <c r="F46" s="41">
        <f t="shared" si="1"/>
        <v>4190936.48</v>
      </c>
      <c r="G46" s="42" t="s">
        <v>50</v>
      </c>
      <c r="H46" s="42">
        <v>6402</v>
      </c>
      <c r="I46" s="43" t="s">
        <v>73</v>
      </c>
    </row>
    <row r="47" spans="1:9" ht="12.75">
      <c r="A47" s="44" t="s">
        <v>74</v>
      </c>
      <c r="B47" s="41">
        <v>211646759.85</v>
      </c>
      <c r="C47" s="41">
        <v>6343682.37</v>
      </c>
      <c r="D47" s="41">
        <v>0</v>
      </c>
      <c r="E47" s="41">
        <v>0</v>
      </c>
      <c r="F47" s="41">
        <f t="shared" si="1"/>
        <v>205303077.48</v>
      </c>
      <c r="G47" s="42" t="s">
        <v>50</v>
      </c>
      <c r="H47" s="42">
        <v>7183</v>
      </c>
      <c r="I47" s="43" t="s">
        <v>27</v>
      </c>
    </row>
    <row r="48" spans="1:9" ht="12.75">
      <c r="A48" s="44" t="s">
        <v>75</v>
      </c>
      <c r="B48" s="41">
        <v>5739956.37</v>
      </c>
      <c r="C48" s="41">
        <v>0</v>
      </c>
      <c r="D48" s="41">
        <v>0</v>
      </c>
      <c r="E48" s="41">
        <v>0</v>
      </c>
      <c r="F48" s="41">
        <f t="shared" si="1"/>
        <v>5739956.37</v>
      </c>
      <c r="G48" s="42" t="s">
        <v>50</v>
      </c>
      <c r="H48" s="42">
        <v>6364</v>
      </c>
      <c r="I48" s="43" t="s">
        <v>53</v>
      </c>
    </row>
    <row r="49" spans="1:9" ht="12.75">
      <c r="A49" s="44" t="s">
        <v>76</v>
      </c>
      <c r="B49" s="41">
        <v>7746690.51</v>
      </c>
      <c r="C49" s="41">
        <v>0</v>
      </c>
      <c r="D49" s="41">
        <v>0</v>
      </c>
      <c r="E49" s="41">
        <v>0</v>
      </c>
      <c r="F49" s="41">
        <f t="shared" si="1"/>
        <v>7746690.51</v>
      </c>
      <c r="G49" s="42" t="s">
        <v>50</v>
      </c>
      <c r="H49" s="42">
        <v>6365</v>
      </c>
      <c r="I49" s="43" t="s">
        <v>73</v>
      </c>
    </row>
    <row r="50" spans="1:9" ht="12.75">
      <c r="A50" s="44" t="s">
        <v>77</v>
      </c>
      <c r="B50" s="55">
        <v>369215.27</v>
      </c>
      <c r="C50" s="55">
        <v>0</v>
      </c>
      <c r="D50" s="55">
        <v>0</v>
      </c>
      <c r="E50" s="55">
        <v>0</v>
      </c>
      <c r="F50" s="41">
        <f t="shared" si="1"/>
        <v>369215.27</v>
      </c>
      <c r="G50" s="42" t="s">
        <v>50</v>
      </c>
      <c r="H50" s="42">
        <v>5405</v>
      </c>
      <c r="I50" s="43" t="s">
        <v>53</v>
      </c>
    </row>
    <row r="51" spans="1:9" ht="12.75">
      <c r="A51" s="44" t="s">
        <v>78</v>
      </c>
      <c r="B51" s="55">
        <v>13999690.99</v>
      </c>
      <c r="C51" s="55">
        <v>0</v>
      </c>
      <c r="D51" s="55">
        <v>0</v>
      </c>
      <c r="E51" s="55">
        <v>0</v>
      </c>
      <c r="F51" s="41">
        <f t="shared" si="1"/>
        <v>13999690.99</v>
      </c>
      <c r="G51" s="42" t="s">
        <v>21</v>
      </c>
      <c r="H51" s="42" t="s">
        <v>79</v>
      </c>
      <c r="I51" s="52" t="s">
        <v>37</v>
      </c>
    </row>
    <row r="52" spans="1:9" ht="12.75">
      <c r="A52" s="36" t="s">
        <v>67</v>
      </c>
      <c r="B52" s="47">
        <f>SUM(B53:B61)</f>
        <v>232110126.19000003</v>
      </c>
      <c r="C52" s="47">
        <f>SUM(C53:C61)</f>
        <v>0</v>
      </c>
      <c r="D52" s="47">
        <f>SUM(D53:D61)</f>
        <v>0</v>
      </c>
      <c r="E52" s="47">
        <v>0</v>
      </c>
      <c r="F52" s="47">
        <f>SUM(F53:F61)</f>
        <v>232110126.19000003</v>
      </c>
      <c r="G52" s="42"/>
      <c r="H52" s="42"/>
      <c r="I52" s="43"/>
    </row>
    <row r="53" spans="1:9" ht="12.75">
      <c r="A53" s="44" t="s">
        <v>80</v>
      </c>
      <c r="B53" s="41">
        <v>21771856</v>
      </c>
      <c r="C53" s="41">
        <v>0</v>
      </c>
      <c r="D53" s="41">
        <v>0</v>
      </c>
      <c r="E53" s="41">
        <v>0</v>
      </c>
      <c r="F53" s="41">
        <f aca="true" t="shared" si="2" ref="F53:F59">+B53-C53+D53</f>
        <v>21771856</v>
      </c>
      <c r="G53" s="42" t="s">
        <v>25</v>
      </c>
      <c r="H53" s="42">
        <v>5626</v>
      </c>
      <c r="I53" s="43" t="s">
        <v>53</v>
      </c>
    </row>
    <row r="54" spans="1:9" ht="12.75">
      <c r="A54" s="44" t="s">
        <v>81</v>
      </c>
      <c r="B54" s="41">
        <v>-9169751.67</v>
      </c>
      <c r="C54" s="41">
        <v>0</v>
      </c>
      <c r="D54" s="41">
        <v>0</v>
      </c>
      <c r="E54" s="41">
        <v>0</v>
      </c>
      <c r="F54" s="41">
        <f t="shared" si="2"/>
        <v>-9169751.67</v>
      </c>
      <c r="G54" s="42" t="s">
        <v>25</v>
      </c>
      <c r="H54" s="42">
        <v>5626</v>
      </c>
      <c r="I54" s="43" t="s">
        <v>73</v>
      </c>
    </row>
    <row r="55" spans="1:9" ht="12.75">
      <c r="A55" s="44" t="s">
        <v>82</v>
      </c>
      <c r="B55" s="41">
        <v>33705107.68</v>
      </c>
      <c r="C55" s="41">
        <v>0</v>
      </c>
      <c r="D55" s="41">
        <v>0</v>
      </c>
      <c r="E55" s="41">
        <v>0</v>
      </c>
      <c r="F55" s="41">
        <f t="shared" si="2"/>
        <v>33705107.68</v>
      </c>
      <c r="G55" s="42" t="s">
        <v>25</v>
      </c>
      <c r="H55" s="42">
        <v>6455</v>
      </c>
      <c r="I55" s="43" t="s">
        <v>53</v>
      </c>
    </row>
    <row r="56" spans="1:9" ht="12.75">
      <c r="A56" s="44" t="s">
        <v>83</v>
      </c>
      <c r="B56" s="41">
        <v>99296661.55</v>
      </c>
      <c r="C56" s="41">
        <v>0</v>
      </c>
      <c r="D56" s="41">
        <v>0</v>
      </c>
      <c r="E56" s="41">
        <v>0</v>
      </c>
      <c r="F56" s="41">
        <f t="shared" si="2"/>
        <v>99296661.55</v>
      </c>
      <c r="G56" s="42" t="s">
        <v>25</v>
      </c>
      <c r="H56" s="42">
        <v>6455</v>
      </c>
      <c r="I56" s="43" t="s">
        <v>73</v>
      </c>
    </row>
    <row r="57" spans="1:9" ht="12.75">
      <c r="A57" s="44" t="s">
        <v>84</v>
      </c>
      <c r="B57" s="41">
        <v>27255381.74</v>
      </c>
      <c r="C57" s="41">
        <v>0</v>
      </c>
      <c r="D57" s="41">
        <v>0</v>
      </c>
      <c r="E57" s="41">
        <v>0</v>
      </c>
      <c r="F57" s="41">
        <f t="shared" si="2"/>
        <v>27255381.74</v>
      </c>
      <c r="G57" s="42" t="s">
        <v>25</v>
      </c>
      <c r="H57" s="42">
        <v>6416</v>
      </c>
      <c r="I57" s="43" t="s">
        <v>53</v>
      </c>
    </row>
    <row r="58" spans="1:9" ht="12.75">
      <c r="A58" s="44" t="s">
        <v>85</v>
      </c>
      <c r="B58" s="41">
        <v>12788604.77</v>
      </c>
      <c r="C58" s="41">
        <v>0</v>
      </c>
      <c r="D58" s="41">
        <v>0</v>
      </c>
      <c r="E58" s="41">
        <v>0</v>
      </c>
      <c r="F58" s="41">
        <f t="shared" si="2"/>
        <v>12788604.77</v>
      </c>
      <c r="G58" s="42" t="s">
        <v>25</v>
      </c>
      <c r="H58" s="42">
        <v>6416</v>
      </c>
      <c r="I58" s="43" t="s">
        <v>73</v>
      </c>
    </row>
    <row r="59" spans="1:9" ht="12.75">
      <c r="A59" s="44" t="s">
        <v>86</v>
      </c>
      <c r="B59" s="41">
        <v>-1342026.56</v>
      </c>
      <c r="C59" s="41">
        <v>0</v>
      </c>
      <c r="D59" s="41">
        <v>0</v>
      </c>
      <c r="E59" s="41">
        <v>0</v>
      </c>
      <c r="F59" s="41">
        <f t="shared" si="2"/>
        <v>-1342026.56</v>
      </c>
      <c r="G59" s="42"/>
      <c r="H59" s="42"/>
      <c r="I59" s="43"/>
    </row>
    <row r="60" spans="1:9" ht="12.75">
      <c r="A60" s="44" t="s">
        <v>87</v>
      </c>
      <c r="B60" s="41">
        <v>19397253.89</v>
      </c>
      <c r="C60" s="41">
        <v>0</v>
      </c>
      <c r="D60" s="41">
        <v>0</v>
      </c>
      <c r="E60" s="41">
        <v>0</v>
      </c>
      <c r="F60" s="41">
        <f>+B60-C60+D60</f>
        <v>19397253.89</v>
      </c>
      <c r="G60" s="42"/>
      <c r="H60" s="42"/>
      <c r="I60" s="43"/>
    </row>
    <row r="61" spans="1:9" ht="12.75">
      <c r="A61" s="44" t="s">
        <v>88</v>
      </c>
      <c r="B61" s="41">
        <v>28407038.79</v>
      </c>
      <c r="C61" s="41">
        <v>0</v>
      </c>
      <c r="D61" s="41">
        <v>0</v>
      </c>
      <c r="E61" s="41">
        <v>0</v>
      </c>
      <c r="F61" s="41">
        <f>+B61-C61+D61</f>
        <v>28407038.79</v>
      </c>
      <c r="G61" s="42" t="s">
        <v>25</v>
      </c>
      <c r="H61" s="42">
        <v>6847</v>
      </c>
      <c r="I61" s="43" t="s">
        <v>53</v>
      </c>
    </row>
    <row r="62" spans="1:9" ht="13.5" thickBot="1">
      <c r="A62" s="56" t="s">
        <v>89</v>
      </c>
      <c r="B62" s="57">
        <f>B10+B43</f>
        <v>2506992878.4599996</v>
      </c>
      <c r="C62" s="57">
        <f>C10+C43</f>
        <v>71772319.36</v>
      </c>
      <c r="D62" s="57">
        <f>D10+D43</f>
        <v>6325201.09</v>
      </c>
      <c r="E62" s="57">
        <v>0</v>
      </c>
      <c r="F62" s="57">
        <f>F10+F43</f>
        <v>2441545760.1899996</v>
      </c>
      <c r="G62" s="58"/>
      <c r="H62" s="58"/>
      <c r="I62" s="59"/>
    </row>
    <row r="63" spans="1:9" ht="12.75">
      <c r="A63" s="60"/>
      <c r="B63" s="61"/>
      <c r="C63" s="61"/>
      <c r="D63" s="61"/>
      <c r="E63" s="61"/>
      <c r="F63" s="61"/>
      <c r="G63" s="62"/>
      <c r="H63" s="62"/>
      <c r="I63" s="63"/>
    </row>
    <row r="64" ht="12.75">
      <c r="A64" s="166" t="s">
        <v>205</v>
      </c>
    </row>
  </sheetData>
  <mergeCells count="3">
    <mergeCell ref="G8:H8"/>
    <mergeCell ref="I8:I9"/>
    <mergeCell ref="E8:E9"/>
  </mergeCells>
  <printOptions/>
  <pageMargins left="1.71" right="0.16" top="0.17" bottom="0.16" header="0" footer="0"/>
  <pageSetup horizontalDpi="600" verticalDpi="600" orientation="landscape" paperSize="5" scale="70" r:id="rId2"/>
  <ignoredErrors>
    <ignoredError sqref="F5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A1" sqref="A1:V60"/>
    </sheetView>
  </sheetViews>
  <sheetFormatPr defaultColWidth="11.421875" defaultRowHeight="12.75"/>
  <cols>
    <col min="1" max="1" width="41.28125" style="0" customWidth="1"/>
    <col min="2" max="2" width="12.8515625" style="0" customWidth="1"/>
    <col min="3" max="3" width="7.421875" style="0" customWidth="1"/>
    <col min="4" max="4" width="13.140625" style="0" customWidth="1"/>
    <col min="13" max="13" width="7.421875" style="0" customWidth="1"/>
    <col min="15" max="15" width="6.140625" style="0" customWidth="1"/>
    <col min="16" max="16" width="7.7109375" style="0" customWidth="1"/>
    <col min="17" max="17" width="6.140625" style="0" customWidth="1"/>
    <col min="18" max="19" width="8.57421875" style="0" customWidth="1"/>
    <col min="20" max="20" width="12.7109375" style="0" customWidth="1"/>
    <col min="21" max="21" width="7.57421875" style="0" customWidth="1"/>
    <col min="22" max="22" width="13.28125" style="0" customWidth="1"/>
  </cols>
  <sheetData>
    <row r="1" spans="1:22" ht="15">
      <c r="A1" s="64" t="s">
        <v>90</v>
      </c>
      <c r="B1" s="2"/>
      <c r="C1" s="2"/>
      <c r="D1" s="2"/>
      <c r="E1" s="65"/>
      <c r="F1" s="65"/>
      <c r="G1" s="2"/>
      <c r="H1" s="2"/>
      <c r="I1" s="2"/>
      <c r="J1" s="2"/>
      <c r="K1" s="2"/>
      <c r="L1" s="2"/>
      <c r="M1" s="2"/>
      <c r="N1" s="65"/>
      <c r="O1" s="65"/>
      <c r="P1" s="2"/>
      <c r="Q1" s="2"/>
      <c r="R1" s="2"/>
      <c r="S1" s="2"/>
      <c r="T1" s="2"/>
      <c r="U1" s="2"/>
      <c r="V1" s="3"/>
    </row>
    <row r="2" spans="1:22" ht="12.75">
      <c r="A2" s="9"/>
      <c r="B2" s="7"/>
      <c r="C2" s="7"/>
      <c r="D2" s="66"/>
      <c r="E2" s="66"/>
      <c r="F2" s="7"/>
      <c r="G2" s="66"/>
      <c r="H2" s="67"/>
      <c r="I2" s="7"/>
      <c r="J2" s="7"/>
      <c r="K2" s="7"/>
      <c r="L2" s="7"/>
      <c r="M2" s="7"/>
      <c r="N2" s="66"/>
      <c r="O2" s="66"/>
      <c r="P2" s="7"/>
      <c r="Q2" s="7"/>
      <c r="R2" s="7"/>
      <c r="S2" s="7"/>
      <c r="T2" s="7"/>
      <c r="U2" s="7"/>
      <c r="V2" s="8"/>
    </row>
    <row r="3" spans="1:22" ht="12.75">
      <c r="A3" s="68" t="s">
        <v>91</v>
      </c>
      <c r="B3" s="69"/>
      <c r="C3" s="70"/>
      <c r="D3" s="70"/>
      <c r="E3" s="70"/>
      <c r="F3" s="70"/>
      <c r="G3" s="70"/>
      <c r="H3" s="71"/>
      <c r="I3" s="70"/>
      <c r="J3" s="70"/>
      <c r="K3" s="70"/>
      <c r="L3" s="71"/>
      <c r="M3" s="70"/>
      <c r="N3" s="71"/>
      <c r="O3" s="71"/>
      <c r="P3" s="70"/>
      <c r="Q3" s="70"/>
      <c r="R3" s="70"/>
      <c r="S3" s="70"/>
      <c r="T3" s="71"/>
      <c r="U3" s="70"/>
      <c r="V3" s="72"/>
    </row>
    <row r="4" spans="1:22" ht="12.75">
      <c r="A4" s="73"/>
      <c r="B4" s="74"/>
      <c r="C4" s="74"/>
      <c r="D4" s="75"/>
      <c r="E4" s="74"/>
      <c r="F4" s="74"/>
      <c r="G4" s="74"/>
      <c r="H4" s="74"/>
      <c r="I4" s="74"/>
      <c r="J4" s="74"/>
      <c r="K4" s="74"/>
      <c r="L4" s="75"/>
      <c r="M4" s="74"/>
      <c r="N4" s="75"/>
      <c r="O4" s="75"/>
      <c r="P4" s="74"/>
      <c r="Q4" s="74"/>
      <c r="R4" s="74"/>
      <c r="S4" s="74"/>
      <c r="T4" s="74"/>
      <c r="U4" s="74"/>
      <c r="V4" s="76"/>
    </row>
    <row r="5" spans="1:22" ht="12.75">
      <c r="A5" s="77" t="s">
        <v>5</v>
      </c>
      <c r="B5" s="173" t="s">
        <v>92</v>
      </c>
      <c r="C5" s="174"/>
      <c r="D5" s="175"/>
      <c r="E5" s="173" t="s">
        <v>93</v>
      </c>
      <c r="F5" s="174"/>
      <c r="G5" s="174"/>
      <c r="H5" s="174"/>
      <c r="I5" s="174"/>
      <c r="J5" s="174"/>
      <c r="K5" s="175"/>
      <c r="L5" s="173" t="s">
        <v>94</v>
      </c>
      <c r="M5" s="174"/>
      <c r="N5" s="175"/>
      <c r="O5" s="78" t="s">
        <v>95</v>
      </c>
      <c r="P5" s="79"/>
      <c r="Q5" s="80"/>
      <c r="R5" s="81" t="s">
        <v>96</v>
      </c>
      <c r="S5" s="82"/>
      <c r="T5" s="83" t="s">
        <v>97</v>
      </c>
      <c r="U5" s="84"/>
      <c r="V5" s="85"/>
    </row>
    <row r="6" spans="1:22" ht="33.75">
      <c r="A6" s="86"/>
      <c r="B6" s="87" t="s">
        <v>98</v>
      </c>
      <c r="C6" s="88" t="s">
        <v>99</v>
      </c>
      <c r="D6" s="87" t="s">
        <v>100</v>
      </c>
      <c r="E6" s="88" t="s">
        <v>101</v>
      </c>
      <c r="F6" s="88" t="s">
        <v>102</v>
      </c>
      <c r="G6" s="89" t="s">
        <v>103</v>
      </c>
      <c r="H6" s="89" t="s">
        <v>104</v>
      </c>
      <c r="I6" s="89" t="s">
        <v>105</v>
      </c>
      <c r="J6" s="89" t="s">
        <v>106</v>
      </c>
      <c r="K6" s="87" t="s">
        <v>107</v>
      </c>
      <c r="L6" s="87" t="s">
        <v>98</v>
      </c>
      <c r="M6" s="88" t="s">
        <v>99</v>
      </c>
      <c r="N6" s="88" t="s">
        <v>108</v>
      </c>
      <c r="O6" s="87" t="s">
        <v>109</v>
      </c>
      <c r="P6" s="90" t="s">
        <v>110</v>
      </c>
      <c r="Q6" s="87" t="s">
        <v>111</v>
      </c>
      <c r="R6" s="91" t="s">
        <v>112</v>
      </c>
      <c r="S6" s="92" t="s">
        <v>113</v>
      </c>
      <c r="T6" s="87" t="s">
        <v>109</v>
      </c>
      <c r="U6" s="88" t="s">
        <v>114</v>
      </c>
      <c r="V6" s="93" t="s">
        <v>100</v>
      </c>
    </row>
    <row r="7" spans="1:22" ht="15">
      <c r="A7" s="94" t="s">
        <v>115</v>
      </c>
      <c r="B7" s="95">
        <f aca="true" t="shared" si="0" ref="B7:V7">+B8+B33</f>
        <v>2258710693.4199996</v>
      </c>
      <c r="C7" s="95">
        <f t="shared" si="0"/>
        <v>0</v>
      </c>
      <c r="D7" s="95">
        <f t="shared" si="0"/>
        <v>2258710693.4199996</v>
      </c>
      <c r="E7" s="96">
        <f t="shared" si="0"/>
        <v>71772319.36</v>
      </c>
      <c r="F7" s="96">
        <f t="shared" si="0"/>
        <v>71769888.17</v>
      </c>
      <c r="G7" s="96">
        <f t="shared" si="0"/>
        <v>44863473.25</v>
      </c>
      <c r="H7" s="96">
        <f t="shared" si="0"/>
        <v>44863400.51</v>
      </c>
      <c r="I7" s="96">
        <f t="shared" si="0"/>
        <v>26464773.15</v>
      </c>
      <c r="J7" s="96">
        <f t="shared" si="0"/>
        <v>26461437.72</v>
      </c>
      <c r="K7" s="95">
        <f t="shared" si="0"/>
        <v>143094726.4</v>
      </c>
      <c r="L7" s="95">
        <f t="shared" si="0"/>
        <v>6062975</v>
      </c>
      <c r="M7" s="95">
        <f t="shared" si="0"/>
        <v>0</v>
      </c>
      <c r="N7" s="95">
        <f t="shared" si="0"/>
        <v>6062975</v>
      </c>
      <c r="O7" s="95">
        <f t="shared" si="0"/>
        <v>0</v>
      </c>
      <c r="P7" s="95">
        <f t="shared" si="0"/>
        <v>0</v>
      </c>
      <c r="Q7" s="95">
        <f t="shared" si="0"/>
        <v>0</v>
      </c>
      <c r="R7" s="95">
        <f t="shared" si="0"/>
        <v>0</v>
      </c>
      <c r="S7" s="95">
        <f t="shared" si="0"/>
        <v>262226.09</v>
      </c>
      <c r="T7" s="95">
        <f t="shared" si="0"/>
        <v>2193263575.1499996</v>
      </c>
      <c r="U7" s="95">
        <f t="shared" si="0"/>
        <v>0</v>
      </c>
      <c r="V7" s="97">
        <f t="shared" si="0"/>
        <v>2193263575.1499996</v>
      </c>
    </row>
    <row r="8" spans="1:22" ht="12.75">
      <c r="A8" s="98" t="s">
        <v>116</v>
      </c>
      <c r="B8" s="95">
        <f>SUM(B9:B32)</f>
        <v>1997636443.9499998</v>
      </c>
      <c r="C8" s="95">
        <f aca="true" t="shared" si="1" ref="C8:V8">SUM(C9:C32)</f>
        <v>0</v>
      </c>
      <c r="D8" s="95">
        <f t="shared" si="1"/>
        <v>1997636443.9499998</v>
      </c>
      <c r="E8" s="95">
        <f t="shared" si="1"/>
        <v>65428636.989999995</v>
      </c>
      <c r="F8" s="95">
        <f t="shared" si="1"/>
        <v>65426205.8</v>
      </c>
      <c r="G8" s="96">
        <f t="shared" si="1"/>
        <v>26812736.95</v>
      </c>
      <c r="H8" s="96">
        <f t="shared" si="1"/>
        <v>26812664.209999997</v>
      </c>
      <c r="I8" s="96">
        <f t="shared" si="1"/>
        <v>13130312.84</v>
      </c>
      <c r="J8" s="96">
        <f t="shared" si="1"/>
        <v>13126977.41</v>
      </c>
      <c r="K8" s="95">
        <f t="shared" si="1"/>
        <v>105365847.42</v>
      </c>
      <c r="L8" s="95">
        <f t="shared" si="1"/>
        <v>6062975</v>
      </c>
      <c r="M8" s="95">
        <f t="shared" si="1"/>
        <v>0</v>
      </c>
      <c r="N8" s="95">
        <f t="shared" si="1"/>
        <v>6062975</v>
      </c>
      <c r="O8" s="95">
        <f t="shared" si="1"/>
        <v>0</v>
      </c>
      <c r="P8" s="95">
        <f t="shared" si="1"/>
        <v>0</v>
      </c>
      <c r="Q8" s="95">
        <f t="shared" si="1"/>
        <v>0</v>
      </c>
      <c r="R8" s="95">
        <f t="shared" si="1"/>
        <v>0</v>
      </c>
      <c r="S8" s="95">
        <f t="shared" si="1"/>
        <v>262226.09</v>
      </c>
      <c r="T8" s="95">
        <f t="shared" si="1"/>
        <v>1938533008.0499997</v>
      </c>
      <c r="U8" s="95">
        <f t="shared" si="1"/>
        <v>0</v>
      </c>
      <c r="V8" s="97">
        <f t="shared" si="1"/>
        <v>1938533008.0499997</v>
      </c>
    </row>
    <row r="9" spans="1:22" ht="12.75">
      <c r="A9" s="99" t="s">
        <v>20</v>
      </c>
      <c r="B9" s="100">
        <v>22400.06</v>
      </c>
      <c r="C9" s="101"/>
      <c r="D9" s="101">
        <f aca="true" t="shared" si="2" ref="D9:D28">SUM(B9:C9)</f>
        <v>22400.06</v>
      </c>
      <c r="E9" s="101">
        <v>0</v>
      </c>
      <c r="F9" s="101">
        <f>+E9</f>
        <v>0</v>
      </c>
      <c r="G9" s="101">
        <v>0</v>
      </c>
      <c r="H9" s="101">
        <v>0</v>
      </c>
      <c r="I9" s="101">
        <v>0</v>
      </c>
      <c r="J9" s="101">
        <v>0</v>
      </c>
      <c r="K9" s="101">
        <f>+F9+H9+J9</f>
        <v>0</v>
      </c>
      <c r="L9" s="101">
        <v>0</v>
      </c>
      <c r="M9" s="101">
        <v>0</v>
      </c>
      <c r="N9" s="101">
        <f>+L9+M9</f>
        <v>0</v>
      </c>
      <c r="O9" s="101">
        <v>0</v>
      </c>
      <c r="P9" s="101">
        <v>0</v>
      </c>
      <c r="Q9" s="101">
        <f aca="true" t="shared" si="3" ref="Q9:Q20">SUM(O9:P9)</f>
        <v>0</v>
      </c>
      <c r="R9" s="101">
        <v>0</v>
      </c>
      <c r="S9" s="101">
        <v>0</v>
      </c>
      <c r="T9" s="101">
        <f>+D9-E9+L9+O9-R9+S9</f>
        <v>22400.06</v>
      </c>
      <c r="U9" s="101"/>
      <c r="V9" s="102">
        <f aca="true" t="shared" si="4" ref="V9:V40">SUM(T9:U9)</f>
        <v>22400.06</v>
      </c>
    </row>
    <row r="10" spans="1:22" ht="12.75">
      <c r="A10" s="99" t="s">
        <v>24</v>
      </c>
      <c r="B10" s="100">
        <v>12540</v>
      </c>
      <c r="C10" s="101"/>
      <c r="D10" s="101">
        <f t="shared" si="2"/>
        <v>12540</v>
      </c>
      <c r="E10" s="101">
        <v>0</v>
      </c>
      <c r="F10" s="101">
        <f>+E10</f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f aca="true" t="shared" si="5" ref="K10:K40">+F10+H10+J10</f>
        <v>0</v>
      </c>
      <c r="L10" s="101">
        <v>0</v>
      </c>
      <c r="M10" s="101">
        <v>0</v>
      </c>
      <c r="N10" s="101">
        <f aca="true" t="shared" si="6" ref="N10:N32">+L10+M10</f>
        <v>0</v>
      </c>
      <c r="O10" s="101">
        <v>0</v>
      </c>
      <c r="P10" s="101">
        <v>0</v>
      </c>
      <c r="Q10" s="101">
        <f t="shared" si="3"/>
        <v>0</v>
      </c>
      <c r="R10" s="101">
        <v>0</v>
      </c>
      <c r="S10" s="101">
        <v>0</v>
      </c>
      <c r="T10" s="101">
        <f aca="true" t="shared" si="7" ref="T10:T32">+D10-E10+L10+O10-R10+S10</f>
        <v>12540</v>
      </c>
      <c r="U10" s="101"/>
      <c r="V10" s="102">
        <f t="shared" si="4"/>
        <v>12540</v>
      </c>
    </row>
    <row r="11" spans="1:22" ht="12.75">
      <c r="A11" s="99" t="s">
        <v>26</v>
      </c>
      <c r="B11" s="100">
        <v>18739.17</v>
      </c>
      <c r="C11" s="101"/>
      <c r="D11" s="101">
        <f t="shared" si="2"/>
        <v>18739.17</v>
      </c>
      <c r="E11" s="101">
        <f>9151.88*2+435.41</f>
        <v>18739.17</v>
      </c>
      <c r="F11" s="101">
        <f>9151.88*2</f>
        <v>18303.76</v>
      </c>
      <c r="G11" s="101">
        <f>+(16.34+7.37+55.06)*0.66</f>
        <v>51.988200000000006</v>
      </c>
      <c r="H11" s="101">
        <f>+(16.34+7.37)*0.66</f>
        <v>15.648600000000002</v>
      </c>
      <c r="I11" s="101">
        <v>0</v>
      </c>
      <c r="J11" s="101">
        <f>+I11</f>
        <v>0</v>
      </c>
      <c r="K11" s="101">
        <f t="shared" si="5"/>
        <v>18319.4086</v>
      </c>
      <c r="L11" s="101">
        <v>0</v>
      </c>
      <c r="M11" s="101">
        <v>0</v>
      </c>
      <c r="N11" s="101">
        <f t="shared" si="6"/>
        <v>0</v>
      </c>
      <c r="O11" s="101">
        <v>0</v>
      </c>
      <c r="P11" s="101">
        <v>0</v>
      </c>
      <c r="Q11" s="101">
        <f t="shared" si="3"/>
        <v>0</v>
      </c>
      <c r="R11" s="101">
        <v>0</v>
      </c>
      <c r="S11" s="101">
        <v>0</v>
      </c>
      <c r="T11" s="101">
        <f t="shared" si="7"/>
        <v>0</v>
      </c>
      <c r="U11" s="101"/>
      <c r="V11" s="102">
        <f t="shared" si="4"/>
        <v>0</v>
      </c>
    </row>
    <row r="12" spans="1:22" ht="12.75">
      <c r="A12" s="99" t="s">
        <v>28</v>
      </c>
      <c r="B12" s="100">
        <v>7160.43</v>
      </c>
      <c r="C12" s="101"/>
      <c r="D12" s="101">
        <f t="shared" si="2"/>
        <v>7160.43</v>
      </c>
      <c r="E12" s="101">
        <f>3523.47*2+113.49</f>
        <v>7160.429999999999</v>
      </c>
      <c r="F12" s="101">
        <f>3523.47*2</f>
        <v>7046.94</v>
      </c>
      <c r="G12" s="101">
        <f>+(16.34+7.37+55.06)*0.34</f>
        <v>26.781800000000004</v>
      </c>
      <c r="H12" s="101">
        <f>+(16.34+7.37)*0.34</f>
        <v>8.0614</v>
      </c>
      <c r="I12" s="101">
        <v>0</v>
      </c>
      <c r="J12" s="101">
        <f>+I12</f>
        <v>0</v>
      </c>
      <c r="K12" s="101">
        <f t="shared" si="5"/>
        <v>7055.001399999999</v>
      </c>
      <c r="L12" s="101">
        <v>0</v>
      </c>
      <c r="M12" s="101">
        <v>0</v>
      </c>
      <c r="N12" s="101">
        <f t="shared" si="6"/>
        <v>0</v>
      </c>
      <c r="O12" s="101">
        <v>0</v>
      </c>
      <c r="P12" s="101">
        <v>0</v>
      </c>
      <c r="Q12" s="101">
        <f t="shared" si="3"/>
        <v>0</v>
      </c>
      <c r="R12" s="101">
        <v>0</v>
      </c>
      <c r="S12" s="101">
        <v>0</v>
      </c>
      <c r="T12" s="101">
        <f t="shared" si="7"/>
        <v>9.094947017729282E-13</v>
      </c>
      <c r="U12" s="101"/>
      <c r="V12" s="102">
        <f t="shared" si="4"/>
        <v>9.094947017729282E-13</v>
      </c>
    </row>
    <row r="13" spans="1:22" ht="12.75">
      <c r="A13" s="99" t="s">
        <v>29</v>
      </c>
      <c r="B13" s="100">
        <v>61161506.70999999</v>
      </c>
      <c r="C13" s="101"/>
      <c r="D13" s="101">
        <f t="shared" si="2"/>
        <v>61161506.70999999</v>
      </c>
      <c r="E13" s="101">
        <v>0</v>
      </c>
      <c r="F13" s="101">
        <f>+E13</f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f t="shared" si="5"/>
        <v>0</v>
      </c>
      <c r="L13" s="101">
        <v>0</v>
      </c>
      <c r="M13" s="101">
        <v>0</v>
      </c>
      <c r="N13" s="101">
        <f t="shared" si="6"/>
        <v>0</v>
      </c>
      <c r="O13" s="101">
        <v>0</v>
      </c>
      <c r="P13" s="101">
        <v>0</v>
      </c>
      <c r="Q13" s="101">
        <f t="shared" si="3"/>
        <v>0</v>
      </c>
      <c r="R13" s="101">
        <v>0</v>
      </c>
      <c r="S13" s="101">
        <v>0</v>
      </c>
      <c r="T13" s="101">
        <f t="shared" si="7"/>
        <v>61161506.70999999</v>
      </c>
      <c r="U13" s="101"/>
      <c r="V13" s="102">
        <f t="shared" si="4"/>
        <v>61161506.70999999</v>
      </c>
    </row>
    <row r="14" spans="1:22" ht="12.75">
      <c r="A14" s="99" t="s">
        <v>117</v>
      </c>
      <c r="B14" s="100">
        <v>4402624.17</v>
      </c>
      <c r="C14" s="101"/>
      <c r="D14" s="101">
        <f t="shared" si="2"/>
        <v>4402624.17</v>
      </c>
      <c r="E14" s="101">
        <v>0</v>
      </c>
      <c r="F14" s="101">
        <f>+E14</f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f t="shared" si="5"/>
        <v>0</v>
      </c>
      <c r="L14" s="101">
        <v>0</v>
      </c>
      <c r="M14" s="101">
        <v>0</v>
      </c>
      <c r="N14" s="101">
        <f t="shared" si="6"/>
        <v>0</v>
      </c>
      <c r="O14" s="101">
        <v>0</v>
      </c>
      <c r="P14" s="101">
        <v>0</v>
      </c>
      <c r="Q14" s="101">
        <f t="shared" si="3"/>
        <v>0</v>
      </c>
      <c r="R14" s="101">
        <v>0</v>
      </c>
      <c r="S14" s="101">
        <v>0</v>
      </c>
      <c r="T14" s="101">
        <f t="shared" si="7"/>
        <v>4402624.17</v>
      </c>
      <c r="U14" s="101"/>
      <c r="V14" s="102">
        <f t="shared" si="4"/>
        <v>4402624.17</v>
      </c>
    </row>
    <row r="15" spans="1:22" ht="12.75">
      <c r="A15" s="99" t="s">
        <v>32</v>
      </c>
      <c r="B15" s="100">
        <v>35394273.239999995</v>
      </c>
      <c r="C15" s="101"/>
      <c r="D15" s="101">
        <f t="shared" si="2"/>
        <v>35394273.239999995</v>
      </c>
      <c r="E15" s="101">
        <v>0</v>
      </c>
      <c r="F15" s="101">
        <f>+E15</f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f t="shared" si="5"/>
        <v>0</v>
      </c>
      <c r="L15" s="101">
        <v>0</v>
      </c>
      <c r="M15" s="101">
        <v>0</v>
      </c>
      <c r="N15" s="101">
        <f t="shared" si="6"/>
        <v>0</v>
      </c>
      <c r="O15" s="101">
        <v>0</v>
      </c>
      <c r="P15" s="101">
        <v>0</v>
      </c>
      <c r="Q15" s="101">
        <f t="shared" si="3"/>
        <v>0</v>
      </c>
      <c r="R15" s="101">
        <v>0</v>
      </c>
      <c r="S15" s="101">
        <v>0</v>
      </c>
      <c r="T15" s="101">
        <f t="shared" si="7"/>
        <v>35394273.239999995</v>
      </c>
      <c r="U15" s="101"/>
      <c r="V15" s="102">
        <f t="shared" si="4"/>
        <v>35394273.239999995</v>
      </c>
    </row>
    <row r="16" spans="1:22" ht="12.75">
      <c r="A16" s="99" t="s">
        <v>118</v>
      </c>
      <c r="B16" s="100">
        <v>23629946.14</v>
      </c>
      <c r="C16" s="101"/>
      <c r="D16" s="101">
        <f>SUM(B16:C16)</f>
        <v>23629946.14</v>
      </c>
      <c r="E16" s="101">
        <v>5889799.47</v>
      </c>
      <c r="F16" s="101">
        <f>+E16</f>
        <v>5889799.47</v>
      </c>
      <c r="G16" s="101">
        <v>141579.46</v>
      </c>
      <c r="H16" s="101">
        <f>+G16</f>
        <v>141579.46</v>
      </c>
      <c r="I16" s="101">
        <v>1898275.67</v>
      </c>
      <c r="J16" s="101">
        <f>+I16</f>
        <v>1898275.67</v>
      </c>
      <c r="K16" s="101">
        <f t="shared" si="5"/>
        <v>7929654.6</v>
      </c>
      <c r="L16" s="101">
        <v>0</v>
      </c>
      <c r="M16" s="101">
        <v>0</v>
      </c>
      <c r="N16" s="101">
        <f t="shared" si="6"/>
        <v>0</v>
      </c>
      <c r="O16" s="101">
        <v>0</v>
      </c>
      <c r="P16" s="101">
        <v>0</v>
      </c>
      <c r="Q16" s="101">
        <f t="shared" si="3"/>
        <v>0</v>
      </c>
      <c r="R16" s="101">
        <v>0</v>
      </c>
      <c r="S16" s="101">
        <v>0</v>
      </c>
      <c r="T16" s="101">
        <f t="shared" si="7"/>
        <v>17740146.67</v>
      </c>
      <c r="U16" s="101"/>
      <c r="V16" s="102">
        <f t="shared" si="4"/>
        <v>17740146.67</v>
      </c>
    </row>
    <row r="17" spans="1:22" ht="12.75">
      <c r="A17" s="99" t="s">
        <v>36</v>
      </c>
      <c r="B17" s="100">
        <v>6036126.22</v>
      </c>
      <c r="C17" s="101"/>
      <c r="D17" s="101">
        <f t="shared" si="2"/>
        <v>6036126.22</v>
      </c>
      <c r="E17" s="101">
        <v>1509031.54</v>
      </c>
      <c r="F17" s="101">
        <f>+E17</f>
        <v>1509031.54</v>
      </c>
      <c r="G17" s="101">
        <v>0</v>
      </c>
      <c r="H17" s="101">
        <v>0</v>
      </c>
      <c r="I17" s="101">
        <v>0</v>
      </c>
      <c r="J17" s="101">
        <v>0</v>
      </c>
      <c r="K17" s="101">
        <f t="shared" si="5"/>
        <v>1509031.54</v>
      </c>
      <c r="L17" s="101">
        <v>0</v>
      </c>
      <c r="M17" s="101">
        <v>0</v>
      </c>
      <c r="N17" s="101">
        <f t="shared" si="6"/>
        <v>0</v>
      </c>
      <c r="O17" s="101">
        <v>0</v>
      </c>
      <c r="P17" s="101">
        <v>0</v>
      </c>
      <c r="Q17" s="101">
        <f t="shared" si="3"/>
        <v>0</v>
      </c>
      <c r="R17" s="101">
        <v>0</v>
      </c>
      <c r="S17" s="101">
        <v>0</v>
      </c>
      <c r="T17" s="101">
        <f t="shared" si="7"/>
        <v>4527094.68</v>
      </c>
      <c r="U17" s="101"/>
      <c r="V17" s="102">
        <f t="shared" si="4"/>
        <v>4527094.68</v>
      </c>
    </row>
    <row r="18" spans="1:22" ht="12.75">
      <c r="A18" s="99" t="s">
        <v>38</v>
      </c>
      <c r="B18" s="100">
        <v>62294.4</v>
      </c>
      <c r="C18" s="101"/>
      <c r="D18" s="101">
        <f t="shared" si="2"/>
        <v>62294.4</v>
      </c>
      <c r="E18" s="101">
        <f>30439*2+1416.4</f>
        <v>62294.4</v>
      </c>
      <c r="F18" s="101">
        <f>30439*2</f>
        <v>60878</v>
      </c>
      <c r="G18" s="101">
        <f>+(751.91+350.47+17.68)*0.75</f>
        <v>840.0450000000001</v>
      </c>
      <c r="H18" s="101">
        <f>+(751.91+350.47)*0.75</f>
        <v>826.7850000000001</v>
      </c>
      <c r="I18" s="101">
        <f>+(16171+50951.32+16171+52015.4+2522.48+812.95)*0.75</f>
        <v>103983.11250000002</v>
      </c>
      <c r="J18" s="101">
        <f>+(16171+50951.32+16171+52015.4)*0.75</f>
        <v>101481.54000000001</v>
      </c>
      <c r="K18" s="101">
        <f t="shared" si="5"/>
        <v>163186.325</v>
      </c>
      <c r="L18" s="101">
        <v>0</v>
      </c>
      <c r="M18" s="101">
        <v>0</v>
      </c>
      <c r="N18" s="101">
        <f t="shared" si="6"/>
        <v>0</v>
      </c>
      <c r="O18" s="101">
        <v>0</v>
      </c>
      <c r="P18" s="101">
        <v>0</v>
      </c>
      <c r="Q18" s="101">
        <f t="shared" si="3"/>
        <v>0</v>
      </c>
      <c r="R18" s="101">
        <v>0</v>
      </c>
      <c r="S18" s="101">
        <v>0</v>
      </c>
      <c r="T18" s="101">
        <f t="shared" si="7"/>
        <v>0</v>
      </c>
      <c r="U18" s="101"/>
      <c r="V18" s="102">
        <f t="shared" si="4"/>
        <v>0</v>
      </c>
    </row>
    <row r="19" spans="1:22" ht="12.75">
      <c r="A19" s="99" t="s">
        <v>39</v>
      </c>
      <c r="B19" s="100">
        <v>20445.89</v>
      </c>
      <c r="C19" s="101"/>
      <c r="D19" s="101">
        <f t="shared" si="2"/>
        <v>20445.89</v>
      </c>
      <c r="E19" s="101">
        <f>9990*2+465.89</f>
        <v>20445.89</v>
      </c>
      <c r="F19" s="101">
        <f>9990*2</f>
        <v>19980</v>
      </c>
      <c r="G19" s="101">
        <f>+(751.91+350.47+17.68)*0.25</f>
        <v>280.01500000000004</v>
      </c>
      <c r="H19" s="101">
        <f>+(751.91+350.47)*0.25</f>
        <v>275.595</v>
      </c>
      <c r="I19" s="101">
        <f>+(16171+50951.32+16171+52015.4+2522.48+812.95)*0.25</f>
        <v>34661.037500000006</v>
      </c>
      <c r="J19" s="101">
        <f>+(16171+50951.32+16171+52015.4)*0.25</f>
        <v>33827.18</v>
      </c>
      <c r="K19" s="101">
        <f t="shared" si="5"/>
        <v>54082.775</v>
      </c>
      <c r="L19" s="101">
        <v>0</v>
      </c>
      <c r="M19" s="101">
        <v>0</v>
      </c>
      <c r="N19" s="101">
        <f t="shared" si="6"/>
        <v>0</v>
      </c>
      <c r="O19" s="101">
        <v>0</v>
      </c>
      <c r="P19" s="101">
        <v>0</v>
      </c>
      <c r="Q19" s="101">
        <f t="shared" si="3"/>
        <v>0</v>
      </c>
      <c r="R19" s="101">
        <v>0</v>
      </c>
      <c r="S19" s="101">
        <v>0</v>
      </c>
      <c r="T19" s="101">
        <f t="shared" si="7"/>
        <v>0</v>
      </c>
      <c r="U19" s="101"/>
      <c r="V19" s="102">
        <f t="shared" si="4"/>
        <v>0</v>
      </c>
    </row>
    <row r="20" spans="1:22" ht="12.75">
      <c r="A20" s="99" t="s">
        <v>40</v>
      </c>
      <c r="B20" s="100">
        <v>1357043165.84</v>
      </c>
      <c r="C20" s="101"/>
      <c r="D20" s="101">
        <f t="shared" si="2"/>
        <v>1357043165.84</v>
      </c>
      <c r="E20" s="101">
        <v>17855831.13</v>
      </c>
      <c r="F20" s="101">
        <f aca="true" t="shared" si="8" ref="F20:F32">+E20</f>
        <v>17855831.13</v>
      </c>
      <c r="G20" s="101">
        <v>9526174.7</v>
      </c>
      <c r="H20" s="101">
        <f>+G20</f>
        <v>9526174.7</v>
      </c>
      <c r="I20" s="101">
        <v>7679078.2</v>
      </c>
      <c r="J20" s="101">
        <f>+I20</f>
        <v>7679078.2</v>
      </c>
      <c r="K20" s="101">
        <f t="shared" si="5"/>
        <v>35061084.03</v>
      </c>
      <c r="L20" s="101">
        <v>0</v>
      </c>
      <c r="M20" s="101">
        <v>0</v>
      </c>
      <c r="N20" s="101">
        <f t="shared" si="6"/>
        <v>0</v>
      </c>
      <c r="O20" s="101">
        <v>0</v>
      </c>
      <c r="P20" s="101">
        <v>0</v>
      </c>
      <c r="Q20" s="101">
        <f t="shared" si="3"/>
        <v>0</v>
      </c>
      <c r="R20" s="101">
        <v>0</v>
      </c>
      <c r="S20" s="101">
        <v>0</v>
      </c>
      <c r="T20" s="101">
        <f t="shared" si="7"/>
        <v>1339187334.7099998</v>
      </c>
      <c r="U20" s="101"/>
      <c r="V20" s="102">
        <f t="shared" si="4"/>
        <v>1339187334.7099998</v>
      </c>
    </row>
    <row r="21" spans="1:22" ht="12.75">
      <c r="A21" s="99" t="s">
        <v>203</v>
      </c>
      <c r="B21" s="100">
        <v>0</v>
      </c>
      <c r="C21" s="101"/>
      <c r="D21" s="101">
        <f t="shared" si="2"/>
        <v>0</v>
      </c>
      <c r="E21" s="100">
        <v>23060000</v>
      </c>
      <c r="F21" s="100">
        <f t="shared" si="8"/>
        <v>23060000</v>
      </c>
      <c r="G21" s="100">
        <v>13306502</v>
      </c>
      <c r="H21" s="100">
        <f>+G21</f>
        <v>13306502</v>
      </c>
      <c r="I21" s="100">
        <v>0</v>
      </c>
      <c r="J21" s="100">
        <v>0</v>
      </c>
      <c r="K21" s="100">
        <f>+F21+H21+J21</f>
        <v>36366502</v>
      </c>
      <c r="L21" s="101">
        <v>0</v>
      </c>
      <c r="M21" s="101">
        <v>0</v>
      </c>
      <c r="N21" s="101">
        <f t="shared" si="6"/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f t="shared" si="7"/>
        <v>-23060000</v>
      </c>
      <c r="U21" s="101"/>
      <c r="V21" s="102">
        <f t="shared" si="4"/>
        <v>-23060000</v>
      </c>
    </row>
    <row r="22" spans="1:22" ht="12.75">
      <c r="A22" s="99" t="s">
        <v>42</v>
      </c>
      <c r="B22" s="100">
        <v>13198533.110000001</v>
      </c>
      <c r="C22" s="101"/>
      <c r="D22" s="101">
        <f t="shared" si="2"/>
        <v>13198533.110000001</v>
      </c>
      <c r="E22" s="101">
        <f>173664.91*3</f>
        <v>520994.73</v>
      </c>
      <c r="F22" s="101">
        <f t="shared" si="8"/>
        <v>520994.73</v>
      </c>
      <c r="G22" s="101">
        <f>148136.61+165844.29+148900.57</f>
        <v>462881.47000000003</v>
      </c>
      <c r="H22" s="101">
        <f aca="true" t="shared" si="9" ref="H22:H27">+G22</f>
        <v>462881.47000000003</v>
      </c>
      <c r="I22" s="101">
        <f>114097.76+111966.18+104979.35</f>
        <v>331043.29000000004</v>
      </c>
      <c r="J22" s="101">
        <f>+I22</f>
        <v>331043.29000000004</v>
      </c>
      <c r="K22" s="101">
        <f t="shared" si="5"/>
        <v>1314919.49</v>
      </c>
      <c r="L22" s="101">
        <v>0</v>
      </c>
      <c r="M22" s="101">
        <v>0</v>
      </c>
      <c r="N22" s="101">
        <f t="shared" si="6"/>
        <v>0</v>
      </c>
      <c r="O22" s="101">
        <v>0</v>
      </c>
      <c r="P22" s="101">
        <v>0</v>
      </c>
      <c r="Q22" s="101">
        <f aca="true" t="shared" si="10" ref="Q22:Q27">SUM(O22:P22)</f>
        <v>0</v>
      </c>
      <c r="R22" s="101">
        <v>0</v>
      </c>
      <c r="S22" s="101">
        <v>0</v>
      </c>
      <c r="T22" s="101">
        <f t="shared" si="7"/>
        <v>12677538.38</v>
      </c>
      <c r="U22" s="101"/>
      <c r="V22" s="102">
        <f t="shared" si="4"/>
        <v>12677538.38</v>
      </c>
    </row>
    <row r="23" spans="1:22" ht="12.75">
      <c r="A23" s="99" t="s">
        <v>43</v>
      </c>
      <c r="B23" s="100">
        <v>1596048.27</v>
      </c>
      <c r="C23" s="101"/>
      <c r="D23" s="101">
        <f t="shared" si="2"/>
        <v>1596048.27</v>
      </c>
      <c r="E23" s="101">
        <f>88669.35+114180.03+114209.44</f>
        <v>317058.82</v>
      </c>
      <c r="F23" s="101">
        <f t="shared" si="8"/>
        <v>317058.82</v>
      </c>
      <c r="G23" s="101">
        <f>11806.16+14405.83+12289.09</f>
        <v>38501.08</v>
      </c>
      <c r="H23" s="101">
        <f t="shared" si="9"/>
        <v>38501.08</v>
      </c>
      <c r="I23" s="101">
        <f>16107.42+15171.52+22093.06</f>
        <v>53372</v>
      </c>
      <c r="J23" s="101">
        <f>+I23</f>
        <v>53372</v>
      </c>
      <c r="K23" s="101">
        <f t="shared" si="5"/>
        <v>408931.9</v>
      </c>
      <c r="L23" s="101">
        <v>0</v>
      </c>
      <c r="M23" s="101">
        <v>0</v>
      </c>
      <c r="N23" s="101">
        <f t="shared" si="6"/>
        <v>0</v>
      </c>
      <c r="O23" s="101">
        <v>0</v>
      </c>
      <c r="P23" s="101">
        <v>0</v>
      </c>
      <c r="Q23" s="101">
        <f t="shared" si="10"/>
        <v>0</v>
      </c>
      <c r="R23" s="101">
        <v>0</v>
      </c>
      <c r="S23" s="101">
        <v>262226.09</v>
      </c>
      <c r="T23" s="101">
        <f t="shared" si="7"/>
        <v>1541215.54</v>
      </c>
      <c r="U23" s="101"/>
      <c r="V23" s="102">
        <f t="shared" si="4"/>
        <v>1541215.54</v>
      </c>
    </row>
    <row r="24" spans="1:22" ht="12.75">
      <c r="A24" s="99" t="s">
        <v>45</v>
      </c>
      <c r="B24" s="100">
        <v>68120066.69</v>
      </c>
      <c r="C24" s="101"/>
      <c r="D24" s="101">
        <f>SUM(B24:C24)</f>
        <v>68120066.69</v>
      </c>
      <c r="E24" s="101">
        <v>2431886.37</v>
      </c>
      <c r="F24" s="101">
        <f t="shared" si="8"/>
        <v>2431886.37</v>
      </c>
      <c r="G24" s="101">
        <v>764397.26</v>
      </c>
      <c r="H24" s="101">
        <f t="shared" si="9"/>
        <v>764397.26</v>
      </c>
      <c r="I24" s="101">
        <v>0</v>
      </c>
      <c r="J24" s="101">
        <v>0</v>
      </c>
      <c r="K24" s="101">
        <f t="shared" si="5"/>
        <v>3196283.63</v>
      </c>
      <c r="L24" s="101">
        <v>0</v>
      </c>
      <c r="M24" s="101">
        <v>0</v>
      </c>
      <c r="N24" s="101">
        <f t="shared" si="6"/>
        <v>0</v>
      </c>
      <c r="O24" s="101">
        <v>0</v>
      </c>
      <c r="P24" s="101">
        <v>0</v>
      </c>
      <c r="Q24" s="101">
        <f t="shared" si="10"/>
        <v>0</v>
      </c>
      <c r="R24" s="101">
        <v>0</v>
      </c>
      <c r="S24" s="101">
        <v>0</v>
      </c>
      <c r="T24" s="101">
        <f t="shared" si="7"/>
        <v>65688180.32</v>
      </c>
      <c r="U24" s="101"/>
      <c r="V24" s="102">
        <f t="shared" si="4"/>
        <v>65688180.32</v>
      </c>
    </row>
    <row r="25" spans="1:22" ht="12.75">
      <c r="A25" s="99" t="s">
        <v>119</v>
      </c>
      <c r="B25" s="100">
        <v>19036659.36</v>
      </c>
      <c r="C25" s="101"/>
      <c r="D25" s="101">
        <f t="shared" si="2"/>
        <v>19036659.36</v>
      </c>
      <c r="E25" s="101">
        <v>250482.36</v>
      </c>
      <c r="F25" s="101">
        <f t="shared" si="8"/>
        <v>250482.36</v>
      </c>
      <c r="G25" s="101">
        <v>133633.59</v>
      </c>
      <c r="H25" s="101">
        <f t="shared" si="9"/>
        <v>133633.59</v>
      </c>
      <c r="I25" s="101">
        <v>107722.43</v>
      </c>
      <c r="J25" s="101">
        <f>+I25</f>
        <v>107722.43</v>
      </c>
      <c r="K25" s="101">
        <f t="shared" si="5"/>
        <v>491838.37999999995</v>
      </c>
      <c r="L25" s="101">
        <v>0</v>
      </c>
      <c r="M25" s="101">
        <v>0</v>
      </c>
      <c r="N25" s="101">
        <f t="shared" si="6"/>
        <v>0</v>
      </c>
      <c r="O25" s="101">
        <v>0</v>
      </c>
      <c r="P25" s="101">
        <v>0</v>
      </c>
      <c r="Q25" s="101">
        <f t="shared" si="10"/>
        <v>0</v>
      </c>
      <c r="R25" s="101">
        <v>0</v>
      </c>
      <c r="S25" s="101">
        <v>0</v>
      </c>
      <c r="T25" s="101">
        <f t="shared" si="7"/>
        <v>18786177</v>
      </c>
      <c r="U25" s="101"/>
      <c r="V25" s="102">
        <f t="shared" si="4"/>
        <v>18786177</v>
      </c>
    </row>
    <row r="26" spans="1:22" ht="12.75">
      <c r="A26" s="99" t="s">
        <v>49</v>
      </c>
      <c r="B26" s="100">
        <v>21203787.52</v>
      </c>
      <c r="C26" s="101"/>
      <c r="D26" s="101">
        <f t="shared" si="2"/>
        <v>21203787.52</v>
      </c>
      <c r="E26" s="101">
        <v>3446299.26</v>
      </c>
      <c r="F26" s="101">
        <f t="shared" si="8"/>
        <v>3446299.26</v>
      </c>
      <c r="G26" s="101">
        <v>0</v>
      </c>
      <c r="H26" s="101">
        <f t="shared" si="9"/>
        <v>0</v>
      </c>
      <c r="I26" s="101">
        <v>0</v>
      </c>
      <c r="J26" s="101">
        <v>0</v>
      </c>
      <c r="K26" s="101">
        <f t="shared" si="5"/>
        <v>3446299.26</v>
      </c>
      <c r="L26" s="101">
        <v>0</v>
      </c>
      <c r="M26" s="101">
        <v>0</v>
      </c>
      <c r="N26" s="101">
        <f t="shared" si="6"/>
        <v>0</v>
      </c>
      <c r="O26" s="101">
        <v>0</v>
      </c>
      <c r="P26" s="101">
        <v>0</v>
      </c>
      <c r="Q26" s="101">
        <f t="shared" si="10"/>
        <v>0</v>
      </c>
      <c r="R26" s="101">
        <v>0</v>
      </c>
      <c r="S26" s="101">
        <v>0</v>
      </c>
      <c r="T26" s="101">
        <f t="shared" si="7"/>
        <v>17757488.259999998</v>
      </c>
      <c r="U26" s="101"/>
      <c r="V26" s="102">
        <f t="shared" si="4"/>
        <v>17757488.259999998</v>
      </c>
    </row>
    <row r="27" spans="1:22" ht="12.75">
      <c r="A27" s="99" t="s">
        <v>51</v>
      </c>
      <c r="B27" s="100">
        <v>3814059</v>
      </c>
      <c r="C27" s="101"/>
      <c r="D27" s="101">
        <f t="shared" si="2"/>
        <v>3814059</v>
      </c>
      <c r="E27" s="101">
        <f>95351.47*2+95351.48</f>
        <v>286054.42</v>
      </c>
      <c r="F27" s="101">
        <f t="shared" si="8"/>
        <v>286054.42</v>
      </c>
      <c r="G27" s="101">
        <f>30256.45+33460.2+29758.03</f>
        <v>93474.68</v>
      </c>
      <c r="H27" s="101">
        <f t="shared" si="9"/>
        <v>93474.68</v>
      </c>
      <c r="I27" s="101">
        <f>29524.43+28599.41+25567.46</f>
        <v>83691.29999999999</v>
      </c>
      <c r="J27" s="101">
        <f>+I27</f>
        <v>83691.29999999999</v>
      </c>
      <c r="K27" s="101">
        <f t="shared" si="5"/>
        <v>463220.39999999997</v>
      </c>
      <c r="L27" s="101">
        <v>0</v>
      </c>
      <c r="M27" s="101">
        <v>0</v>
      </c>
      <c r="N27" s="101">
        <f t="shared" si="6"/>
        <v>0</v>
      </c>
      <c r="O27" s="101">
        <v>0</v>
      </c>
      <c r="P27" s="101">
        <v>0</v>
      </c>
      <c r="Q27" s="101">
        <f t="shared" si="10"/>
        <v>0</v>
      </c>
      <c r="R27" s="101">
        <v>0</v>
      </c>
      <c r="S27" s="101">
        <v>0</v>
      </c>
      <c r="T27" s="101">
        <f t="shared" si="7"/>
        <v>3528004.58</v>
      </c>
      <c r="U27" s="101"/>
      <c r="V27" s="102">
        <f t="shared" si="4"/>
        <v>3528004.58</v>
      </c>
    </row>
    <row r="28" spans="1:22" ht="12.75">
      <c r="A28" s="99" t="s">
        <v>120</v>
      </c>
      <c r="B28" s="100">
        <v>2163355.89</v>
      </c>
      <c r="C28" s="101"/>
      <c r="D28" s="101">
        <f t="shared" si="2"/>
        <v>2163355.89</v>
      </c>
      <c r="E28" s="101">
        <v>0</v>
      </c>
      <c r="F28" s="101">
        <f t="shared" si="8"/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f t="shared" si="5"/>
        <v>0</v>
      </c>
      <c r="L28" s="101">
        <v>0</v>
      </c>
      <c r="M28" s="101">
        <v>0</v>
      </c>
      <c r="N28" s="101">
        <f t="shared" si="6"/>
        <v>0</v>
      </c>
      <c r="O28" s="101">
        <v>0</v>
      </c>
      <c r="P28" s="101">
        <v>0</v>
      </c>
      <c r="Q28" s="101">
        <f>SUM(O28:P28)</f>
        <v>0</v>
      </c>
      <c r="R28" s="101">
        <v>0</v>
      </c>
      <c r="S28" s="101">
        <v>0</v>
      </c>
      <c r="T28" s="101">
        <f t="shared" si="7"/>
        <v>2163355.89</v>
      </c>
      <c r="U28" s="103"/>
      <c r="V28" s="102">
        <f t="shared" si="4"/>
        <v>2163355.89</v>
      </c>
    </row>
    <row r="29" spans="1:22" ht="12.75">
      <c r="A29" s="99" t="s">
        <v>121</v>
      </c>
      <c r="B29" s="100">
        <v>141135068.49</v>
      </c>
      <c r="C29" s="100"/>
      <c r="D29" s="100">
        <f>+B29</f>
        <v>141135068.49</v>
      </c>
      <c r="E29" s="100">
        <v>0</v>
      </c>
      <c r="F29" s="100">
        <f t="shared" si="8"/>
        <v>0</v>
      </c>
      <c r="G29" s="101">
        <v>1368816.83</v>
      </c>
      <c r="H29" s="100">
        <f>+G29</f>
        <v>1368816.83</v>
      </c>
      <c r="I29" s="100">
        <v>0</v>
      </c>
      <c r="J29" s="100">
        <v>0</v>
      </c>
      <c r="K29" s="100">
        <f t="shared" si="5"/>
        <v>1368816.83</v>
      </c>
      <c r="L29" s="100">
        <v>0</v>
      </c>
      <c r="M29" s="100">
        <v>0</v>
      </c>
      <c r="N29" s="100">
        <f t="shared" si="6"/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f t="shared" si="7"/>
        <v>141135068.49</v>
      </c>
      <c r="U29" s="104"/>
      <c r="V29" s="102">
        <f t="shared" si="4"/>
        <v>141135068.49</v>
      </c>
    </row>
    <row r="30" spans="1:22" ht="12.75">
      <c r="A30" s="99" t="s">
        <v>122</v>
      </c>
      <c r="B30" s="100">
        <v>78137643.35000001</v>
      </c>
      <c r="C30" s="100"/>
      <c r="D30" s="100">
        <f>+B30</f>
        <v>78137643.35000001</v>
      </c>
      <c r="E30" s="100">
        <v>9752559</v>
      </c>
      <c r="F30" s="100">
        <f t="shared" si="8"/>
        <v>9752559</v>
      </c>
      <c r="G30" s="101">
        <v>954355.03</v>
      </c>
      <c r="H30" s="100">
        <f>+G30</f>
        <v>954355.03</v>
      </c>
      <c r="I30" s="100">
        <v>2838485.8</v>
      </c>
      <c r="J30" s="100">
        <f>+I30</f>
        <v>2838485.8</v>
      </c>
      <c r="K30" s="100">
        <f t="shared" si="5"/>
        <v>13545399.829999998</v>
      </c>
      <c r="L30" s="100">
        <v>0</v>
      </c>
      <c r="M30" s="100">
        <v>0</v>
      </c>
      <c r="N30" s="100">
        <f t="shared" si="6"/>
        <v>0</v>
      </c>
      <c r="O30" s="100">
        <v>0</v>
      </c>
      <c r="P30" s="100">
        <v>0</v>
      </c>
      <c r="Q30" s="100">
        <f>+O30+P30</f>
        <v>0</v>
      </c>
      <c r="R30" s="100">
        <v>0</v>
      </c>
      <c r="S30" s="100">
        <v>0</v>
      </c>
      <c r="T30" s="103">
        <f t="shared" si="7"/>
        <v>68385084.35000001</v>
      </c>
      <c r="U30" s="101"/>
      <c r="V30" s="105">
        <f t="shared" si="4"/>
        <v>68385084.35000001</v>
      </c>
    </row>
    <row r="31" spans="1:22" ht="12.75">
      <c r="A31" s="99" t="s">
        <v>123</v>
      </c>
      <c r="B31" s="100">
        <v>161420000</v>
      </c>
      <c r="C31" s="100"/>
      <c r="D31" s="100">
        <f>+B31</f>
        <v>161420000</v>
      </c>
      <c r="E31" s="100">
        <v>0</v>
      </c>
      <c r="F31" s="100">
        <f t="shared" si="8"/>
        <v>0</v>
      </c>
      <c r="G31" s="100">
        <v>0</v>
      </c>
      <c r="H31" s="100">
        <f>+G31</f>
        <v>0</v>
      </c>
      <c r="I31" s="100">
        <v>0</v>
      </c>
      <c r="J31" s="100">
        <v>0</v>
      </c>
      <c r="K31" s="100">
        <f t="shared" si="5"/>
        <v>0</v>
      </c>
      <c r="L31" s="100">
        <v>0</v>
      </c>
      <c r="M31" s="100">
        <v>0</v>
      </c>
      <c r="N31" s="100">
        <f t="shared" si="6"/>
        <v>0</v>
      </c>
      <c r="O31" s="100">
        <v>0</v>
      </c>
      <c r="P31" s="100">
        <v>0</v>
      </c>
      <c r="Q31" s="100">
        <f>+O31</f>
        <v>0</v>
      </c>
      <c r="R31" s="100">
        <v>0</v>
      </c>
      <c r="S31" s="100">
        <v>0</v>
      </c>
      <c r="T31" s="104">
        <f t="shared" si="7"/>
        <v>161420000</v>
      </c>
      <c r="U31" s="101"/>
      <c r="V31" s="106">
        <f t="shared" si="4"/>
        <v>161420000</v>
      </c>
    </row>
    <row r="32" spans="1:22" ht="12.75">
      <c r="A32" s="99" t="s">
        <v>124</v>
      </c>
      <c r="B32" s="100">
        <v>0</v>
      </c>
      <c r="C32" s="100"/>
      <c r="D32" s="100">
        <v>0</v>
      </c>
      <c r="E32" s="100">
        <v>0</v>
      </c>
      <c r="F32" s="100">
        <f t="shared" si="8"/>
        <v>0</v>
      </c>
      <c r="G32" s="100">
        <v>21222.02</v>
      </c>
      <c r="H32" s="100">
        <v>21222.02</v>
      </c>
      <c r="I32" s="100">
        <v>0</v>
      </c>
      <c r="J32" s="100">
        <v>0</v>
      </c>
      <c r="K32" s="100">
        <f t="shared" si="5"/>
        <v>21222.02</v>
      </c>
      <c r="L32" s="100">
        <v>6062975</v>
      </c>
      <c r="M32" s="100">
        <v>0</v>
      </c>
      <c r="N32" s="100">
        <f t="shared" si="6"/>
        <v>6062975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4">
        <f t="shared" si="7"/>
        <v>6062975</v>
      </c>
      <c r="U32" s="101"/>
      <c r="V32" s="106">
        <f t="shared" si="4"/>
        <v>6062975</v>
      </c>
    </row>
    <row r="33" spans="1:22" ht="12.75">
      <c r="A33" s="107" t="s">
        <v>125</v>
      </c>
      <c r="B33" s="108">
        <f>SUM(B34:B40)</f>
        <v>261074249.47</v>
      </c>
      <c r="C33" s="108">
        <f aca="true" t="shared" si="11" ref="C33:U33">SUM(C34:C40)</f>
        <v>0</v>
      </c>
      <c r="D33" s="108">
        <f t="shared" si="11"/>
        <v>261074249.47</v>
      </c>
      <c r="E33" s="108">
        <f t="shared" si="11"/>
        <v>6343682.37</v>
      </c>
      <c r="F33" s="108">
        <f t="shared" si="11"/>
        <v>6343682.37</v>
      </c>
      <c r="G33" s="108">
        <f t="shared" si="11"/>
        <v>18050736.3</v>
      </c>
      <c r="H33" s="108">
        <f t="shared" si="11"/>
        <v>18050736.3</v>
      </c>
      <c r="I33" s="108">
        <f t="shared" si="11"/>
        <v>13334460.31</v>
      </c>
      <c r="J33" s="108">
        <f t="shared" si="11"/>
        <v>13334460.31</v>
      </c>
      <c r="K33" s="108">
        <f t="shared" si="11"/>
        <v>37728878.980000004</v>
      </c>
      <c r="L33" s="108">
        <f t="shared" si="11"/>
        <v>0</v>
      </c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108">
        <f t="shared" si="11"/>
        <v>0</v>
      </c>
      <c r="R33" s="108">
        <v>0</v>
      </c>
      <c r="S33" s="108">
        <f t="shared" si="11"/>
        <v>0</v>
      </c>
      <c r="T33" s="109">
        <f t="shared" si="11"/>
        <v>254730567.1</v>
      </c>
      <c r="U33" s="96">
        <f t="shared" si="11"/>
        <v>0</v>
      </c>
      <c r="V33" s="110">
        <f t="shared" si="4"/>
        <v>254730567.1</v>
      </c>
    </row>
    <row r="34" spans="1:22" ht="12.75">
      <c r="A34" s="99" t="s">
        <v>126</v>
      </c>
      <c r="B34" s="100">
        <v>17381000</v>
      </c>
      <c r="C34" s="101"/>
      <c r="D34" s="101">
        <f aca="true" t="shared" si="12" ref="D34:D40">SUM(B34:C34)</f>
        <v>17381000</v>
      </c>
      <c r="E34" s="101">
        <v>0</v>
      </c>
      <c r="F34" s="101">
        <f aca="true" t="shared" si="13" ref="F34:F40">+E34</f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f t="shared" si="5"/>
        <v>0</v>
      </c>
      <c r="L34" s="101">
        <v>0</v>
      </c>
      <c r="M34" s="101">
        <v>0</v>
      </c>
      <c r="N34" s="101">
        <f aca="true" t="shared" si="14" ref="N34:N40">SUM(L34:M34)</f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f aca="true" t="shared" si="15" ref="T34:T40">+D34-F34+N34+Q34-R34+S34</f>
        <v>17381000</v>
      </c>
      <c r="U34" s="101"/>
      <c r="V34" s="102">
        <f t="shared" si="4"/>
        <v>17381000</v>
      </c>
    </row>
    <row r="35" spans="1:22" ht="12.75">
      <c r="A35" s="99" t="s">
        <v>127</v>
      </c>
      <c r="B35" s="100">
        <v>4190936.48</v>
      </c>
      <c r="C35" s="101"/>
      <c r="D35" s="101">
        <f t="shared" si="12"/>
        <v>4190936.48</v>
      </c>
      <c r="E35" s="101">
        <v>0</v>
      </c>
      <c r="F35" s="101">
        <f t="shared" si="13"/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f t="shared" si="5"/>
        <v>0</v>
      </c>
      <c r="L35" s="101">
        <v>0</v>
      </c>
      <c r="M35" s="101">
        <v>0</v>
      </c>
      <c r="N35" s="101">
        <f t="shared" si="14"/>
        <v>0</v>
      </c>
      <c r="O35" s="101">
        <v>0</v>
      </c>
      <c r="P35" s="101">
        <v>0</v>
      </c>
      <c r="Q35" s="101">
        <f>SUM(O35:P35)</f>
        <v>0</v>
      </c>
      <c r="R35" s="101">
        <v>0</v>
      </c>
      <c r="S35" s="101">
        <v>0</v>
      </c>
      <c r="T35" s="101">
        <f t="shared" si="15"/>
        <v>4190936.48</v>
      </c>
      <c r="U35" s="101"/>
      <c r="V35" s="102">
        <f t="shared" si="4"/>
        <v>4190936.48</v>
      </c>
    </row>
    <row r="36" spans="1:22" ht="12.75">
      <c r="A36" s="99" t="s">
        <v>74</v>
      </c>
      <c r="B36" s="100">
        <v>211646759.85</v>
      </c>
      <c r="C36" s="101"/>
      <c r="D36" s="101">
        <f t="shared" si="12"/>
        <v>211646759.85</v>
      </c>
      <c r="E36" s="101">
        <v>6343682.37</v>
      </c>
      <c r="F36" s="101">
        <f t="shared" si="13"/>
        <v>6343682.37</v>
      </c>
      <c r="G36" s="101">
        <v>18050736.3</v>
      </c>
      <c r="H36" s="101">
        <f>+G36</f>
        <v>18050736.3</v>
      </c>
      <c r="I36" s="101">
        <v>13334460.31</v>
      </c>
      <c r="J36" s="101">
        <f>+I36</f>
        <v>13334460.31</v>
      </c>
      <c r="K36" s="101">
        <f t="shared" si="5"/>
        <v>37728878.980000004</v>
      </c>
      <c r="L36" s="101">
        <v>0</v>
      </c>
      <c r="M36" s="101">
        <v>0</v>
      </c>
      <c r="N36" s="101">
        <f t="shared" si="14"/>
        <v>0</v>
      </c>
      <c r="O36" s="101">
        <v>0</v>
      </c>
      <c r="P36" s="101">
        <v>0</v>
      </c>
      <c r="Q36" s="101">
        <f>SUM(O36:P36)</f>
        <v>0</v>
      </c>
      <c r="R36" s="101">
        <v>0</v>
      </c>
      <c r="S36" s="101">
        <v>0</v>
      </c>
      <c r="T36" s="101">
        <f t="shared" si="15"/>
        <v>205303077.48</v>
      </c>
      <c r="U36" s="101"/>
      <c r="V36" s="102">
        <f t="shared" si="4"/>
        <v>205303077.48</v>
      </c>
    </row>
    <row r="37" spans="1:22" ht="12.75">
      <c r="A37" s="99" t="s">
        <v>75</v>
      </c>
      <c r="B37" s="100">
        <v>5739956.37</v>
      </c>
      <c r="C37" s="101"/>
      <c r="D37" s="101">
        <f t="shared" si="12"/>
        <v>5739956.37</v>
      </c>
      <c r="E37" s="101">
        <v>0</v>
      </c>
      <c r="F37" s="101">
        <f t="shared" si="13"/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f t="shared" si="5"/>
        <v>0</v>
      </c>
      <c r="L37" s="101">
        <v>0</v>
      </c>
      <c r="M37" s="101">
        <v>0</v>
      </c>
      <c r="N37" s="101">
        <f t="shared" si="14"/>
        <v>0</v>
      </c>
      <c r="O37" s="101">
        <v>0</v>
      </c>
      <c r="P37" s="101">
        <v>0</v>
      </c>
      <c r="Q37" s="101">
        <f>SUM(O37:P37)</f>
        <v>0</v>
      </c>
      <c r="R37" s="101">
        <v>0</v>
      </c>
      <c r="S37" s="101">
        <v>0</v>
      </c>
      <c r="T37" s="101">
        <f t="shared" si="15"/>
        <v>5739956.37</v>
      </c>
      <c r="U37" s="101"/>
      <c r="V37" s="102">
        <f t="shared" si="4"/>
        <v>5739956.37</v>
      </c>
    </row>
    <row r="38" spans="1:22" ht="12.75">
      <c r="A38" s="99" t="s">
        <v>128</v>
      </c>
      <c r="B38" s="100">
        <v>7746690.510000002</v>
      </c>
      <c r="C38" s="101"/>
      <c r="D38" s="101">
        <f t="shared" si="12"/>
        <v>7746690.510000002</v>
      </c>
      <c r="E38" s="101">
        <v>0</v>
      </c>
      <c r="F38" s="101">
        <f t="shared" si="13"/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f t="shared" si="5"/>
        <v>0</v>
      </c>
      <c r="L38" s="101">
        <v>0</v>
      </c>
      <c r="M38" s="101">
        <v>0</v>
      </c>
      <c r="N38" s="101">
        <f t="shared" si="14"/>
        <v>0</v>
      </c>
      <c r="O38" s="101">
        <v>0</v>
      </c>
      <c r="P38" s="101">
        <v>0</v>
      </c>
      <c r="Q38" s="101">
        <f>SUM(O38:P38)</f>
        <v>0</v>
      </c>
      <c r="R38" s="101">
        <v>0</v>
      </c>
      <c r="S38" s="101">
        <v>0</v>
      </c>
      <c r="T38" s="101">
        <f t="shared" si="15"/>
        <v>7746690.510000002</v>
      </c>
      <c r="U38" s="101"/>
      <c r="V38" s="102">
        <f t="shared" si="4"/>
        <v>7746690.510000002</v>
      </c>
    </row>
    <row r="39" spans="1:22" ht="12.75">
      <c r="A39" s="99" t="s">
        <v>129</v>
      </c>
      <c r="B39" s="100">
        <v>369215.27</v>
      </c>
      <c r="C39" s="101"/>
      <c r="D39" s="101">
        <f t="shared" si="12"/>
        <v>369215.27</v>
      </c>
      <c r="E39" s="101">
        <v>0</v>
      </c>
      <c r="F39" s="101">
        <f t="shared" si="13"/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f t="shared" si="5"/>
        <v>0</v>
      </c>
      <c r="L39" s="101">
        <v>0</v>
      </c>
      <c r="M39" s="101">
        <v>0</v>
      </c>
      <c r="N39" s="101">
        <f t="shared" si="14"/>
        <v>0</v>
      </c>
      <c r="O39" s="101">
        <v>0</v>
      </c>
      <c r="P39" s="101">
        <v>0</v>
      </c>
      <c r="Q39" s="101">
        <f>SUM(O39:P39)</f>
        <v>0</v>
      </c>
      <c r="R39" s="101">
        <v>0</v>
      </c>
      <c r="S39" s="101">
        <v>0</v>
      </c>
      <c r="T39" s="101">
        <f t="shared" si="15"/>
        <v>369215.27</v>
      </c>
      <c r="U39" s="101"/>
      <c r="V39" s="102">
        <f t="shared" si="4"/>
        <v>369215.27</v>
      </c>
    </row>
    <row r="40" spans="1:22" ht="12.75">
      <c r="A40" s="99" t="s">
        <v>130</v>
      </c>
      <c r="B40" s="100">
        <v>13999690.99</v>
      </c>
      <c r="C40" s="100"/>
      <c r="D40" s="100">
        <f t="shared" si="12"/>
        <v>13999690.99</v>
      </c>
      <c r="E40" s="100">
        <v>0</v>
      </c>
      <c r="F40" s="100">
        <f t="shared" si="13"/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f t="shared" si="5"/>
        <v>0</v>
      </c>
      <c r="L40" s="100">
        <v>0</v>
      </c>
      <c r="M40" s="100">
        <v>0</v>
      </c>
      <c r="N40" s="100">
        <f t="shared" si="14"/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f t="shared" si="15"/>
        <v>13999690.99</v>
      </c>
      <c r="U40" s="100"/>
      <c r="V40" s="102">
        <f t="shared" si="4"/>
        <v>13999690.99</v>
      </c>
    </row>
    <row r="41" spans="1:22" ht="15">
      <c r="A41" s="111" t="s">
        <v>131</v>
      </c>
      <c r="B41" s="108">
        <f>+B42</f>
        <v>4599951.32</v>
      </c>
      <c r="C41" s="108">
        <f aca="true" t="shared" si="16" ref="C41:V41">+C42</f>
        <v>0</v>
      </c>
      <c r="D41" s="108">
        <f t="shared" si="16"/>
        <v>4599951.32</v>
      </c>
      <c r="E41" s="108">
        <f t="shared" si="16"/>
        <v>0</v>
      </c>
      <c r="F41" s="108">
        <f t="shared" si="16"/>
        <v>0</v>
      </c>
      <c r="G41" s="108">
        <f t="shared" si="16"/>
        <v>0</v>
      </c>
      <c r="H41" s="108">
        <f t="shared" si="16"/>
        <v>0</v>
      </c>
      <c r="I41" s="108">
        <f t="shared" si="16"/>
        <v>0</v>
      </c>
      <c r="J41" s="108">
        <f t="shared" si="16"/>
        <v>0</v>
      </c>
      <c r="K41" s="108">
        <f t="shared" si="16"/>
        <v>0</v>
      </c>
      <c r="L41" s="108">
        <f t="shared" si="16"/>
        <v>0</v>
      </c>
      <c r="M41" s="108">
        <f t="shared" si="16"/>
        <v>0</v>
      </c>
      <c r="N41" s="108">
        <f t="shared" si="16"/>
        <v>0</v>
      </c>
      <c r="O41" s="108">
        <f t="shared" si="16"/>
        <v>0</v>
      </c>
      <c r="P41" s="108">
        <f t="shared" si="16"/>
        <v>0</v>
      </c>
      <c r="Q41" s="108">
        <f t="shared" si="16"/>
        <v>0</v>
      </c>
      <c r="R41" s="108">
        <f t="shared" si="16"/>
        <v>0</v>
      </c>
      <c r="S41" s="108">
        <f t="shared" si="16"/>
        <v>0</v>
      </c>
      <c r="T41" s="108">
        <f t="shared" si="16"/>
        <v>4599951.32</v>
      </c>
      <c r="U41" s="108">
        <f t="shared" si="16"/>
        <v>0</v>
      </c>
      <c r="V41" s="110">
        <f t="shared" si="16"/>
        <v>4599951.32</v>
      </c>
    </row>
    <row r="42" spans="1:22" ht="12.75">
      <c r="A42" s="107" t="s">
        <v>116</v>
      </c>
      <c r="B42" s="108">
        <f aca="true" t="shared" si="17" ref="B42:V42">SUM(B43:B43)</f>
        <v>4599951.32</v>
      </c>
      <c r="C42" s="108">
        <f t="shared" si="17"/>
        <v>0</v>
      </c>
      <c r="D42" s="108">
        <f t="shared" si="17"/>
        <v>4599951.32</v>
      </c>
      <c r="E42" s="108">
        <f t="shared" si="17"/>
        <v>0</v>
      </c>
      <c r="F42" s="108">
        <f t="shared" si="17"/>
        <v>0</v>
      </c>
      <c r="G42" s="108">
        <f t="shared" si="17"/>
        <v>0</v>
      </c>
      <c r="H42" s="108">
        <f t="shared" si="17"/>
        <v>0</v>
      </c>
      <c r="I42" s="108">
        <f t="shared" si="17"/>
        <v>0</v>
      </c>
      <c r="J42" s="108">
        <f t="shared" si="17"/>
        <v>0</v>
      </c>
      <c r="K42" s="108">
        <f t="shared" si="17"/>
        <v>0</v>
      </c>
      <c r="L42" s="108">
        <f t="shared" si="17"/>
        <v>0</v>
      </c>
      <c r="M42" s="108">
        <f t="shared" si="17"/>
        <v>0</v>
      </c>
      <c r="N42" s="108">
        <f t="shared" si="17"/>
        <v>0</v>
      </c>
      <c r="O42" s="108">
        <f t="shared" si="17"/>
        <v>0</v>
      </c>
      <c r="P42" s="108">
        <f t="shared" si="17"/>
        <v>0</v>
      </c>
      <c r="Q42" s="108">
        <f t="shared" si="17"/>
        <v>0</v>
      </c>
      <c r="R42" s="108">
        <f t="shared" si="17"/>
        <v>0</v>
      </c>
      <c r="S42" s="108">
        <f t="shared" si="17"/>
        <v>0</v>
      </c>
      <c r="T42" s="108">
        <f t="shared" si="17"/>
        <v>4599951.32</v>
      </c>
      <c r="U42" s="108">
        <f t="shared" si="17"/>
        <v>0</v>
      </c>
      <c r="V42" s="110">
        <f t="shared" si="17"/>
        <v>4599951.32</v>
      </c>
    </row>
    <row r="43" spans="1:22" ht="12.75">
      <c r="A43" s="99" t="s">
        <v>132</v>
      </c>
      <c r="B43" s="100">
        <v>4599951.32</v>
      </c>
      <c r="C43" s="96"/>
      <c r="D43" s="100">
        <f>+B43</f>
        <v>4599951.32</v>
      </c>
      <c r="E43" s="101">
        <v>0</v>
      </c>
      <c r="F43" s="101"/>
      <c r="G43" s="101">
        <v>0</v>
      </c>
      <c r="H43" s="101"/>
      <c r="I43" s="101"/>
      <c r="J43" s="101">
        <v>0</v>
      </c>
      <c r="K43" s="101">
        <f>+F43+H43+J43</f>
        <v>0</v>
      </c>
      <c r="L43" s="101">
        <v>0</v>
      </c>
      <c r="M43" s="101">
        <v>0</v>
      </c>
      <c r="N43" s="101">
        <f>SUM(L43:M43)</f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f>+D43-E43</f>
        <v>4599951.32</v>
      </c>
      <c r="U43" s="96"/>
      <c r="V43" s="102">
        <f>SUM(T43:U43)</f>
        <v>4599951.32</v>
      </c>
    </row>
    <row r="44" spans="1:22" ht="15">
      <c r="A44" s="111" t="s">
        <v>133</v>
      </c>
      <c r="B44" s="108">
        <f>+B45+B48</f>
        <v>243682233.72000003</v>
      </c>
      <c r="C44" s="108">
        <f aca="true" t="shared" si="18" ref="C44:V44">+C45+C48</f>
        <v>0</v>
      </c>
      <c r="D44" s="108">
        <f t="shared" si="18"/>
        <v>243682233.72000003</v>
      </c>
      <c r="E44" s="108">
        <f t="shared" si="18"/>
        <v>0</v>
      </c>
      <c r="F44" s="108">
        <f t="shared" si="18"/>
        <v>0</v>
      </c>
      <c r="G44" s="108">
        <f t="shared" si="18"/>
        <v>378326.07999999996</v>
      </c>
      <c r="H44" s="108">
        <f t="shared" si="18"/>
        <v>378326.07999999996</v>
      </c>
      <c r="I44" s="108">
        <f t="shared" si="18"/>
        <v>0</v>
      </c>
      <c r="J44" s="108">
        <f t="shared" si="18"/>
        <v>0</v>
      </c>
      <c r="K44" s="108">
        <f t="shared" si="18"/>
        <v>378326.07999999996</v>
      </c>
      <c r="L44" s="108">
        <f t="shared" si="18"/>
        <v>0</v>
      </c>
      <c r="M44" s="108">
        <f t="shared" si="18"/>
        <v>0</v>
      </c>
      <c r="N44" s="108">
        <f t="shared" si="18"/>
        <v>0</v>
      </c>
      <c r="O44" s="108">
        <f t="shared" si="18"/>
        <v>0</v>
      </c>
      <c r="P44" s="108">
        <f t="shared" si="18"/>
        <v>0</v>
      </c>
      <c r="Q44" s="108">
        <f t="shared" si="18"/>
        <v>0</v>
      </c>
      <c r="R44" s="108">
        <f t="shared" si="18"/>
        <v>0</v>
      </c>
      <c r="S44" s="108">
        <f t="shared" si="18"/>
        <v>0</v>
      </c>
      <c r="T44" s="108">
        <f t="shared" si="18"/>
        <v>243682233.72000003</v>
      </c>
      <c r="U44" s="108">
        <f t="shared" si="18"/>
        <v>0</v>
      </c>
      <c r="V44" s="110">
        <f t="shared" si="18"/>
        <v>243682233.72000003</v>
      </c>
    </row>
    <row r="45" spans="1:22" ht="12.75">
      <c r="A45" s="107" t="s">
        <v>116</v>
      </c>
      <c r="B45" s="108">
        <f>+B46+B47</f>
        <v>11572107.53</v>
      </c>
      <c r="C45" s="108">
        <f aca="true" t="shared" si="19" ref="C45:V45">+C46+C47</f>
        <v>0</v>
      </c>
      <c r="D45" s="108">
        <f t="shared" si="19"/>
        <v>11572107.53</v>
      </c>
      <c r="E45" s="108">
        <f t="shared" si="19"/>
        <v>0</v>
      </c>
      <c r="F45" s="108">
        <f t="shared" si="19"/>
        <v>0</v>
      </c>
      <c r="G45" s="108">
        <f t="shared" si="19"/>
        <v>0</v>
      </c>
      <c r="H45" s="108">
        <f t="shared" si="19"/>
        <v>0</v>
      </c>
      <c r="I45" s="108">
        <f t="shared" si="19"/>
        <v>0</v>
      </c>
      <c r="J45" s="108">
        <f t="shared" si="19"/>
        <v>0</v>
      </c>
      <c r="K45" s="108">
        <f t="shared" si="19"/>
        <v>0</v>
      </c>
      <c r="L45" s="108">
        <f t="shared" si="19"/>
        <v>0</v>
      </c>
      <c r="M45" s="108">
        <f t="shared" si="19"/>
        <v>0</v>
      </c>
      <c r="N45" s="108">
        <f t="shared" si="19"/>
        <v>0</v>
      </c>
      <c r="O45" s="108">
        <f t="shared" si="19"/>
        <v>0</v>
      </c>
      <c r="P45" s="108">
        <f t="shared" si="19"/>
        <v>0</v>
      </c>
      <c r="Q45" s="108">
        <f t="shared" si="19"/>
        <v>0</v>
      </c>
      <c r="R45" s="108">
        <f t="shared" si="19"/>
        <v>0</v>
      </c>
      <c r="S45" s="108">
        <f t="shared" si="19"/>
        <v>0</v>
      </c>
      <c r="T45" s="108">
        <f t="shared" si="19"/>
        <v>11572107.53</v>
      </c>
      <c r="U45" s="108">
        <f t="shared" si="19"/>
        <v>0</v>
      </c>
      <c r="V45" s="110">
        <f t="shared" si="19"/>
        <v>11572107.53</v>
      </c>
    </row>
    <row r="46" spans="1:22" ht="12.75">
      <c r="A46" s="40" t="s">
        <v>134</v>
      </c>
      <c r="B46" s="100">
        <v>11014951.04</v>
      </c>
      <c r="C46" s="96"/>
      <c r="D46" s="100">
        <f>+B46</f>
        <v>11014951.04</v>
      </c>
      <c r="E46" s="101">
        <v>0</v>
      </c>
      <c r="F46" s="101"/>
      <c r="G46" s="101">
        <v>0</v>
      </c>
      <c r="H46" s="101"/>
      <c r="I46" s="101"/>
      <c r="J46" s="101">
        <v>0</v>
      </c>
      <c r="K46" s="101">
        <f aca="true" t="shared" si="20" ref="K46:K57">+F46+H46+J46</f>
        <v>0</v>
      </c>
      <c r="L46" s="101">
        <v>0</v>
      </c>
      <c r="M46" s="101">
        <v>0</v>
      </c>
      <c r="N46" s="101">
        <f>SUM(L46:M46)</f>
        <v>0</v>
      </c>
      <c r="O46" s="101">
        <v>0</v>
      </c>
      <c r="P46" s="101">
        <v>0</v>
      </c>
      <c r="Q46" s="101">
        <f>SUM(O46:P46)</f>
        <v>0</v>
      </c>
      <c r="R46" s="101">
        <v>0</v>
      </c>
      <c r="S46" s="101">
        <v>0</v>
      </c>
      <c r="T46" s="101">
        <f>+D46-E46</f>
        <v>11014951.04</v>
      </c>
      <c r="U46" s="96"/>
      <c r="V46" s="102">
        <f>+T46</f>
        <v>11014951.04</v>
      </c>
    </row>
    <row r="47" spans="1:22" ht="12.75">
      <c r="A47" s="40" t="s">
        <v>135</v>
      </c>
      <c r="B47" s="100">
        <v>557156.49</v>
      </c>
      <c r="C47" s="96"/>
      <c r="D47" s="100">
        <f>+B47</f>
        <v>557156.49</v>
      </c>
      <c r="E47" s="101">
        <v>0</v>
      </c>
      <c r="F47" s="101"/>
      <c r="G47" s="101">
        <v>0</v>
      </c>
      <c r="H47" s="101"/>
      <c r="I47" s="101"/>
      <c r="J47" s="101">
        <v>0</v>
      </c>
      <c r="K47" s="101">
        <f t="shared" si="20"/>
        <v>0</v>
      </c>
      <c r="L47" s="101">
        <v>0</v>
      </c>
      <c r="M47" s="101">
        <v>0</v>
      </c>
      <c r="N47" s="101">
        <f>SUM(L47:M47)</f>
        <v>0</v>
      </c>
      <c r="O47" s="101">
        <v>0</v>
      </c>
      <c r="P47" s="101">
        <v>0</v>
      </c>
      <c r="Q47" s="101">
        <f>SUM(O47:P47)</f>
        <v>0</v>
      </c>
      <c r="R47" s="101">
        <v>0</v>
      </c>
      <c r="S47" s="101">
        <v>0</v>
      </c>
      <c r="T47" s="101">
        <f>+D47-E47</f>
        <v>557156.49</v>
      </c>
      <c r="U47" s="96"/>
      <c r="V47" s="102">
        <f>+T47</f>
        <v>557156.49</v>
      </c>
    </row>
    <row r="48" spans="1:22" ht="12.75">
      <c r="A48" s="107" t="s">
        <v>125</v>
      </c>
      <c r="B48" s="108">
        <f>SUM(B49:B57)</f>
        <v>232110126.19000003</v>
      </c>
      <c r="C48" s="108">
        <f aca="true" t="shared" si="21" ref="C48:V48">SUM(C49:C57)</f>
        <v>0</v>
      </c>
      <c r="D48" s="108">
        <f t="shared" si="21"/>
        <v>232110126.19000003</v>
      </c>
      <c r="E48" s="108">
        <f t="shared" si="21"/>
        <v>0</v>
      </c>
      <c r="F48" s="108">
        <f t="shared" si="21"/>
        <v>0</v>
      </c>
      <c r="G48" s="108">
        <f t="shared" si="21"/>
        <v>378326.07999999996</v>
      </c>
      <c r="H48" s="108">
        <f t="shared" si="21"/>
        <v>378326.07999999996</v>
      </c>
      <c r="I48" s="108">
        <f t="shared" si="21"/>
        <v>0</v>
      </c>
      <c r="J48" s="108">
        <f t="shared" si="21"/>
        <v>0</v>
      </c>
      <c r="K48" s="108">
        <f t="shared" si="21"/>
        <v>378326.07999999996</v>
      </c>
      <c r="L48" s="108">
        <f t="shared" si="21"/>
        <v>0</v>
      </c>
      <c r="M48" s="108">
        <f t="shared" si="21"/>
        <v>0</v>
      </c>
      <c r="N48" s="108">
        <f t="shared" si="21"/>
        <v>0</v>
      </c>
      <c r="O48" s="108">
        <f t="shared" si="21"/>
        <v>0</v>
      </c>
      <c r="P48" s="108">
        <f t="shared" si="21"/>
        <v>0</v>
      </c>
      <c r="Q48" s="108">
        <f t="shared" si="21"/>
        <v>0</v>
      </c>
      <c r="R48" s="108">
        <f t="shared" si="21"/>
        <v>0</v>
      </c>
      <c r="S48" s="108">
        <f t="shared" si="21"/>
        <v>0</v>
      </c>
      <c r="T48" s="108">
        <f t="shared" si="21"/>
        <v>232110126.19000003</v>
      </c>
      <c r="U48" s="108">
        <f t="shared" si="21"/>
        <v>0</v>
      </c>
      <c r="V48" s="110">
        <f t="shared" si="21"/>
        <v>232110126.19000003</v>
      </c>
    </row>
    <row r="49" spans="1:22" ht="12.75">
      <c r="A49" s="99" t="s">
        <v>136</v>
      </c>
      <c r="B49" s="100">
        <v>21771856</v>
      </c>
      <c r="C49" s="96"/>
      <c r="D49" s="101">
        <f>B49</f>
        <v>21771856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f t="shared" si="20"/>
        <v>0</v>
      </c>
      <c r="L49" s="101">
        <v>0</v>
      </c>
      <c r="M49" s="101">
        <v>0</v>
      </c>
      <c r="N49" s="101">
        <f aca="true" t="shared" si="22" ref="N49:N57">SUM(L49:M49)</f>
        <v>0</v>
      </c>
      <c r="O49" s="101">
        <v>0</v>
      </c>
      <c r="P49" s="101">
        <v>0</v>
      </c>
      <c r="Q49" s="101">
        <f aca="true" t="shared" si="23" ref="Q49:Q56">SUM(O49:P49)</f>
        <v>0</v>
      </c>
      <c r="R49" s="101">
        <v>0</v>
      </c>
      <c r="S49" s="101">
        <v>0</v>
      </c>
      <c r="T49" s="101">
        <f aca="true" t="shared" si="24" ref="T49:T57">+D49-F49+N49+Q49-R49+S49</f>
        <v>21771856</v>
      </c>
      <c r="U49" s="108"/>
      <c r="V49" s="102">
        <f aca="true" t="shared" si="25" ref="V49:V57">SUM(T49:U49)</f>
        <v>21771856</v>
      </c>
    </row>
    <row r="50" spans="1:22" ht="12.75">
      <c r="A50" s="99" t="s">
        <v>137</v>
      </c>
      <c r="B50" s="100">
        <v>-9169751.67</v>
      </c>
      <c r="C50" s="96"/>
      <c r="D50" s="101">
        <f aca="true" t="shared" si="26" ref="D50:D57">B50</f>
        <v>-9169751.67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f t="shared" si="20"/>
        <v>0</v>
      </c>
      <c r="L50" s="101">
        <v>0</v>
      </c>
      <c r="M50" s="101">
        <v>0</v>
      </c>
      <c r="N50" s="101">
        <f t="shared" si="22"/>
        <v>0</v>
      </c>
      <c r="O50" s="101">
        <v>0</v>
      </c>
      <c r="P50" s="101">
        <v>0</v>
      </c>
      <c r="Q50" s="101">
        <f t="shared" si="23"/>
        <v>0</v>
      </c>
      <c r="R50" s="101">
        <v>0</v>
      </c>
      <c r="S50" s="101">
        <v>0</v>
      </c>
      <c r="T50" s="101">
        <f t="shared" si="24"/>
        <v>-9169751.67</v>
      </c>
      <c r="U50" s="108"/>
      <c r="V50" s="102">
        <f t="shared" si="25"/>
        <v>-9169751.67</v>
      </c>
    </row>
    <row r="51" spans="1:22" ht="12.75">
      <c r="A51" s="99" t="s">
        <v>138</v>
      </c>
      <c r="B51" s="100">
        <v>33705107.68</v>
      </c>
      <c r="C51" s="96"/>
      <c r="D51" s="101">
        <f t="shared" si="26"/>
        <v>33705107.68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f t="shared" si="20"/>
        <v>0</v>
      </c>
      <c r="L51" s="101">
        <v>0</v>
      </c>
      <c r="M51" s="101">
        <v>0</v>
      </c>
      <c r="N51" s="101">
        <f t="shared" si="22"/>
        <v>0</v>
      </c>
      <c r="O51" s="101">
        <v>0</v>
      </c>
      <c r="P51" s="101">
        <v>0</v>
      </c>
      <c r="Q51" s="101">
        <f t="shared" si="23"/>
        <v>0</v>
      </c>
      <c r="R51" s="101">
        <v>0</v>
      </c>
      <c r="S51" s="101">
        <v>0</v>
      </c>
      <c r="T51" s="101">
        <f t="shared" si="24"/>
        <v>33705107.68</v>
      </c>
      <c r="U51" s="108"/>
      <c r="V51" s="102">
        <f t="shared" si="25"/>
        <v>33705107.68</v>
      </c>
    </row>
    <row r="52" spans="1:22" ht="12.75">
      <c r="A52" s="99" t="s">
        <v>139</v>
      </c>
      <c r="B52" s="100">
        <v>99296661.55</v>
      </c>
      <c r="C52" s="96"/>
      <c r="D52" s="101">
        <f t="shared" si="26"/>
        <v>99296661.55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f t="shared" si="20"/>
        <v>0</v>
      </c>
      <c r="L52" s="101">
        <v>0</v>
      </c>
      <c r="M52" s="101">
        <v>0</v>
      </c>
      <c r="N52" s="101">
        <f t="shared" si="22"/>
        <v>0</v>
      </c>
      <c r="O52" s="101">
        <v>0</v>
      </c>
      <c r="P52" s="101">
        <v>0</v>
      </c>
      <c r="Q52" s="101">
        <f t="shared" si="23"/>
        <v>0</v>
      </c>
      <c r="R52" s="101">
        <v>0</v>
      </c>
      <c r="S52" s="101">
        <v>0</v>
      </c>
      <c r="T52" s="101">
        <f t="shared" si="24"/>
        <v>99296661.55</v>
      </c>
      <c r="U52" s="108"/>
      <c r="V52" s="102">
        <f t="shared" si="25"/>
        <v>99296661.55</v>
      </c>
    </row>
    <row r="53" spans="1:22" ht="12.75">
      <c r="A53" s="99" t="s">
        <v>140</v>
      </c>
      <c r="B53" s="100">
        <v>27255381.74</v>
      </c>
      <c r="C53" s="96"/>
      <c r="D53" s="101">
        <f t="shared" si="26"/>
        <v>27255381.74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f t="shared" si="20"/>
        <v>0</v>
      </c>
      <c r="L53" s="101">
        <v>0</v>
      </c>
      <c r="M53" s="101">
        <v>0</v>
      </c>
      <c r="N53" s="101">
        <f t="shared" si="22"/>
        <v>0</v>
      </c>
      <c r="O53" s="101">
        <v>0</v>
      </c>
      <c r="P53" s="101">
        <v>0</v>
      </c>
      <c r="Q53" s="101">
        <f t="shared" si="23"/>
        <v>0</v>
      </c>
      <c r="R53" s="101">
        <v>0</v>
      </c>
      <c r="S53" s="101">
        <v>0</v>
      </c>
      <c r="T53" s="101">
        <f t="shared" si="24"/>
        <v>27255381.74</v>
      </c>
      <c r="U53" s="108"/>
      <c r="V53" s="102">
        <f t="shared" si="25"/>
        <v>27255381.74</v>
      </c>
    </row>
    <row r="54" spans="1:22" ht="12.75">
      <c r="A54" s="99" t="s">
        <v>141</v>
      </c>
      <c r="B54" s="100">
        <v>12788604.77</v>
      </c>
      <c r="C54" s="96"/>
      <c r="D54" s="101">
        <f t="shared" si="26"/>
        <v>12788604.77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f t="shared" si="20"/>
        <v>0</v>
      </c>
      <c r="L54" s="101">
        <v>0</v>
      </c>
      <c r="M54" s="101">
        <v>0</v>
      </c>
      <c r="N54" s="101">
        <f t="shared" si="22"/>
        <v>0</v>
      </c>
      <c r="O54" s="101">
        <v>0</v>
      </c>
      <c r="P54" s="101">
        <v>0</v>
      </c>
      <c r="Q54" s="101">
        <f t="shared" si="23"/>
        <v>0</v>
      </c>
      <c r="R54" s="101">
        <v>0</v>
      </c>
      <c r="S54" s="101">
        <v>0</v>
      </c>
      <c r="T54" s="101">
        <f t="shared" si="24"/>
        <v>12788604.77</v>
      </c>
      <c r="U54" s="108"/>
      <c r="V54" s="102">
        <f t="shared" si="25"/>
        <v>12788604.77</v>
      </c>
    </row>
    <row r="55" spans="1:22" ht="12.75">
      <c r="A55" s="99" t="s">
        <v>142</v>
      </c>
      <c r="B55" s="100">
        <v>-1342026.56</v>
      </c>
      <c r="C55" s="96"/>
      <c r="D55" s="101">
        <f t="shared" si="26"/>
        <v>-1342026.56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f t="shared" si="20"/>
        <v>0</v>
      </c>
      <c r="L55" s="101">
        <v>0</v>
      </c>
      <c r="M55" s="101">
        <v>0</v>
      </c>
      <c r="N55" s="101">
        <f t="shared" si="22"/>
        <v>0</v>
      </c>
      <c r="O55" s="101">
        <v>0</v>
      </c>
      <c r="P55" s="101">
        <v>0</v>
      </c>
      <c r="Q55" s="101">
        <f t="shared" si="23"/>
        <v>0</v>
      </c>
      <c r="R55" s="101">
        <v>0</v>
      </c>
      <c r="S55" s="101">
        <v>0</v>
      </c>
      <c r="T55" s="101">
        <f t="shared" si="24"/>
        <v>-1342026.56</v>
      </c>
      <c r="U55" s="108"/>
      <c r="V55" s="102">
        <f t="shared" si="25"/>
        <v>-1342026.56</v>
      </c>
    </row>
    <row r="56" spans="1:22" ht="12.75">
      <c r="A56" s="112" t="s">
        <v>87</v>
      </c>
      <c r="B56" s="100">
        <v>19397253.89</v>
      </c>
      <c r="C56" s="96"/>
      <c r="D56" s="101">
        <f t="shared" si="26"/>
        <v>19397253.89</v>
      </c>
      <c r="E56" s="101">
        <v>0</v>
      </c>
      <c r="F56" s="101">
        <v>0</v>
      </c>
      <c r="G56" s="101">
        <f>121402.85+254460.37+2462.86</f>
        <v>378326.07999999996</v>
      </c>
      <c r="H56" s="101">
        <f>+G56</f>
        <v>378326.07999999996</v>
      </c>
      <c r="I56" s="101">
        <v>0</v>
      </c>
      <c r="J56" s="101">
        <v>0</v>
      </c>
      <c r="K56" s="101">
        <f t="shared" si="20"/>
        <v>378326.07999999996</v>
      </c>
      <c r="L56" s="101">
        <v>0</v>
      </c>
      <c r="M56" s="101">
        <v>0</v>
      </c>
      <c r="N56" s="101">
        <f t="shared" si="22"/>
        <v>0</v>
      </c>
      <c r="O56" s="101">
        <v>0</v>
      </c>
      <c r="P56" s="101">
        <v>0</v>
      </c>
      <c r="Q56" s="101">
        <f t="shared" si="23"/>
        <v>0</v>
      </c>
      <c r="R56" s="101">
        <v>0</v>
      </c>
      <c r="S56" s="101">
        <v>0</v>
      </c>
      <c r="T56" s="101">
        <f t="shared" si="24"/>
        <v>19397253.89</v>
      </c>
      <c r="U56" s="108"/>
      <c r="V56" s="102">
        <f t="shared" si="25"/>
        <v>19397253.89</v>
      </c>
    </row>
    <row r="57" spans="1:22" ht="12.75">
      <c r="A57" s="112" t="s">
        <v>88</v>
      </c>
      <c r="B57" s="100">
        <v>28407038.79</v>
      </c>
      <c r="C57" s="96"/>
      <c r="D57" s="101">
        <f t="shared" si="26"/>
        <v>28407038.79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f t="shared" si="20"/>
        <v>0</v>
      </c>
      <c r="L57" s="101">
        <v>0</v>
      </c>
      <c r="M57" s="101">
        <v>0</v>
      </c>
      <c r="N57" s="101">
        <f t="shared" si="22"/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f t="shared" si="24"/>
        <v>28407038.79</v>
      </c>
      <c r="U57" s="100"/>
      <c r="V57" s="102">
        <f t="shared" si="25"/>
        <v>28407038.79</v>
      </c>
    </row>
    <row r="58" spans="1:22" ht="13.5" thickBot="1">
      <c r="A58" s="113" t="s">
        <v>143</v>
      </c>
      <c r="B58" s="114">
        <f aca="true" t="shared" si="27" ref="B58:V58">+B44+B41+B7</f>
        <v>2506992878.4599996</v>
      </c>
      <c r="C58" s="114">
        <f t="shared" si="27"/>
        <v>0</v>
      </c>
      <c r="D58" s="114">
        <f t="shared" si="27"/>
        <v>2506992878.4599996</v>
      </c>
      <c r="E58" s="115">
        <f t="shared" si="27"/>
        <v>71772319.36</v>
      </c>
      <c r="F58" s="115">
        <f t="shared" si="27"/>
        <v>71769888.17</v>
      </c>
      <c r="G58" s="116">
        <f t="shared" si="27"/>
        <v>45241799.33</v>
      </c>
      <c r="H58" s="114">
        <f t="shared" si="27"/>
        <v>45241726.589999996</v>
      </c>
      <c r="I58" s="114">
        <f t="shared" si="27"/>
        <v>26464773.15</v>
      </c>
      <c r="J58" s="117">
        <f t="shared" si="27"/>
        <v>26461437.72</v>
      </c>
      <c r="K58" s="117">
        <f t="shared" si="27"/>
        <v>143473052.48000002</v>
      </c>
      <c r="L58" s="117">
        <f t="shared" si="27"/>
        <v>6062975</v>
      </c>
      <c r="M58" s="117">
        <f t="shared" si="27"/>
        <v>0</v>
      </c>
      <c r="N58" s="117">
        <f t="shared" si="27"/>
        <v>6062975</v>
      </c>
      <c r="O58" s="117">
        <f t="shared" si="27"/>
        <v>0</v>
      </c>
      <c r="P58" s="117">
        <f t="shared" si="27"/>
        <v>0</v>
      </c>
      <c r="Q58" s="117">
        <f t="shared" si="27"/>
        <v>0</v>
      </c>
      <c r="R58" s="117">
        <f t="shared" si="27"/>
        <v>0</v>
      </c>
      <c r="S58" s="117">
        <f t="shared" si="27"/>
        <v>262226.09</v>
      </c>
      <c r="T58" s="117">
        <f t="shared" si="27"/>
        <v>2441545760.1899996</v>
      </c>
      <c r="U58" s="117">
        <f t="shared" si="27"/>
        <v>0</v>
      </c>
      <c r="V58" s="118">
        <f t="shared" si="27"/>
        <v>2441545760.1899996</v>
      </c>
    </row>
    <row r="59" ht="12.75">
      <c r="T59" s="119"/>
    </row>
    <row r="60" ht="12.75">
      <c r="A60" t="s">
        <v>204</v>
      </c>
    </row>
  </sheetData>
  <mergeCells count="3">
    <mergeCell ref="B5:D5"/>
    <mergeCell ref="E5:K5"/>
    <mergeCell ref="L5:N5"/>
  </mergeCells>
  <printOptions/>
  <pageMargins left="0.17" right="0.16" top="0.17" bottom="0.16" header="0" footer="0"/>
  <pageSetup horizontalDpi="600" verticalDpi="600" orientation="landscape" paperSize="5" scale="68" r:id="rId1"/>
  <ignoredErrors>
    <ignoredError sqref="K48 N48 Q48 G22:G23 I22:I23 G27 I27 F33 K33" formula="1"/>
    <ignoredError sqref="R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5" sqref="A5"/>
    </sheetView>
  </sheetViews>
  <sheetFormatPr defaultColWidth="11.421875" defaultRowHeight="12.75"/>
  <cols>
    <col min="1" max="1" width="45.421875" style="0" customWidth="1"/>
    <col min="3" max="3" width="14.28125" style="0" customWidth="1"/>
    <col min="7" max="7" width="11.57421875" style="0" customWidth="1"/>
    <col min="8" max="8" width="14.8515625" style="0" customWidth="1"/>
    <col min="9" max="9" width="14.00390625" style="0" customWidth="1"/>
    <col min="10" max="10" width="14.140625" style="0" customWidth="1"/>
  </cols>
  <sheetData>
    <row r="1" spans="1:11" ht="16.5" thickBot="1">
      <c r="A1" s="178" t="s">
        <v>206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5.75" customHeight="1">
      <c r="A2" s="181" t="s">
        <v>207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1" ht="4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ht="15.75">
      <c r="A4" s="122" t="s">
        <v>208</v>
      </c>
      <c r="B4" s="123"/>
      <c r="C4" s="123"/>
      <c r="D4" s="123"/>
      <c r="E4" s="123" t="s">
        <v>144</v>
      </c>
      <c r="F4" s="123"/>
      <c r="G4" s="124"/>
      <c r="H4" s="124"/>
      <c r="I4" s="124"/>
      <c r="J4" s="124"/>
      <c r="K4" s="125"/>
    </row>
    <row r="5" spans="1:11" ht="15">
      <c r="A5" s="126"/>
      <c r="B5" s="127"/>
      <c r="C5" s="127"/>
      <c r="D5" s="127"/>
      <c r="E5" s="127"/>
      <c r="F5" s="127"/>
      <c r="G5" s="120"/>
      <c r="H5" s="120"/>
      <c r="I5" s="120"/>
      <c r="J5" s="120"/>
      <c r="K5" s="121"/>
    </row>
    <row r="6" spans="1:11" ht="15.75">
      <c r="A6" s="17" t="s">
        <v>145</v>
      </c>
      <c r="B6" s="18"/>
      <c r="C6" s="18"/>
      <c r="D6" s="19" t="s">
        <v>4</v>
      </c>
      <c r="E6" s="18"/>
      <c r="F6" s="18"/>
      <c r="G6" s="20"/>
      <c r="H6" s="20"/>
      <c r="I6" s="20"/>
      <c r="J6" s="20"/>
      <c r="K6" s="21"/>
    </row>
    <row r="7" spans="1:11" ht="12.75">
      <c r="A7" s="9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22" t="s">
        <v>146</v>
      </c>
      <c r="B8" s="25" t="s">
        <v>147</v>
      </c>
      <c r="C8" s="25" t="s">
        <v>148</v>
      </c>
      <c r="D8" s="128" t="s">
        <v>149</v>
      </c>
      <c r="E8" s="25" t="s">
        <v>150</v>
      </c>
      <c r="F8" s="25" t="s">
        <v>151</v>
      </c>
      <c r="G8" s="176" t="s">
        <v>152</v>
      </c>
      <c r="H8" s="167"/>
      <c r="I8" s="167"/>
      <c r="J8" s="167"/>
      <c r="K8" s="177"/>
    </row>
    <row r="9" spans="1:11" ht="12.75">
      <c r="A9" s="129"/>
      <c r="B9" s="130"/>
      <c r="C9" s="131" t="s">
        <v>153</v>
      </c>
      <c r="D9" s="132"/>
      <c r="E9" s="131" t="s">
        <v>154</v>
      </c>
      <c r="F9" s="130"/>
      <c r="G9" s="176" t="s">
        <v>155</v>
      </c>
      <c r="H9" s="167"/>
      <c r="I9" s="168"/>
      <c r="J9" s="176" t="s">
        <v>156</v>
      </c>
      <c r="K9" s="177"/>
    </row>
    <row r="10" spans="1:11" ht="12.75">
      <c r="A10" s="133"/>
      <c r="B10" s="134"/>
      <c r="C10" s="29" t="s">
        <v>157</v>
      </c>
      <c r="D10" s="135"/>
      <c r="E10" s="136"/>
      <c r="F10" s="134"/>
      <c r="G10" s="137" t="s">
        <v>158</v>
      </c>
      <c r="H10" s="137" t="s">
        <v>159</v>
      </c>
      <c r="I10" s="137" t="s">
        <v>111</v>
      </c>
      <c r="J10" s="137" t="s">
        <v>160</v>
      </c>
      <c r="K10" s="138" t="s">
        <v>161</v>
      </c>
    </row>
    <row r="11" spans="1:11" ht="12.75">
      <c r="A11" s="139" t="s">
        <v>23</v>
      </c>
      <c r="B11" s="34"/>
      <c r="C11" s="140"/>
      <c r="D11" s="34"/>
      <c r="E11" s="34"/>
      <c r="F11" s="34"/>
      <c r="G11" s="34"/>
      <c r="H11" s="34"/>
      <c r="I11" s="34"/>
      <c r="J11" s="34"/>
      <c r="K11" s="141"/>
    </row>
    <row r="12" spans="1:11" ht="12.75">
      <c r="A12" s="40" t="s">
        <v>20</v>
      </c>
      <c r="B12" s="142" t="s">
        <v>162</v>
      </c>
      <c r="C12" s="143">
        <v>22</v>
      </c>
      <c r="D12" s="142" t="s">
        <v>163</v>
      </c>
      <c r="E12" s="144">
        <v>32568</v>
      </c>
      <c r="F12" s="34"/>
      <c r="G12" s="34"/>
      <c r="H12" s="34"/>
      <c r="I12" s="34">
        <v>60</v>
      </c>
      <c r="J12" s="34">
        <v>60</v>
      </c>
      <c r="K12" s="141" t="s">
        <v>164</v>
      </c>
    </row>
    <row r="13" spans="1:11" ht="12.75">
      <c r="A13" s="40" t="s">
        <v>24</v>
      </c>
      <c r="B13" s="142" t="s">
        <v>162</v>
      </c>
      <c r="C13" s="143">
        <v>12</v>
      </c>
      <c r="D13" s="142" t="s">
        <v>163</v>
      </c>
      <c r="E13" s="144">
        <v>32509</v>
      </c>
      <c r="F13" s="145">
        <v>0.02</v>
      </c>
      <c r="G13" s="34">
        <v>0.5</v>
      </c>
      <c r="H13" s="34">
        <v>24</v>
      </c>
      <c r="I13" s="34">
        <v>24</v>
      </c>
      <c r="J13" s="34">
        <v>4</v>
      </c>
      <c r="K13" s="141" t="s">
        <v>165</v>
      </c>
    </row>
    <row r="14" spans="1:11" ht="12.75">
      <c r="A14" s="40" t="s">
        <v>29</v>
      </c>
      <c r="B14" s="142" t="s">
        <v>162</v>
      </c>
      <c r="C14" s="143">
        <v>61161</v>
      </c>
      <c r="D14" s="142" t="s">
        <v>166</v>
      </c>
      <c r="E14" s="34"/>
      <c r="F14" s="34"/>
      <c r="G14" s="34"/>
      <c r="H14" s="34"/>
      <c r="I14" s="34"/>
      <c r="J14" s="34"/>
      <c r="K14" s="141"/>
    </row>
    <row r="15" spans="1:11" ht="12.75">
      <c r="A15" s="40" t="s">
        <v>117</v>
      </c>
      <c r="B15" s="142" t="s">
        <v>162</v>
      </c>
      <c r="C15" s="143">
        <v>4402</v>
      </c>
      <c r="D15" s="142" t="s">
        <v>166</v>
      </c>
      <c r="E15" s="144"/>
      <c r="F15" s="145"/>
      <c r="G15" s="34"/>
      <c r="H15" s="34"/>
      <c r="I15" s="34"/>
      <c r="J15" s="34"/>
      <c r="K15" s="141"/>
    </row>
    <row r="16" spans="1:11" ht="12.75">
      <c r="A16" s="146" t="s">
        <v>118</v>
      </c>
      <c r="B16" s="142" t="s">
        <v>162</v>
      </c>
      <c r="C16" s="143">
        <v>17740</v>
      </c>
      <c r="D16" s="142" t="s">
        <v>166</v>
      </c>
      <c r="E16" s="144">
        <v>37681</v>
      </c>
      <c r="F16" s="145">
        <v>0.02</v>
      </c>
      <c r="G16" s="34">
        <v>12</v>
      </c>
      <c r="H16" s="34">
        <v>36</v>
      </c>
      <c r="I16" s="34">
        <v>48</v>
      </c>
      <c r="J16" s="34">
        <v>48</v>
      </c>
      <c r="K16" s="141" t="s">
        <v>164</v>
      </c>
    </row>
    <row r="17" spans="1:11" ht="12.75">
      <c r="A17" s="40" t="s">
        <v>167</v>
      </c>
      <c r="B17" s="142" t="s">
        <v>162</v>
      </c>
      <c r="C17" s="143">
        <v>1339187</v>
      </c>
      <c r="D17" s="142" t="s">
        <v>166</v>
      </c>
      <c r="E17" s="144">
        <v>37288</v>
      </c>
      <c r="F17" s="145">
        <v>0.02</v>
      </c>
      <c r="G17" s="34">
        <v>36</v>
      </c>
      <c r="H17" s="34">
        <v>156</v>
      </c>
      <c r="I17" s="34">
        <v>192</v>
      </c>
      <c r="J17" s="34">
        <v>192</v>
      </c>
      <c r="K17" s="141" t="s">
        <v>164</v>
      </c>
    </row>
    <row r="18" spans="1:11" ht="12.75">
      <c r="A18" s="146" t="s">
        <v>168</v>
      </c>
      <c r="B18" s="142" t="s">
        <v>162</v>
      </c>
      <c r="C18" s="143">
        <v>12677</v>
      </c>
      <c r="D18" s="142" t="s">
        <v>166</v>
      </c>
      <c r="E18" s="144">
        <v>36923</v>
      </c>
      <c r="F18" s="145"/>
      <c r="G18" s="147" t="s">
        <v>169</v>
      </c>
      <c r="H18" s="147" t="s">
        <v>170</v>
      </c>
      <c r="I18" s="148" t="s">
        <v>171</v>
      </c>
      <c r="J18" s="148" t="s">
        <v>171</v>
      </c>
      <c r="K18" s="141" t="s">
        <v>164</v>
      </c>
    </row>
    <row r="19" spans="1:11" ht="12.75">
      <c r="A19" s="40" t="s">
        <v>172</v>
      </c>
      <c r="B19" s="142" t="s">
        <v>162</v>
      </c>
      <c r="C19" s="143">
        <v>1541</v>
      </c>
      <c r="D19" s="142" t="s">
        <v>166</v>
      </c>
      <c r="E19" s="144">
        <v>38626</v>
      </c>
      <c r="F19" s="145">
        <v>0.02</v>
      </c>
      <c r="G19" s="34">
        <v>5</v>
      </c>
      <c r="H19" s="34">
        <v>31</v>
      </c>
      <c r="I19" s="34">
        <v>36</v>
      </c>
      <c r="J19" s="34">
        <v>36</v>
      </c>
      <c r="K19" s="141" t="s">
        <v>164</v>
      </c>
    </row>
    <row r="20" spans="1:11" ht="12.75">
      <c r="A20" s="149" t="s">
        <v>173</v>
      </c>
      <c r="B20" s="142" t="s">
        <v>162</v>
      </c>
      <c r="C20" s="143">
        <v>65688</v>
      </c>
      <c r="D20" s="142" t="s">
        <v>166</v>
      </c>
      <c r="E20" s="144">
        <v>38504</v>
      </c>
      <c r="F20" s="150">
        <v>0.06</v>
      </c>
      <c r="G20" s="34"/>
      <c r="H20" s="34">
        <v>84</v>
      </c>
      <c r="I20" s="34">
        <v>84</v>
      </c>
      <c r="J20" s="34">
        <v>84</v>
      </c>
      <c r="K20" s="141" t="s">
        <v>174</v>
      </c>
    </row>
    <row r="21" spans="1:11" ht="12.75">
      <c r="A21" s="146" t="s">
        <v>175</v>
      </c>
      <c r="B21" s="142" t="s">
        <v>162</v>
      </c>
      <c r="C21" s="143">
        <v>18786</v>
      </c>
      <c r="D21" s="142" t="s">
        <v>166</v>
      </c>
      <c r="E21" s="144">
        <v>37288</v>
      </c>
      <c r="F21" s="145">
        <v>0.02</v>
      </c>
      <c r="G21" s="34">
        <v>36</v>
      </c>
      <c r="H21" s="34">
        <v>156</v>
      </c>
      <c r="I21" s="34">
        <v>192</v>
      </c>
      <c r="J21" s="34">
        <v>192</v>
      </c>
      <c r="K21" s="141" t="s">
        <v>164</v>
      </c>
    </row>
    <row r="22" spans="1:11" ht="12.75">
      <c r="A22" s="40" t="s">
        <v>176</v>
      </c>
      <c r="B22" s="142" t="s">
        <v>162</v>
      </c>
      <c r="C22" s="143">
        <v>3528</v>
      </c>
      <c r="D22" s="142" t="s">
        <v>166</v>
      </c>
      <c r="E22" s="144">
        <v>38200</v>
      </c>
      <c r="F22" s="145"/>
      <c r="G22" s="34">
        <v>6</v>
      </c>
      <c r="H22" s="34">
        <v>54</v>
      </c>
      <c r="I22" s="34">
        <v>60</v>
      </c>
      <c r="J22" s="34">
        <v>60</v>
      </c>
      <c r="K22" s="141" t="s">
        <v>164</v>
      </c>
    </row>
    <row r="23" spans="1:11" ht="12.75">
      <c r="A23" s="40" t="s">
        <v>54</v>
      </c>
      <c r="B23" s="142" t="s">
        <v>162</v>
      </c>
      <c r="C23" s="143">
        <v>141135</v>
      </c>
      <c r="D23" s="142" t="s">
        <v>166</v>
      </c>
      <c r="E23" s="144">
        <v>38991</v>
      </c>
      <c r="F23" s="150">
        <v>0.06</v>
      </c>
      <c r="G23" s="34">
        <v>12</v>
      </c>
      <c r="H23" s="34">
        <v>84</v>
      </c>
      <c r="I23" s="34">
        <v>96</v>
      </c>
      <c r="J23" s="34">
        <v>96</v>
      </c>
      <c r="K23" s="141" t="s">
        <v>164</v>
      </c>
    </row>
    <row r="24" spans="1:11" ht="12.75">
      <c r="A24" s="40" t="s">
        <v>177</v>
      </c>
      <c r="B24" s="142" t="s">
        <v>162</v>
      </c>
      <c r="C24" s="143">
        <v>68385</v>
      </c>
      <c r="D24" s="142" t="s">
        <v>166</v>
      </c>
      <c r="E24" s="34"/>
      <c r="F24" s="34"/>
      <c r="G24" s="34"/>
      <c r="H24" s="34"/>
      <c r="I24" s="34"/>
      <c r="J24" s="34"/>
      <c r="K24" s="141"/>
    </row>
    <row r="25" spans="1:11" ht="12.75">
      <c r="A25" s="40" t="s">
        <v>178</v>
      </c>
      <c r="B25" s="142" t="s">
        <v>162</v>
      </c>
      <c r="C25" s="143">
        <v>161420</v>
      </c>
      <c r="D25" s="142"/>
      <c r="E25" s="144">
        <v>39022</v>
      </c>
      <c r="F25" s="151" t="s">
        <v>179</v>
      </c>
      <c r="G25" s="34">
        <v>5</v>
      </c>
      <c r="H25" s="34">
        <v>84</v>
      </c>
      <c r="I25" s="34">
        <v>89</v>
      </c>
      <c r="J25" s="34">
        <v>14</v>
      </c>
      <c r="K25" s="141" t="s">
        <v>180</v>
      </c>
    </row>
    <row r="26" spans="1:11" ht="12.75">
      <c r="A26" s="152" t="s">
        <v>201</v>
      </c>
      <c r="B26" s="142"/>
      <c r="C26" s="143"/>
      <c r="D26" s="142"/>
      <c r="E26" s="144"/>
      <c r="F26" s="151"/>
      <c r="G26" s="34"/>
      <c r="H26" s="34"/>
      <c r="I26" s="34"/>
      <c r="J26" s="34"/>
      <c r="K26" s="141"/>
    </row>
    <row r="27" spans="1:11" ht="12.75">
      <c r="A27" s="44" t="s">
        <v>192</v>
      </c>
      <c r="B27" s="142" t="s">
        <v>162</v>
      </c>
      <c r="C27" s="143">
        <v>6062</v>
      </c>
      <c r="D27" s="142"/>
      <c r="E27" s="144">
        <v>38982</v>
      </c>
      <c r="F27" s="142"/>
      <c r="G27" s="34">
        <v>7</v>
      </c>
      <c r="H27" s="34">
        <v>54</v>
      </c>
      <c r="I27" s="34">
        <f>+H27+G27</f>
        <v>61</v>
      </c>
      <c r="J27" s="34">
        <v>54</v>
      </c>
      <c r="K27" s="141" t="s">
        <v>164</v>
      </c>
    </row>
    <row r="28" spans="1:11" ht="12.75">
      <c r="A28" s="44"/>
      <c r="B28" s="142"/>
      <c r="C28" s="143"/>
      <c r="D28" s="142"/>
      <c r="E28" s="144"/>
      <c r="F28" s="34"/>
      <c r="G28" s="34"/>
      <c r="H28" s="34"/>
      <c r="I28" s="34"/>
      <c r="J28" s="34"/>
      <c r="K28" s="141"/>
    </row>
    <row r="29" spans="1:11" ht="12.75">
      <c r="A29" s="152" t="s">
        <v>181</v>
      </c>
      <c r="B29" s="142"/>
      <c r="C29" s="153"/>
      <c r="D29" s="142"/>
      <c r="E29" s="34"/>
      <c r="F29" s="34"/>
      <c r="G29" s="34"/>
      <c r="H29" s="34"/>
      <c r="I29" s="34"/>
      <c r="J29" s="34"/>
      <c r="K29" s="141"/>
    </row>
    <row r="30" spans="1:11" ht="12.75">
      <c r="A30" s="154" t="s">
        <v>182</v>
      </c>
      <c r="B30" s="142"/>
      <c r="C30" s="155"/>
      <c r="D30" s="142"/>
      <c r="E30" s="144"/>
      <c r="F30" s="34"/>
      <c r="G30" s="34"/>
      <c r="H30" s="34"/>
      <c r="I30" s="34"/>
      <c r="J30" s="34"/>
      <c r="K30" s="141"/>
    </row>
    <row r="31" spans="1:11" ht="12.75">
      <c r="A31" s="44" t="s">
        <v>80</v>
      </c>
      <c r="B31" s="142" t="s">
        <v>183</v>
      </c>
      <c r="C31" s="143">
        <v>21771</v>
      </c>
      <c r="D31" s="142" t="s">
        <v>184</v>
      </c>
      <c r="E31" s="144">
        <v>33298</v>
      </c>
      <c r="F31" s="151" t="s">
        <v>185</v>
      </c>
      <c r="G31" s="34">
        <v>36</v>
      </c>
      <c r="H31" s="34">
        <v>144</v>
      </c>
      <c r="I31" s="34">
        <v>180</v>
      </c>
      <c r="J31" s="34">
        <v>24</v>
      </c>
      <c r="K31" s="141" t="s">
        <v>180</v>
      </c>
    </row>
    <row r="32" spans="1:11" ht="12.75">
      <c r="A32" s="44" t="s">
        <v>186</v>
      </c>
      <c r="B32" s="142" t="s">
        <v>183</v>
      </c>
      <c r="C32" s="143">
        <v>27255</v>
      </c>
      <c r="D32" s="142" t="s">
        <v>184</v>
      </c>
      <c r="E32" s="144">
        <v>34790</v>
      </c>
      <c r="F32" s="151" t="s">
        <v>185</v>
      </c>
      <c r="G32" s="34">
        <v>60</v>
      </c>
      <c r="H32" s="34">
        <v>156</v>
      </c>
      <c r="I32" s="34">
        <v>216</v>
      </c>
      <c r="J32" s="34">
        <v>36</v>
      </c>
      <c r="K32" s="141" t="s">
        <v>180</v>
      </c>
    </row>
    <row r="33" spans="1:11" ht="12.75">
      <c r="A33" s="44" t="s">
        <v>75</v>
      </c>
      <c r="B33" s="142" t="s">
        <v>183</v>
      </c>
      <c r="C33" s="143">
        <v>5739</v>
      </c>
      <c r="D33" s="142" t="s">
        <v>184</v>
      </c>
      <c r="E33" s="144">
        <v>35156</v>
      </c>
      <c r="F33" s="151" t="s">
        <v>185</v>
      </c>
      <c r="G33" s="34">
        <v>60</v>
      </c>
      <c r="H33" s="34">
        <v>180</v>
      </c>
      <c r="I33" s="34">
        <v>240</v>
      </c>
      <c r="J33" s="34">
        <v>40</v>
      </c>
      <c r="K33" s="141" t="s">
        <v>180</v>
      </c>
    </row>
    <row r="34" spans="1:11" ht="12.75">
      <c r="A34" s="44" t="s">
        <v>82</v>
      </c>
      <c r="B34" s="142" t="s">
        <v>183</v>
      </c>
      <c r="C34" s="143">
        <v>33705</v>
      </c>
      <c r="D34" s="142" t="s">
        <v>184</v>
      </c>
      <c r="E34" s="144">
        <v>35125</v>
      </c>
      <c r="F34" s="151" t="s">
        <v>185</v>
      </c>
      <c r="G34" s="34">
        <v>60</v>
      </c>
      <c r="H34" s="34">
        <v>156</v>
      </c>
      <c r="I34" s="34">
        <v>216</v>
      </c>
      <c r="J34" s="34">
        <v>36</v>
      </c>
      <c r="K34" s="141" t="s">
        <v>180</v>
      </c>
    </row>
    <row r="35" spans="1:11" ht="12.75">
      <c r="A35" s="149" t="s">
        <v>88</v>
      </c>
      <c r="B35" s="142" t="s">
        <v>183</v>
      </c>
      <c r="C35" s="143">
        <v>28407</v>
      </c>
      <c r="D35" s="142" t="s">
        <v>184</v>
      </c>
      <c r="E35" s="144">
        <v>37316</v>
      </c>
      <c r="F35" s="151" t="s">
        <v>185</v>
      </c>
      <c r="G35" s="34">
        <v>42</v>
      </c>
      <c r="H35" s="34">
        <v>192</v>
      </c>
      <c r="I35" s="34">
        <v>234</v>
      </c>
      <c r="J35" s="34">
        <v>39</v>
      </c>
      <c r="K35" s="141" t="s">
        <v>180</v>
      </c>
    </row>
    <row r="36" spans="1:11" ht="12.75">
      <c r="A36" s="40" t="s">
        <v>129</v>
      </c>
      <c r="B36" s="142" t="s">
        <v>162</v>
      </c>
      <c r="C36" s="143">
        <v>369</v>
      </c>
      <c r="D36" s="142" t="s">
        <v>184</v>
      </c>
      <c r="E36" s="144">
        <v>28734</v>
      </c>
      <c r="F36" s="151" t="s">
        <v>185</v>
      </c>
      <c r="G36" s="34"/>
      <c r="H36" s="34">
        <v>240</v>
      </c>
      <c r="I36" s="34">
        <v>240</v>
      </c>
      <c r="J36" s="34">
        <v>80</v>
      </c>
      <c r="K36" s="141" t="s">
        <v>187</v>
      </c>
    </row>
    <row r="37" spans="1:11" ht="12.75">
      <c r="A37" s="154" t="s">
        <v>188</v>
      </c>
      <c r="B37" s="142"/>
      <c r="C37" s="155"/>
      <c r="D37" s="142"/>
      <c r="E37" s="144"/>
      <c r="F37" s="34"/>
      <c r="G37" s="34"/>
      <c r="H37" s="34"/>
      <c r="I37" s="34"/>
      <c r="J37" s="34"/>
      <c r="K37" s="141"/>
    </row>
    <row r="38" spans="1:11" ht="12.75">
      <c r="A38" s="44" t="s">
        <v>189</v>
      </c>
      <c r="B38" s="142" t="s">
        <v>183</v>
      </c>
      <c r="C38" s="143">
        <v>-9169</v>
      </c>
      <c r="D38" s="142" t="s">
        <v>166</v>
      </c>
      <c r="E38" s="144">
        <v>33270</v>
      </c>
      <c r="F38" s="151" t="s">
        <v>185</v>
      </c>
      <c r="G38" s="34">
        <v>60</v>
      </c>
      <c r="H38" s="34">
        <v>144</v>
      </c>
      <c r="I38" s="34">
        <v>204</v>
      </c>
      <c r="J38" s="34">
        <v>34</v>
      </c>
      <c r="K38" s="141" t="s">
        <v>180</v>
      </c>
    </row>
    <row r="39" spans="1:11" ht="12.75">
      <c r="A39" s="44" t="s">
        <v>76</v>
      </c>
      <c r="B39" s="142" t="s">
        <v>183</v>
      </c>
      <c r="C39" s="143">
        <v>7746</v>
      </c>
      <c r="D39" s="142" t="s">
        <v>166</v>
      </c>
      <c r="E39" s="144">
        <v>35247</v>
      </c>
      <c r="F39" s="151" t="s">
        <v>185</v>
      </c>
      <c r="G39" s="34">
        <v>60</v>
      </c>
      <c r="H39" s="34">
        <v>180</v>
      </c>
      <c r="I39" s="34">
        <v>240</v>
      </c>
      <c r="J39" s="34">
        <v>40</v>
      </c>
      <c r="K39" s="141" t="s">
        <v>180</v>
      </c>
    </row>
    <row r="40" spans="1:11" ht="12.75">
      <c r="A40" s="44" t="s">
        <v>190</v>
      </c>
      <c r="B40" s="142" t="s">
        <v>183</v>
      </c>
      <c r="C40" s="143">
        <v>12788</v>
      </c>
      <c r="D40" s="142" t="s">
        <v>166</v>
      </c>
      <c r="E40" s="144">
        <v>35339</v>
      </c>
      <c r="F40" s="151" t="s">
        <v>185</v>
      </c>
      <c r="G40" s="34">
        <v>60</v>
      </c>
      <c r="H40" s="34">
        <v>156</v>
      </c>
      <c r="I40" s="34">
        <v>216</v>
      </c>
      <c r="J40" s="34">
        <v>36</v>
      </c>
      <c r="K40" s="141" t="s">
        <v>180</v>
      </c>
    </row>
    <row r="41" spans="1:11" ht="12.75">
      <c r="A41" s="44" t="s">
        <v>72</v>
      </c>
      <c r="B41" s="142" t="s">
        <v>183</v>
      </c>
      <c r="C41" s="143">
        <v>4190</v>
      </c>
      <c r="D41" s="142" t="s">
        <v>166</v>
      </c>
      <c r="E41" s="144">
        <v>35400</v>
      </c>
      <c r="F41" s="151" t="s">
        <v>185</v>
      </c>
      <c r="G41" s="34">
        <v>60</v>
      </c>
      <c r="H41" s="34">
        <v>120</v>
      </c>
      <c r="I41" s="34">
        <v>180</v>
      </c>
      <c r="J41" s="34">
        <v>30</v>
      </c>
      <c r="K41" s="141" t="s">
        <v>180</v>
      </c>
    </row>
    <row r="42" spans="1:11" ht="12.75">
      <c r="A42" s="44" t="s">
        <v>83</v>
      </c>
      <c r="B42" s="142" t="s">
        <v>183</v>
      </c>
      <c r="C42" s="143">
        <v>99296</v>
      </c>
      <c r="D42" s="142" t="s">
        <v>166</v>
      </c>
      <c r="E42" s="144">
        <v>35125</v>
      </c>
      <c r="F42" s="151" t="s">
        <v>185</v>
      </c>
      <c r="G42" s="34">
        <v>60</v>
      </c>
      <c r="H42" s="34">
        <v>156</v>
      </c>
      <c r="I42" s="34">
        <v>216</v>
      </c>
      <c r="J42" s="34">
        <v>36</v>
      </c>
      <c r="K42" s="141" t="s">
        <v>180</v>
      </c>
    </row>
    <row r="43" spans="1:11" ht="12.75">
      <c r="A43" s="154" t="s">
        <v>191</v>
      </c>
      <c r="B43" s="142"/>
      <c r="C43" s="155"/>
      <c r="D43" s="142"/>
      <c r="E43" s="144"/>
      <c r="F43" s="145"/>
      <c r="G43" s="34"/>
      <c r="H43" s="34"/>
      <c r="I43" s="34"/>
      <c r="J43" s="34"/>
      <c r="K43" s="141"/>
    </row>
    <row r="44" spans="1:11" ht="12.75">
      <c r="A44" s="44" t="s">
        <v>52</v>
      </c>
      <c r="B44" s="142" t="s">
        <v>162</v>
      </c>
      <c r="C44" s="143">
        <v>2163</v>
      </c>
      <c r="D44" s="142" t="s">
        <v>166</v>
      </c>
      <c r="E44" s="144">
        <v>32874</v>
      </c>
      <c r="F44" s="145">
        <v>0.095</v>
      </c>
      <c r="G44" s="34">
        <v>60</v>
      </c>
      <c r="H44" s="34">
        <v>108</v>
      </c>
      <c r="I44" s="34">
        <v>168</v>
      </c>
      <c r="J44" s="34">
        <v>18</v>
      </c>
      <c r="K44" s="141" t="s">
        <v>180</v>
      </c>
    </row>
    <row r="45" spans="1:11" ht="12.75">
      <c r="A45" s="44"/>
      <c r="B45" s="142"/>
      <c r="C45" s="143"/>
      <c r="D45" s="142"/>
      <c r="E45" s="144"/>
      <c r="F45" s="34"/>
      <c r="G45" s="34"/>
      <c r="H45" s="34"/>
      <c r="I45" s="34"/>
      <c r="J45" s="34"/>
      <c r="K45" s="141"/>
    </row>
    <row r="46" spans="1:11" ht="12.75">
      <c r="A46" s="152" t="s">
        <v>27</v>
      </c>
      <c r="B46" s="156"/>
      <c r="C46" s="153"/>
      <c r="D46" s="156"/>
      <c r="E46" s="157"/>
      <c r="F46" s="158"/>
      <c r="G46" s="148"/>
      <c r="H46" s="148"/>
      <c r="I46" s="148"/>
      <c r="J46" s="148"/>
      <c r="K46" s="141"/>
    </row>
    <row r="47" spans="1:11" ht="12.75">
      <c r="A47" s="40" t="s">
        <v>193</v>
      </c>
      <c r="B47" s="156" t="s">
        <v>162</v>
      </c>
      <c r="C47" s="143">
        <v>0</v>
      </c>
      <c r="D47" s="156" t="s">
        <v>163</v>
      </c>
      <c r="E47" s="157" t="s">
        <v>194</v>
      </c>
      <c r="F47" s="159">
        <v>0.04</v>
      </c>
      <c r="G47" s="148">
        <v>6</v>
      </c>
      <c r="H47" s="148">
        <v>120</v>
      </c>
      <c r="I47" s="148">
        <v>126</v>
      </c>
      <c r="J47" s="148">
        <v>120</v>
      </c>
      <c r="K47" s="141" t="s">
        <v>164</v>
      </c>
    </row>
    <row r="48" spans="1:11" ht="12.75">
      <c r="A48" s="40" t="s">
        <v>195</v>
      </c>
      <c r="B48" s="156" t="s">
        <v>162</v>
      </c>
      <c r="C48" s="143">
        <v>0</v>
      </c>
      <c r="D48" s="156" t="s">
        <v>163</v>
      </c>
      <c r="E48" s="157" t="s">
        <v>196</v>
      </c>
      <c r="F48" s="159">
        <v>0.04</v>
      </c>
      <c r="G48" s="148">
        <v>6</v>
      </c>
      <c r="H48" s="148">
        <v>120</v>
      </c>
      <c r="I48" s="148">
        <v>126</v>
      </c>
      <c r="J48" s="148">
        <v>120</v>
      </c>
      <c r="K48" s="160" t="s">
        <v>164</v>
      </c>
    </row>
    <row r="49" spans="1:11" ht="12.75">
      <c r="A49" s="40" t="s">
        <v>126</v>
      </c>
      <c r="B49" s="142" t="s">
        <v>183</v>
      </c>
      <c r="C49" s="143">
        <v>17381</v>
      </c>
      <c r="D49" s="142" t="s">
        <v>163</v>
      </c>
      <c r="E49" s="144">
        <v>35674</v>
      </c>
      <c r="F49" s="145">
        <v>0.1</v>
      </c>
      <c r="G49" s="34">
        <v>119</v>
      </c>
      <c r="H49" s="34">
        <v>1</v>
      </c>
      <c r="I49" s="34">
        <v>120</v>
      </c>
      <c r="J49" s="34">
        <v>1</v>
      </c>
      <c r="K49" s="141" t="s">
        <v>197</v>
      </c>
    </row>
    <row r="50" spans="1:11" ht="12.75">
      <c r="A50" s="40" t="s">
        <v>74</v>
      </c>
      <c r="B50" s="142" t="s">
        <v>183</v>
      </c>
      <c r="C50" s="143">
        <v>205303</v>
      </c>
      <c r="D50" s="142" t="s">
        <v>163</v>
      </c>
      <c r="E50" s="144">
        <v>38261</v>
      </c>
      <c r="F50" s="145">
        <v>0.055</v>
      </c>
      <c r="G50" s="34">
        <v>17</v>
      </c>
      <c r="H50" s="34">
        <v>168</v>
      </c>
      <c r="I50" s="34">
        <v>185</v>
      </c>
      <c r="J50" s="34">
        <v>31</v>
      </c>
      <c r="K50" s="141" t="s">
        <v>164</v>
      </c>
    </row>
    <row r="51" spans="1:11" ht="12.75">
      <c r="A51" s="152" t="s">
        <v>199</v>
      </c>
      <c r="B51" s="142"/>
      <c r="C51" s="153"/>
      <c r="D51" s="142"/>
      <c r="E51" s="144"/>
      <c r="F51" s="34"/>
      <c r="G51" s="34"/>
      <c r="H51" s="34"/>
      <c r="I51" s="34"/>
      <c r="J51" s="34"/>
      <c r="K51" s="141"/>
    </row>
    <row r="52" spans="1:11" ht="12.75">
      <c r="A52" s="40" t="s">
        <v>32</v>
      </c>
      <c r="B52" s="142" t="s">
        <v>162</v>
      </c>
      <c r="C52" s="143">
        <v>35394</v>
      </c>
      <c r="D52" s="142" t="s">
        <v>166</v>
      </c>
      <c r="E52" s="144">
        <v>37196</v>
      </c>
      <c r="F52" s="34" t="s">
        <v>200</v>
      </c>
      <c r="G52" s="34">
        <v>57</v>
      </c>
      <c r="H52" s="34">
        <v>1</v>
      </c>
      <c r="I52" s="34">
        <v>58</v>
      </c>
      <c r="J52" s="34">
        <v>1</v>
      </c>
      <c r="K52" s="141" t="s">
        <v>197</v>
      </c>
    </row>
    <row r="53" spans="1:11" ht="12.75">
      <c r="A53" s="40"/>
      <c r="B53" s="142"/>
      <c r="C53" s="142"/>
      <c r="D53" s="142"/>
      <c r="E53" s="34"/>
      <c r="F53" s="34"/>
      <c r="G53" s="34"/>
      <c r="H53" s="34"/>
      <c r="I53" s="34"/>
      <c r="J53" s="34"/>
      <c r="K53" s="141"/>
    </row>
    <row r="54" spans="1:11" ht="12.75">
      <c r="A54" s="152" t="s">
        <v>37</v>
      </c>
      <c r="B54" s="142"/>
      <c r="C54" s="153"/>
      <c r="D54" s="142"/>
      <c r="E54" s="144"/>
      <c r="F54" s="34"/>
      <c r="G54" s="34"/>
      <c r="H54" s="34"/>
      <c r="I54" s="34"/>
      <c r="J54" s="34"/>
      <c r="K54" s="141"/>
    </row>
    <row r="55" spans="1:11" ht="12.75">
      <c r="A55" s="40" t="s">
        <v>36</v>
      </c>
      <c r="B55" s="142" t="s">
        <v>162</v>
      </c>
      <c r="C55" s="143">
        <v>4527</v>
      </c>
      <c r="D55" s="142" t="s">
        <v>163</v>
      </c>
      <c r="E55" s="144">
        <v>36586</v>
      </c>
      <c r="F55" s="34" t="s">
        <v>200</v>
      </c>
      <c r="G55" s="34"/>
      <c r="H55" s="34">
        <v>96</v>
      </c>
      <c r="I55" s="34">
        <v>96</v>
      </c>
      <c r="J55" s="34">
        <v>16</v>
      </c>
      <c r="K55" s="141" t="s">
        <v>180</v>
      </c>
    </row>
    <row r="56" spans="1:11" ht="12.75">
      <c r="A56" s="40" t="s">
        <v>49</v>
      </c>
      <c r="B56" s="142" t="s">
        <v>162</v>
      </c>
      <c r="C56" s="143">
        <v>17757</v>
      </c>
      <c r="D56" s="142" t="s">
        <v>163</v>
      </c>
      <c r="E56" s="144">
        <v>38687</v>
      </c>
      <c r="F56" s="34"/>
      <c r="G56" s="34"/>
      <c r="H56" s="34">
        <v>24</v>
      </c>
      <c r="I56" s="34">
        <v>24</v>
      </c>
      <c r="J56" s="34">
        <v>24</v>
      </c>
      <c r="K56" s="141" t="s">
        <v>164</v>
      </c>
    </row>
    <row r="57" spans="1:11" ht="12.75">
      <c r="A57" s="44" t="s">
        <v>198</v>
      </c>
      <c r="B57" s="142" t="s">
        <v>183</v>
      </c>
      <c r="C57" s="143">
        <v>13999</v>
      </c>
      <c r="D57" s="142"/>
      <c r="E57" s="142"/>
      <c r="F57" s="142" t="s">
        <v>185</v>
      </c>
      <c r="G57" s="34">
        <v>12</v>
      </c>
      <c r="H57" s="34">
        <v>15</v>
      </c>
      <c r="I57" s="34">
        <f>12+15</f>
        <v>27</v>
      </c>
      <c r="J57" s="34">
        <v>15</v>
      </c>
      <c r="K57" s="141" t="s">
        <v>180</v>
      </c>
    </row>
    <row r="58" spans="1:11" ht="15.75" thickBot="1">
      <c r="A58" s="161"/>
      <c r="B58" s="162"/>
      <c r="C58" s="163"/>
      <c r="D58" s="162"/>
      <c r="E58" s="164"/>
      <c r="F58" s="164"/>
      <c r="G58" s="164"/>
      <c r="H58" s="164"/>
      <c r="I58" s="164"/>
      <c r="J58" s="164"/>
      <c r="K58" s="165"/>
    </row>
  </sheetData>
  <mergeCells count="5">
    <mergeCell ref="G8:K8"/>
    <mergeCell ref="G9:I9"/>
    <mergeCell ref="J9:K9"/>
    <mergeCell ref="A1:K1"/>
    <mergeCell ref="A2:K3"/>
  </mergeCells>
  <printOptions/>
  <pageMargins left="1.24" right="0.16" top="0.17" bottom="0.17" header="0" footer="0"/>
  <pageSetup horizontalDpi="600" verticalDpi="600" orientation="landscape" paperSize="5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CGPCONT99</dc:creator>
  <cp:keywords/>
  <dc:description/>
  <cp:lastModifiedBy>rbritos</cp:lastModifiedBy>
  <cp:lastPrinted>2007-05-29T14:35:01Z</cp:lastPrinted>
  <dcterms:created xsi:type="dcterms:W3CDTF">2007-05-17T13:18:06Z</dcterms:created>
  <dcterms:modified xsi:type="dcterms:W3CDTF">2007-05-30T12:44:13Z</dcterms:modified>
  <cp:category/>
  <cp:version/>
  <cp:contentType/>
  <cp:contentStatus/>
</cp:coreProperties>
</file>