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/>
  </bookViews>
  <sheets>
    <sheet name="10601" sheetId="6" r:id="rId1"/>
    <sheet name="10602" sheetId="32" r:id="rId2"/>
    <sheet name="10610" sheetId="33" r:id="rId3"/>
    <sheet name="50603" sheetId="34" r:id="rId4"/>
    <sheet name="50604" sheetId="36" r:id="rId5"/>
  </sheets>
  <definedNames>
    <definedName name="_xlnm.Print_Area" localSheetId="0">'10601'!$A$1:$N$46</definedName>
    <definedName name="_xlnm.Print_Area" localSheetId="1">'10602'!$A$1:$G$16</definedName>
    <definedName name="_xlnm.Print_Area" localSheetId="2">'10610'!$A$1:$P$42</definedName>
    <definedName name="_xlnm.Print_Area" localSheetId="4">'50604'!$B$1:$L$123</definedName>
    <definedName name="_xlnm.Print_Titles" localSheetId="4">'50604'!$1:$14</definedName>
  </definedNames>
  <calcPr calcId="144525"/>
</workbook>
</file>

<file path=xl/calcChain.xml><?xml version="1.0" encoding="utf-8"?>
<calcChain xmlns="http://schemas.openxmlformats.org/spreadsheetml/2006/main">
  <c r="J123" i="36" l="1"/>
  <c r="I123" i="36"/>
  <c r="G123" i="36"/>
  <c r="H123" i="36" s="1"/>
  <c r="F123" i="36"/>
  <c r="E123" i="36"/>
  <c r="D123" i="36"/>
  <c r="C123" i="36"/>
  <c r="K121" i="36"/>
  <c r="J121" i="36"/>
  <c r="I121" i="36"/>
  <c r="G121" i="36"/>
  <c r="H121" i="36" s="1"/>
  <c r="F121" i="36"/>
  <c r="D121" i="36"/>
  <c r="E121" i="36" s="1"/>
  <c r="C121" i="36"/>
  <c r="J117" i="36"/>
  <c r="I117" i="36"/>
  <c r="D117" i="36"/>
  <c r="E117" i="36" s="1"/>
  <c r="C117" i="36"/>
  <c r="J115" i="36"/>
  <c r="K115" i="36" s="1"/>
  <c r="L115" i="36" s="1"/>
  <c r="I115" i="36"/>
  <c r="H115" i="36"/>
  <c r="G115" i="36"/>
  <c r="F115" i="36"/>
  <c r="D115" i="36"/>
  <c r="E115" i="36" s="1"/>
  <c r="C115" i="36"/>
  <c r="J111" i="36"/>
  <c r="K111" i="36" s="1"/>
  <c r="I111" i="36"/>
  <c r="G111" i="36"/>
  <c r="H111" i="36" s="1"/>
  <c r="F111" i="36"/>
  <c r="D111" i="36"/>
  <c r="E111" i="36" s="1"/>
  <c r="L111" i="36" s="1"/>
  <c r="C111" i="36"/>
  <c r="J107" i="36"/>
  <c r="K107" i="36" s="1"/>
  <c r="I107" i="36"/>
  <c r="H107" i="36"/>
  <c r="G107" i="36"/>
  <c r="F107" i="36"/>
  <c r="D107" i="36"/>
  <c r="E107" i="36" s="1"/>
  <c r="L107" i="36" s="1"/>
  <c r="C107" i="36"/>
  <c r="J106" i="36"/>
  <c r="K106" i="36" s="1"/>
  <c r="I106" i="36"/>
  <c r="G106" i="36"/>
  <c r="F106" i="36"/>
  <c r="D106" i="36"/>
  <c r="E106" i="36" s="1"/>
  <c r="C106" i="36"/>
  <c r="J105" i="36"/>
  <c r="K105" i="36" s="1"/>
  <c r="L105" i="36" s="1"/>
  <c r="I105" i="36"/>
  <c r="L101" i="36"/>
  <c r="K101" i="36"/>
  <c r="H101" i="36"/>
  <c r="E101" i="36"/>
  <c r="J100" i="36"/>
  <c r="K100" i="36" s="1"/>
  <c r="I100" i="36"/>
  <c r="H100" i="36"/>
  <c r="G100" i="36"/>
  <c r="F100" i="36"/>
  <c r="D100" i="36"/>
  <c r="E100" i="36" s="1"/>
  <c r="L100" i="36" s="1"/>
  <c r="C100" i="36"/>
  <c r="J99" i="36"/>
  <c r="K99" i="36" s="1"/>
  <c r="I99" i="36"/>
  <c r="G99" i="36"/>
  <c r="H99" i="36" s="1"/>
  <c r="F99" i="36"/>
  <c r="D99" i="36"/>
  <c r="E99" i="36" s="1"/>
  <c r="C99" i="36"/>
  <c r="L95" i="36"/>
  <c r="J95" i="36"/>
  <c r="I95" i="36"/>
  <c r="K95" i="36" s="1"/>
  <c r="H95" i="36"/>
  <c r="G95" i="36"/>
  <c r="F95" i="36"/>
  <c r="D95" i="36"/>
  <c r="E95" i="36" s="1"/>
  <c r="C95" i="36"/>
  <c r="J94" i="36"/>
  <c r="K94" i="36" s="1"/>
  <c r="I94" i="36"/>
  <c r="G94" i="36"/>
  <c r="F94" i="36"/>
  <c r="D94" i="36"/>
  <c r="C94" i="36"/>
  <c r="E94" i="36" s="1"/>
  <c r="J93" i="36"/>
  <c r="I93" i="36"/>
  <c r="K93" i="36" s="1"/>
  <c r="H93" i="36"/>
  <c r="G93" i="36"/>
  <c r="F93" i="36"/>
  <c r="D93" i="36"/>
  <c r="E93" i="36" s="1"/>
  <c r="L93" i="36" s="1"/>
  <c r="C93" i="36"/>
  <c r="J89" i="36"/>
  <c r="K89" i="36" s="1"/>
  <c r="I89" i="36"/>
  <c r="G89" i="36"/>
  <c r="H89" i="36" s="1"/>
  <c r="F89" i="36"/>
  <c r="D89" i="36"/>
  <c r="C89" i="36"/>
  <c r="E89" i="36" s="1"/>
  <c r="J88" i="36"/>
  <c r="I88" i="36"/>
  <c r="K88" i="36" s="1"/>
  <c r="H88" i="36"/>
  <c r="G88" i="36"/>
  <c r="F88" i="36"/>
  <c r="D88" i="36"/>
  <c r="E88" i="36" s="1"/>
  <c r="L88" i="36" s="1"/>
  <c r="C88" i="36"/>
  <c r="K87" i="36"/>
  <c r="J87" i="36"/>
  <c r="I87" i="36"/>
  <c r="G87" i="36"/>
  <c r="H87" i="36" s="1"/>
  <c r="F87" i="36"/>
  <c r="D87" i="36"/>
  <c r="C87" i="36"/>
  <c r="E87" i="36" s="1"/>
  <c r="J86" i="36"/>
  <c r="I86" i="36"/>
  <c r="K86" i="36" s="1"/>
  <c r="H86" i="36"/>
  <c r="G86" i="36"/>
  <c r="F86" i="36"/>
  <c r="D86" i="36"/>
  <c r="E86" i="36" s="1"/>
  <c r="L86" i="36" s="1"/>
  <c r="C86" i="36"/>
  <c r="K85" i="36"/>
  <c r="J85" i="36"/>
  <c r="I85" i="36"/>
  <c r="G85" i="36"/>
  <c r="H85" i="36" s="1"/>
  <c r="F85" i="36"/>
  <c r="D85" i="36"/>
  <c r="C85" i="36"/>
  <c r="E85" i="36" s="1"/>
  <c r="J81" i="36"/>
  <c r="I81" i="36"/>
  <c r="K81" i="36" s="1"/>
  <c r="H81" i="36"/>
  <c r="G81" i="36"/>
  <c r="F81" i="36"/>
  <c r="D81" i="36"/>
  <c r="E81" i="36" s="1"/>
  <c r="L81" i="36" s="1"/>
  <c r="C81" i="36"/>
  <c r="K80" i="36"/>
  <c r="J80" i="36"/>
  <c r="I80" i="36"/>
  <c r="G80" i="36"/>
  <c r="H80" i="36" s="1"/>
  <c r="F80" i="36"/>
  <c r="D80" i="36"/>
  <c r="C80" i="36"/>
  <c r="E80" i="36" s="1"/>
  <c r="J79" i="36"/>
  <c r="I79" i="36"/>
  <c r="K79" i="36" s="1"/>
  <c r="H79" i="36"/>
  <c r="G79" i="36"/>
  <c r="F79" i="36"/>
  <c r="D79" i="36"/>
  <c r="E79" i="36" s="1"/>
  <c r="L79" i="36" s="1"/>
  <c r="C79" i="36"/>
  <c r="J78" i="36"/>
  <c r="K78" i="36" s="1"/>
  <c r="I78" i="36"/>
  <c r="G78" i="36"/>
  <c r="H78" i="36" s="1"/>
  <c r="F78" i="36"/>
  <c r="D78" i="36"/>
  <c r="C78" i="36"/>
  <c r="E78" i="36" s="1"/>
  <c r="J77" i="36"/>
  <c r="I77" i="36"/>
  <c r="K77" i="36" s="1"/>
  <c r="H77" i="36"/>
  <c r="G77" i="36"/>
  <c r="F77" i="36"/>
  <c r="D77" i="36"/>
  <c r="E77" i="36" s="1"/>
  <c r="L77" i="36" s="1"/>
  <c r="C77" i="36"/>
  <c r="J73" i="36"/>
  <c r="K73" i="36" s="1"/>
  <c r="I73" i="36"/>
  <c r="G73" i="36"/>
  <c r="H73" i="36" s="1"/>
  <c r="F73" i="36"/>
  <c r="D73" i="36"/>
  <c r="C73" i="36"/>
  <c r="E73" i="36" s="1"/>
  <c r="J72" i="36"/>
  <c r="I72" i="36"/>
  <c r="K72" i="36" s="1"/>
  <c r="H72" i="36"/>
  <c r="G72" i="36"/>
  <c r="F72" i="36"/>
  <c r="D72" i="36"/>
  <c r="E72" i="36" s="1"/>
  <c r="L72" i="36" s="1"/>
  <c r="C72" i="36"/>
  <c r="J68" i="36"/>
  <c r="K68" i="36" s="1"/>
  <c r="I68" i="36"/>
  <c r="G68" i="36"/>
  <c r="H68" i="36" s="1"/>
  <c r="F68" i="36"/>
  <c r="D68" i="36"/>
  <c r="C68" i="36"/>
  <c r="E68" i="36" s="1"/>
  <c r="J67" i="36"/>
  <c r="I67" i="36"/>
  <c r="K67" i="36" s="1"/>
  <c r="H67" i="36"/>
  <c r="G67" i="36"/>
  <c r="F67" i="36"/>
  <c r="D67" i="36"/>
  <c r="E67" i="36" s="1"/>
  <c r="L67" i="36" s="1"/>
  <c r="C67" i="36"/>
  <c r="J66" i="36"/>
  <c r="K66" i="36" s="1"/>
  <c r="I66" i="36"/>
  <c r="G66" i="36"/>
  <c r="H66" i="36" s="1"/>
  <c r="F66" i="36"/>
  <c r="D66" i="36"/>
  <c r="C66" i="36"/>
  <c r="E66" i="36" s="1"/>
  <c r="J65" i="36"/>
  <c r="I65" i="36"/>
  <c r="K65" i="36" s="1"/>
  <c r="H65" i="36"/>
  <c r="G65" i="36"/>
  <c r="F65" i="36"/>
  <c r="D65" i="36"/>
  <c r="E65" i="36" s="1"/>
  <c r="L65" i="36" s="1"/>
  <c r="C65" i="36"/>
  <c r="J64" i="36"/>
  <c r="K64" i="36" s="1"/>
  <c r="I64" i="36"/>
  <c r="G64" i="36"/>
  <c r="H64" i="36" s="1"/>
  <c r="F64" i="36"/>
  <c r="D64" i="36"/>
  <c r="C64" i="36"/>
  <c r="E64" i="36" s="1"/>
  <c r="J63" i="36"/>
  <c r="I63" i="36"/>
  <c r="K63" i="36" s="1"/>
  <c r="H63" i="36"/>
  <c r="G63" i="36"/>
  <c r="F63" i="36"/>
  <c r="D63" i="36"/>
  <c r="E63" i="36" s="1"/>
  <c r="L63" i="36" s="1"/>
  <c r="C63" i="36"/>
  <c r="J62" i="36"/>
  <c r="K62" i="36" s="1"/>
  <c r="I62" i="36"/>
  <c r="G62" i="36"/>
  <c r="H62" i="36" s="1"/>
  <c r="F62" i="36"/>
  <c r="D62" i="36"/>
  <c r="C62" i="36"/>
  <c r="E62" i="36" s="1"/>
  <c r="J61" i="36"/>
  <c r="I61" i="36"/>
  <c r="K61" i="36" s="1"/>
  <c r="H61" i="36"/>
  <c r="G61" i="36"/>
  <c r="F61" i="36"/>
  <c r="D61" i="36"/>
  <c r="E61" i="36" s="1"/>
  <c r="L61" i="36" s="1"/>
  <c r="C61" i="36"/>
  <c r="J60" i="36"/>
  <c r="K60" i="36" s="1"/>
  <c r="I60" i="36"/>
  <c r="G60" i="36"/>
  <c r="H60" i="36" s="1"/>
  <c r="F60" i="36"/>
  <c r="D60" i="36"/>
  <c r="C60" i="36"/>
  <c r="E60" i="36" s="1"/>
  <c r="J59" i="36"/>
  <c r="I59" i="36"/>
  <c r="K59" i="36" s="1"/>
  <c r="H59" i="36"/>
  <c r="G59" i="36"/>
  <c r="F59" i="36"/>
  <c r="D59" i="36"/>
  <c r="E59" i="36" s="1"/>
  <c r="L59" i="36" s="1"/>
  <c r="C59" i="36"/>
  <c r="J58" i="36"/>
  <c r="K58" i="36" s="1"/>
  <c r="I58" i="36"/>
  <c r="G58" i="36"/>
  <c r="H58" i="36" s="1"/>
  <c r="F58" i="36"/>
  <c r="D58" i="36"/>
  <c r="C58" i="36"/>
  <c r="E58" i="36" s="1"/>
  <c r="J54" i="36"/>
  <c r="I54" i="36"/>
  <c r="K54" i="36" s="1"/>
  <c r="H54" i="36"/>
  <c r="G54" i="36"/>
  <c r="F54" i="36"/>
  <c r="D54" i="36"/>
  <c r="E54" i="36" s="1"/>
  <c r="L54" i="36" s="1"/>
  <c r="C54" i="36"/>
  <c r="J53" i="36"/>
  <c r="K53" i="36" s="1"/>
  <c r="I53" i="36"/>
  <c r="G53" i="36"/>
  <c r="H53" i="36" s="1"/>
  <c r="F53" i="36"/>
  <c r="D53" i="36"/>
  <c r="C53" i="36"/>
  <c r="E53" i="36" s="1"/>
  <c r="J52" i="36"/>
  <c r="I52" i="36"/>
  <c r="K52" i="36" s="1"/>
  <c r="H52" i="36"/>
  <c r="G52" i="36"/>
  <c r="F52" i="36"/>
  <c r="D52" i="36"/>
  <c r="E52" i="36" s="1"/>
  <c r="L52" i="36" s="1"/>
  <c r="C52" i="36"/>
  <c r="J51" i="36"/>
  <c r="K51" i="36" s="1"/>
  <c r="I51" i="36"/>
  <c r="G51" i="36"/>
  <c r="H51" i="36" s="1"/>
  <c r="F51" i="36"/>
  <c r="D51" i="36"/>
  <c r="C51" i="36"/>
  <c r="E51" i="36" s="1"/>
  <c r="J50" i="36"/>
  <c r="I50" i="36"/>
  <c r="K50" i="36" s="1"/>
  <c r="H50" i="36"/>
  <c r="G50" i="36"/>
  <c r="F50" i="36"/>
  <c r="D50" i="36"/>
  <c r="E50" i="36" s="1"/>
  <c r="L50" i="36" s="1"/>
  <c r="C50" i="36"/>
  <c r="J49" i="36"/>
  <c r="K49" i="36" s="1"/>
  <c r="I49" i="36"/>
  <c r="G49" i="36"/>
  <c r="H49" i="36" s="1"/>
  <c r="F49" i="36"/>
  <c r="D49" i="36"/>
  <c r="C49" i="36"/>
  <c r="E49" i="36" s="1"/>
  <c r="J48" i="36"/>
  <c r="I48" i="36"/>
  <c r="K48" i="36" s="1"/>
  <c r="H48" i="36"/>
  <c r="G48" i="36"/>
  <c r="F48" i="36"/>
  <c r="D48" i="36"/>
  <c r="E48" i="36" s="1"/>
  <c r="L48" i="36" s="1"/>
  <c r="C48" i="36"/>
  <c r="J47" i="36"/>
  <c r="K47" i="36" s="1"/>
  <c r="I47" i="36"/>
  <c r="G47" i="36"/>
  <c r="H47" i="36" s="1"/>
  <c r="F47" i="36"/>
  <c r="D47" i="36"/>
  <c r="C47" i="36"/>
  <c r="E47" i="36" s="1"/>
  <c r="J46" i="36"/>
  <c r="I46" i="36"/>
  <c r="K46" i="36" s="1"/>
  <c r="H46" i="36"/>
  <c r="G46" i="36"/>
  <c r="F46" i="36"/>
  <c r="D46" i="36"/>
  <c r="E46" i="36" s="1"/>
  <c r="L46" i="36" s="1"/>
  <c r="C46" i="36"/>
  <c r="J45" i="36"/>
  <c r="K45" i="36" s="1"/>
  <c r="I45" i="36"/>
  <c r="G45" i="36"/>
  <c r="H45" i="36" s="1"/>
  <c r="F45" i="36"/>
  <c r="D45" i="36"/>
  <c r="C45" i="36"/>
  <c r="E45" i="36" s="1"/>
  <c r="J44" i="36"/>
  <c r="I44" i="36"/>
  <c r="K44" i="36" s="1"/>
  <c r="H44" i="36"/>
  <c r="G44" i="36"/>
  <c r="F44" i="36"/>
  <c r="D44" i="36"/>
  <c r="E44" i="36" s="1"/>
  <c r="L44" i="36" s="1"/>
  <c r="C44" i="36"/>
  <c r="J43" i="36"/>
  <c r="K43" i="36" s="1"/>
  <c r="I43" i="36"/>
  <c r="G43" i="36"/>
  <c r="H43" i="36" s="1"/>
  <c r="F43" i="36"/>
  <c r="D43" i="36"/>
  <c r="C43" i="36"/>
  <c r="E43" i="36" s="1"/>
  <c r="J42" i="36"/>
  <c r="I42" i="36"/>
  <c r="K42" i="36" s="1"/>
  <c r="H42" i="36"/>
  <c r="G42" i="36"/>
  <c r="F42" i="36"/>
  <c r="D42" i="36"/>
  <c r="E42" i="36" s="1"/>
  <c r="L42" i="36" s="1"/>
  <c r="C42" i="36"/>
  <c r="J41" i="36"/>
  <c r="K41" i="36" s="1"/>
  <c r="I41" i="36"/>
  <c r="G41" i="36"/>
  <c r="H41" i="36" s="1"/>
  <c r="F41" i="36"/>
  <c r="D41" i="36"/>
  <c r="C41" i="36"/>
  <c r="E41" i="36" s="1"/>
  <c r="J40" i="36"/>
  <c r="I40" i="36"/>
  <c r="K40" i="36" s="1"/>
  <c r="H40" i="36"/>
  <c r="G40" i="36"/>
  <c r="F40" i="36"/>
  <c r="D40" i="36"/>
  <c r="E40" i="36" s="1"/>
  <c r="L40" i="36" s="1"/>
  <c r="C40" i="36"/>
  <c r="J39" i="36"/>
  <c r="K39" i="36" s="1"/>
  <c r="I39" i="36"/>
  <c r="G39" i="36"/>
  <c r="H39" i="36" s="1"/>
  <c r="F39" i="36"/>
  <c r="D39" i="36"/>
  <c r="C39" i="36"/>
  <c r="E39" i="36" s="1"/>
  <c r="J38" i="36"/>
  <c r="I38" i="36"/>
  <c r="K38" i="36" s="1"/>
  <c r="H38" i="36"/>
  <c r="G38" i="36"/>
  <c r="F38" i="36"/>
  <c r="D38" i="36"/>
  <c r="E38" i="36" s="1"/>
  <c r="L38" i="36" s="1"/>
  <c r="C38" i="36"/>
  <c r="J37" i="36"/>
  <c r="K37" i="36" s="1"/>
  <c r="I37" i="36"/>
  <c r="G37" i="36"/>
  <c r="H37" i="36" s="1"/>
  <c r="F37" i="36"/>
  <c r="J36" i="36"/>
  <c r="I36" i="36"/>
  <c r="G36" i="36"/>
  <c r="F36" i="36"/>
  <c r="H36" i="36" s="1"/>
  <c r="E36" i="36"/>
  <c r="D36" i="36"/>
  <c r="C36" i="36"/>
  <c r="K35" i="36"/>
  <c r="J35" i="36"/>
  <c r="I35" i="36"/>
  <c r="G35" i="36"/>
  <c r="H35" i="36" s="1"/>
  <c r="F35" i="36"/>
  <c r="D35" i="36"/>
  <c r="E35" i="36" s="1"/>
  <c r="L35" i="36" s="1"/>
  <c r="C35" i="36"/>
  <c r="J34" i="36"/>
  <c r="I34" i="36"/>
  <c r="G34" i="36"/>
  <c r="F34" i="36"/>
  <c r="H34" i="36" s="1"/>
  <c r="E34" i="36"/>
  <c r="D34" i="36"/>
  <c r="C34" i="36"/>
  <c r="K33" i="36"/>
  <c r="J33" i="36"/>
  <c r="I33" i="36"/>
  <c r="G33" i="36"/>
  <c r="H33" i="36" s="1"/>
  <c r="F33" i="36"/>
  <c r="D33" i="36"/>
  <c r="E33" i="36" s="1"/>
  <c r="C33" i="36"/>
  <c r="J32" i="36"/>
  <c r="I32" i="36"/>
  <c r="G32" i="36"/>
  <c r="F32" i="36"/>
  <c r="H32" i="36" s="1"/>
  <c r="E32" i="36"/>
  <c r="D32" i="36"/>
  <c r="C32" i="36"/>
  <c r="K31" i="36"/>
  <c r="J31" i="36"/>
  <c r="I31" i="36"/>
  <c r="G31" i="36"/>
  <c r="H31" i="36" s="1"/>
  <c r="F31" i="36"/>
  <c r="D31" i="36"/>
  <c r="E31" i="36" s="1"/>
  <c r="L31" i="36" s="1"/>
  <c r="C31" i="36"/>
  <c r="J30" i="36"/>
  <c r="I30" i="36"/>
  <c r="G30" i="36"/>
  <c r="F30" i="36"/>
  <c r="H30" i="36" s="1"/>
  <c r="E30" i="36"/>
  <c r="D30" i="36"/>
  <c r="C30" i="36"/>
  <c r="K29" i="36"/>
  <c r="J29" i="36"/>
  <c r="I29" i="36"/>
  <c r="G29" i="36"/>
  <c r="H29" i="36" s="1"/>
  <c r="F29" i="36"/>
  <c r="D29" i="36"/>
  <c r="E29" i="36" s="1"/>
  <c r="C29" i="36"/>
  <c r="J28" i="36"/>
  <c r="I28" i="36"/>
  <c r="G28" i="36"/>
  <c r="F28" i="36"/>
  <c r="H28" i="36" s="1"/>
  <c r="E28" i="36"/>
  <c r="D28" i="36"/>
  <c r="C28" i="36"/>
  <c r="K27" i="36"/>
  <c r="J27" i="36"/>
  <c r="I27" i="36"/>
  <c r="G27" i="36"/>
  <c r="H27" i="36" s="1"/>
  <c r="F27" i="36"/>
  <c r="D27" i="36"/>
  <c r="E27" i="36" s="1"/>
  <c r="L27" i="36" s="1"/>
  <c r="C27" i="36"/>
  <c r="J26" i="36"/>
  <c r="I26" i="36"/>
  <c r="G26" i="36"/>
  <c r="F26" i="36"/>
  <c r="H26" i="36" s="1"/>
  <c r="E26" i="36"/>
  <c r="D26" i="36"/>
  <c r="C26" i="36"/>
  <c r="K25" i="36"/>
  <c r="J25" i="36"/>
  <c r="I25" i="36"/>
  <c r="G25" i="36"/>
  <c r="H25" i="36" s="1"/>
  <c r="F25" i="36"/>
  <c r="D25" i="36"/>
  <c r="C25" i="36"/>
  <c r="J24" i="36"/>
  <c r="I24" i="36"/>
  <c r="H24" i="36"/>
  <c r="G24" i="36"/>
  <c r="F24" i="36"/>
  <c r="D24" i="36"/>
  <c r="E24" i="36" s="1"/>
  <c r="C24" i="36"/>
  <c r="J23" i="36"/>
  <c r="K23" i="36" s="1"/>
  <c r="I23" i="36"/>
  <c r="G23" i="36"/>
  <c r="H23" i="36" s="1"/>
  <c r="F23" i="36"/>
  <c r="D23" i="36"/>
  <c r="E23" i="36" s="1"/>
  <c r="L23" i="36" s="1"/>
  <c r="C23" i="36"/>
  <c r="J22" i="36"/>
  <c r="I22" i="36"/>
  <c r="G22" i="36"/>
  <c r="F22" i="36"/>
  <c r="H22" i="36" s="1"/>
  <c r="E22" i="36"/>
  <c r="D22" i="36"/>
  <c r="C22" i="36"/>
  <c r="K21" i="36"/>
  <c r="J21" i="36"/>
  <c r="I21" i="36"/>
  <c r="G21" i="36"/>
  <c r="H21" i="36" s="1"/>
  <c r="F21" i="36"/>
  <c r="D21" i="36"/>
  <c r="C21" i="36"/>
  <c r="J20" i="36"/>
  <c r="I20" i="36"/>
  <c r="H20" i="36"/>
  <c r="G20" i="36"/>
  <c r="F20" i="36"/>
  <c r="D20" i="36"/>
  <c r="E20" i="36" s="1"/>
  <c r="C20" i="36"/>
  <c r="J19" i="36"/>
  <c r="K19" i="36" s="1"/>
  <c r="I19" i="36"/>
  <c r="G19" i="36"/>
  <c r="H19" i="36" s="1"/>
  <c r="F19" i="36"/>
  <c r="D19" i="36"/>
  <c r="E19" i="36" s="1"/>
  <c r="C19" i="36"/>
  <c r="J18" i="36"/>
  <c r="I18" i="36"/>
  <c r="G18" i="36"/>
  <c r="F18" i="36"/>
  <c r="H18" i="36" s="1"/>
  <c r="E18" i="36"/>
  <c r="D18" i="36"/>
  <c r="C18" i="36"/>
  <c r="K17" i="36"/>
  <c r="J17" i="36"/>
  <c r="I17" i="36"/>
  <c r="G17" i="36"/>
  <c r="H17" i="36" s="1"/>
  <c r="F17" i="36"/>
  <c r="D17" i="36"/>
  <c r="C17" i="36"/>
  <c r="L19" i="36" l="1"/>
  <c r="L29" i="36"/>
  <c r="L33" i="36"/>
  <c r="L22" i="36"/>
  <c r="L24" i="36"/>
  <c r="K18" i="36"/>
  <c r="L18" i="36" s="1"/>
  <c r="L39" i="36"/>
  <c r="L43" i="36"/>
  <c r="L47" i="36"/>
  <c r="L53" i="36"/>
  <c r="L58" i="36"/>
  <c r="L62" i="36"/>
  <c r="L64" i="36"/>
  <c r="L68" i="36"/>
  <c r="L78" i="36"/>
  <c r="L85" i="36"/>
  <c r="L87" i="36"/>
  <c r="H106" i="36"/>
  <c r="E17" i="36"/>
  <c r="L17" i="36" s="1"/>
  <c r="E21" i="36"/>
  <c r="L21" i="36" s="1"/>
  <c r="E25" i="36"/>
  <c r="L25" i="36" s="1"/>
  <c r="K28" i="36"/>
  <c r="L28" i="36" s="1"/>
  <c r="K30" i="36"/>
  <c r="L30" i="36" s="1"/>
  <c r="K32" i="36"/>
  <c r="L32" i="36" s="1"/>
  <c r="K34" i="36"/>
  <c r="L34" i="36" s="1"/>
  <c r="K36" i="36"/>
  <c r="L36" i="36" s="1"/>
  <c r="H94" i="36"/>
  <c r="L99" i="36"/>
  <c r="L37" i="36"/>
  <c r="K22" i="36"/>
  <c r="K26" i="36"/>
  <c r="L26" i="36" s="1"/>
  <c r="L41" i="36"/>
  <c r="L45" i="36"/>
  <c r="L49" i="36"/>
  <c r="L51" i="36"/>
  <c r="L60" i="36"/>
  <c r="L66" i="36"/>
  <c r="L73" i="36"/>
  <c r="L80" i="36"/>
  <c r="L89" i="36"/>
  <c r="K117" i="36"/>
  <c r="K20" i="36"/>
  <c r="L20" i="36" s="1"/>
  <c r="K24" i="36"/>
  <c r="L94" i="36"/>
  <c r="L106" i="36"/>
  <c r="L117" i="36"/>
  <c r="L121" i="36"/>
  <c r="L123" i="36"/>
  <c r="K123" i="36"/>
  <c r="N42" i="34"/>
  <c r="M42" i="34"/>
  <c r="K42" i="33" l="1"/>
  <c r="K41" i="33"/>
  <c r="L30" i="33"/>
  <c r="K30" i="33"/>
  <c r="L24" i="33"/>
  <c r="K24" i="33"/>
  <c r="K23" i="33" s="1"/>
  <c r="L23" i="33"/>
  <c r="H15" i="32" l="1"/>
  <c r="G15" i="32"/>
  <c r="F15" i="32"/>
  <c r="E15" i="32"/>
  <c r="D15" i="32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<sst xmlns="http://schemas.openxmlformats.org/spreadsheetml/2006/main" count="513" uniqueCount="254">
  <si>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</si>
  <si>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</si>
  <si>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</si>
  <si>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</si>
  <si>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</si>
  <si>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</si>
  <si>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</si>
  <si>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</si>
  <si>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</si>
  <si>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</si>
  <si>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</si>
  <si>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</si>
  <si>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</si>
  <si>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</si>
  <si>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</si>
  <si>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</si>
  <si>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</si>
  <si>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</si>
  <si>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</si>
  <si>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</si>
  <si>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</si>
  <si>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</si>
  <si>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</si>
  <si>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</si>
  <si>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</si>
  <si>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</si>
  <si>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</si>
  <si>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</si>
  <si>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</si>
  <si>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</si>
  <si>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</si>
  <si>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</si>
  <si>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</si>
  <si>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</si>
  <si>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</si>
  <si>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</si>
  <si>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</si>
  <si>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</si>
  <si>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</si>
  <si>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</si>
  <si>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</si>
  <si>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</si>
  <si>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</si>
  <si>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</si>
  <si>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</si>
  <si>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</si>
  <si>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</si>
  <si>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</si>
  <si>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</si>
  <si>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</si>
  <si>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</si>
  <si>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</si>
  <si>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</si>
  <si>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</si>
  <si>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</si>
  <si>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</si>
  <si>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</si>
  <si>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</si>
  <si>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</si>
  <si>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</si>
  <si>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</si>
  <si>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</si>
  <si>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</si>
  <si>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</si>
  <si>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</si>
  <si>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</si>
  <si>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</si>
  <si>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</si>
  <si>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</si>
  <si>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</si>
  <si>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</si>
  <si>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</si>
  <si>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</si>
  <si>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</si>
  <si>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</si>
  <si>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</si>
  <si>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</si>
  <si>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</si>
  <si>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</si>
  <si>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</si>
  <si>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</si>
  <si>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</si>
  <si>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</si>
  <si>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</si>
  <si>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</si>
  <si>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</si>
  <si>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</si>
  <si>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</si>
  <si>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</si>
  <si>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</si>
  <si>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</si>
  <si>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</si>
  <si>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</si>
  <si>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</si>
  <si>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</si>
  <si>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</si>
  <si>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</si>
  <si>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</si>
  <si>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</si>
  <si>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</si>
  <si>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</si>
  <si>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</si>
  <si>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</si>
  <si>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</si>
  <si>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</si>
  <si>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</si>
  <si>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</si>
  <si>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</si>
  <si>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</si>
  <si>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</si>
  <si>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</si>
  <si>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</si>
  <si>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</si>
  <si>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</si>
  <si>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</si>
  <si>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</si>
  <si>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</si>
  <si>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</si>
  <si>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</si>
  <si>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</si>
  <si>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</si>
  <si>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</si>
  <si>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</si>
  <si>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</si>
  <si>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</si>
  <si>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</si>
  <si>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</si>
  <si>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</si>
  <si>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</si>
  <si>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</si>
  <si>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</si>
  <si>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</si>
  <si>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</si>
  <si>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</si>
  <si>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</si>
  <si>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</si>
  <si>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</si>
  <si>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</si>
  <si>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</si>
  <si>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</si>
  <si>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</si>
  <si>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</si>
  <si>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</si>
  <si>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</si>
  <si>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</si>
  <si>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</si>
  <si>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</si>
  <si>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</si>
  <si>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</si>
  <si>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</si>
  <si>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</si>
  <si>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</si>
  <si>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</si>
  <si>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CUADRO DE INDICADORES Y METAS  - META ANUAL y 1er TRIMESTRE 2017</t>
  </si>
  <si>
    <t>2017</t>
  </si>
  <si>
    <t>C.J.U.O. 1 - 06 - 10 - 1º TRIMESTE 2017</t>
  </si>
  <si>
    <t>MINISTERIO DE HACIENDA  :INSTITUTO PROVINCIAL DE JUEGOS Y CASINOS</t>
  </si>
  <si>
    <t>ADMINISTRACIÓN TRIBUTARIA MENDOZA - LEY DE RESPONSABILIDAD FISCAL</t>
  </si>
  <si>
    <r>
      <t>LRF LEY Nº 7.314 - ANEXO 30 - ART. 44 Y 45  - 1</t>
    </r>
    <r>
      <rPr>
        <b/>
        <vertAlign val="superscript"/>
        <sz val="16"/>
        <color indexed="8"/>
        <rFont val="Calibri"/>
        <family val="2"/>
      </rPr>
      <t>er</t>
    </r>
    <r>
      <rPr>
        <b/>
        <sz val="16"/>
        <color indexed="8"/>
        <rFont val="Calibri"/>
        <family val="2"/>
      </rPr>
      <t xml:space="preserve"> TRIMESTRE 2017</t>
    </r>
  </si>
  <si>
    <t>RESOLUCIÓN INTERNA ATM Nº 61/16 - INDICADORES DE GESTIÓN</t>
  </si>
  <si>
    <t>INFORME CONSOLIDADO DE INDICADORES</t>
  </si>
  <si>
    <t>AREA</t>
  </si>
  <si>
    <t>ENERO</t>
  </si>
  <si>
    <t>FEBRERO</t>
  </si>
  <si>
    <t>MARZO</t>
  </si>
  <si>
    <t>PROMEDIO DE RATIOS</t>
  </si>
  <si>
    <t>PLANIF</t>
  </si>
  <si>
    <t>EJEC</t>
  </si>
  <si>
    <t>RATIO</t>
  </si>
  <si>
    <t>DIRECCIÓN GENERAL DE RENTAS</t>
  </si>
  <si>
    <t>INTELIGENCIA FISCAL</t>
  </si>
  <si>
    <t>FISCALIZACIÓN PERMANENTE</t>
  </si>
  <si>
    <t>FISCALIZACIÓN EXTERNA</t>
  </si>
  <si>
    <t>SELLOS Y TASA DE JUSTICIA</t>
  </si>
  <si>
    <t>PATRIMONIALES GESTIÓN INTERNA</t>
  </si>
  <si>
    <t>PATRIMONIALES ATENCIÓN CONTRIBUYENTES</t>
  </si>
  <si>
    <t>CONTACT CENTER</t>
  </si>
  <si>
    <t>AGENTE DE RETENCIÓN, PERCEPCIÓN E INFORMACIÓN</t>
  </si>
  <si>
    <t>ACTIVIDADES ECONÓMICAS – ATENCIÓN CONTRIBUYENTE</t>
  </si>
  <si>
    <t>DETERMINACIÓN DE OFICIO</t>
  </si>
  <si>
    <t>GRANDES CONTRIBUYENTES</t>
  </si>
  <si>
    <t>RECEPTORIA CORRALITOS</t>
  </si>
  <si>
    <t>RECEPTORIA RODEO DE LA CRUZ</t>
  </si>
  <si>
    <t>RECEPTORIA MAIPÚ</t>
  </si>
  <si>
    <t>RECEPTORIA LUJAN DE CUYO</t>
  </si>
  <si>
    <t>RECEPTORIA LAS HERAS</t>
  </si>
  <si>
    <t>RECEPTORIA LAVALLE</t>
  </si>
  <si>
    <t>RECEPTORIA GODOY CRUZ</t>
  </si>
  <si>
    <t>RECEPTORIA CONSEJO PROFESIONAL</t>
  </si>
  <si>
    <t>DELEGACION ZONA SUR</t>
  </si>
  <si>
    <t>RECEPTORIA VILLA ATUEL</t>
  </si>
  <si>
    <t>-</t>
  </si>
  <si>
    <t>RECEPTORIA MALARGÜE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</si>
  <si>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</si>
  <si>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</si>
  <si>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</si>
  <si>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</si>
  <si>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</si>
  <si>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</si>
  <si>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</si>
  <si>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</si>
  <si>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</si>
  <si>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</si>
  <si>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</si>
  <si>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</si>
  <si>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</si>
  <si>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</si>
  <si>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DELEGACIÓN CAPITAL FEDERAL</t>
  </si>
  <si>
    <t>GESTIÓN DE COBRANZAS</t>
  </si>
  <si>
    <t>DIRECCIÓN GENERAL DE CATASTRO</t>
  </si>
  <si>
    <t>FISICO</t>
  </si>
  <si>
    <t>MENSURA</t>
  </si>
  <si>
    <t>JURÍDICO</t>
  </si>
  <si>
    <t>ECONÓMICO</t>
  </si>
  <si>
    <t>DELEGACIÓN ZONA SUR</t>
  </si>
  <si>
    <t>FISCALIZACIÓN</t>
  </si>
  <si>
    <t>DELEGACIÓN VALLE DE UCO</t>
  </si>
  <si>
    <t>CARTOGRAFÍA</t>
  </si>
  <si>
    <t>IDEM</t>
  </si>
  <si>
    <t>DEPÓSITO</t>
  </si>
  <si>
    <t>DIRECCIÓN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</si>
  <si>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</si>
  <si>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</si>
  <si>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</si>
  <si>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</si>
  <si>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</si>
  <si>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</si>
  <si>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</si>
  <si>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</si>
  <si>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</si>
  <si>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TÉCNICA Y NORMATIVA</t>
  </si>
  <si>
    <t>ASUNTOS LEGALES</t>
  </si>
  <si>
    <t>PROCESOS UNIVERSALES</t>
  </si>
  <si>
    <t>RECURSOS DE REVOCATORIA</t>
  </si>
  <si>
    <t>RECURSOS JERÁRQUICOS</t>
  </si>
  <si>
    <t>DIRECCIÓN TECNOLOGÍAS DE LA INFORMACIÓN</t>
  </si>
  <si>
    <t>COI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</si>
  <si>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</si>
  <si>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</si>
  <si>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</si>
  <si>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</si>
  <si>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</si>
  <si>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</si>
  <si>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</si>
  <si>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</si>
  <si>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</si>
  <si>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ADMINISTRACIÓN GENERAL</t>
  </si>
  <si>
    <t>DESPACHO</t>
  </si>
  <si>
    <t>PLANIFICACIÓN ESTRATÉGICA</t>
  </si>
  <si>
    <t>COMUNICACIÓN Y PRENSA</t>
  </si>
  <si>
    <t>GESTIÓN DE CALIDAD</t>
  </si>
  <si>
    <t>OTRAS AREAS</t>
  </si>
  <si>
    <t>TRIBUNAL ADMINISTRATIVO FISCAL</t>
  </si>
  <si>
    <t>CONSEJO DE LOTEO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</si>
</sst>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_-* #,##0\ _€_-;\-* #,##0\ _€_-;_-* &quot;-&quot;\ _€_-;_-@_-"/>
    <numFmt numFmtId="171" formatCode="#,##0_ ;\-#,##0\ "/>
    <numFmt numFmtId="172" formatCode="#,##0.00\ _€"/>
    <numFmt numFmtId="173" formatCode="0.0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vertAlign val="superscript"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26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4" fillId="3" borderId="0" applyNumberFormat="0" applyBorder="0" applyAlignment="0" applyProtection="0"/>
    <xf numFmtId="165" fontId="7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23" borderId="4" applyNumberFormat="0" applyFont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32" fillId="0" borderId="9" applyNumberFormat="0" applyFill="0" applyAlignment="0" applyProtection="0"/>
    <xf numFmtId="0" fontId="12" fillId="0" borderId="0"/>
    <xf numFmtId="165" fontId="12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6" fillId="0" borderId="0"/>
    <xf numFmtId="9" fontId="16" fillId="0" borderId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3" fillId="0" borderId="0"/>
    <xf numFmtId="9" fontId="7" fillId="0" borderId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445">
    <xf numFmtId="0" fontId="0" fillId="0" borderId="0" xfId="0"/>
    <xf numFmtId="0" fontId="11" fillId="0" borderId="0" xfId="0" applyFont="1"/>
    <xf numFmtId="0" fontId="12" fillId="0" borderId="0" xfId="0" applyFont="1"/>
    <xf numFmtId="1" fontId="14" fillId="24" borderId="11" xfId="32" applyNumberFormat="1" applyFont="1" applyFill="1" applyBorder="1" applyAlignment="1">
      <alignment horizontal="center" vertical="center"/>
    </xf>
    <xf numFmtId="0" fontId="8" fillId="24" borderId="14" xfId="0" applyFont="1" applyFill="1" applyBorder="1"/>
    <xf numFmtId="1" fontId="14" fillId="24" borderId="15" xfId="32" applyNumberFormat="1" applyFont="1" applyFill="1" applyBorder="1" applyAlignment="1">
      <alignment horizontal="center" vertical="center"/>
    </xf>
    <xf numFmtId="0" fontId="14" fillId="24" borderId="16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5" fillId="0" borderId="17" xfId="0" applyFont="1" applyBorder="1" applyAlignment="1"/>
    <xf numFmtId="0" fontId="15" fillId="0" borderId="11" xfId="0" applyFont="1" applyBorder="1"/>
    <xf numFmtId="0" fontId="15" fillId="0" borderId="0" xfId="0" applyFont="1"/>
    <xf numFmtId="0" fontId="15" fillId="0" borderId="17" xfId="0" applyFont="1" applyFill="1" applyBorder="1" applyAlignment="1"/>
    <xf numFmtId="0" fontId="15" fillId="0" borderId="0" xfId="0" applyFont="1" applyFill="1"/>
    <xf numFmtId="0" fontId="15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5" fillId="26" borderId="15" xfId="0" applyFont="1" applyFill="1" applyBorder="1"/>
    <xf numFmtId="1" fontId="15" fillId="26" borderId="15" xfId="0" applyNumberFormat="1" applyFont="1" applyFill="1" applyBorder="1"/>
    <xf numFmtId="0" fontId="12" fillId="26" borderId="15" xfId="0" applyFont="1" applyFill="1" applyBorder="1"/>
    <xf numFmtId="0" fontId="12" fillId="26" borderId="16" xfId="0" applyFont="1" applyFill="1" applyBorder="1"/>
    <xf numFmtId="0" fontId="15" fillId="0" borderId="24" xfId="0" applyFont="1" applyBorder="1"/>
    <xf numFmtId="0" fontId="15" fillId="0" borderId="25" xfId="0" applyFont="1" applyBorder="1"/>
    <xf numFmtId="0" fontId="15" fillId="26" borderId="26" xfId="0" applyFont="1" applyFill="1" applyBorder="1"/>
    <xf numFmtId="0" fontId="15" fillId="0" borderId="11" xfId="0" applyFont="1" applyFill="1" applyBorder="1"/>
    <xf numFmtId="0" fontId="15" fillId="0" borderId="20" xfId="0" applyFont="1" applyBorder="1"/>
    <xf numFmtId="0" fontId="15" fillId="0" borderId="27" xfId="0" applyFont="1" applyBorder="1"/>
    <xf numFmtId="0" fontId="12" fillId="26" borderId="30" xfId="0" applyFont="1" applyFill="1" applyBorder="1"/>
    <xf numFmtId="0" fontId="11" fillId="0" borderId="0" xfId="0" applyFont="1" applyBorder="1" applyAlignment="1"/>
    <xf numFmtId="0" fontId="11" fillId="0" borderId="32" xfId="0" applyFont="1" applyBorder="1"/>
    <xf numFmtId="0" fontId="9" fillId="0" borderId="0" xfId="0" applyFont="1" applyBorder="1" applyAlignment="1">
      <alignment horizontal="center"/>
    </xf>
    <xf numFmtId="0" fontId="9" fillId="0" borderId="31" xfId="0" applyFont="1" applyBorder="1" applyAlignment="1">
      <alignment vertical="center"/>
    </xf>
    <xf numFmtId="0" fontId="15" fillId="0" borderId="17" xfId="0" applyFont="1" applyBorder="1"/>
    <xf numFmtId="0" fontId="15" fillId="0" borderId="34" xfId="0" applyFont="1" applyBorder="1" applyAlignment="1"/>
    <xf numFmtId="0" fontId="15" fillId="0" borderId="29" xfId="0" applyFont="1" applyBorder="1"/>
    <xf numFmtId="0" fontId="15" fillId="0" borderId="35" xfId="0" applyFont="1" applyBorder="1"/>
    <xf numFmtId="0" fontId="15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2" fillId="26" borderId="23" xfId="0" applyFont="1" applyFill="1" applyBorder="1"/>
    <xf numFmtId="0" fontId="8" fillId="25" borderId="37" xfId="0" applyFont="1" applyFill="1" applyBorder="1"/>
    <xf numFmtId="0" fontId="8" fillId="25" borderId="38" xfId="0" applyFont="1" applyFill="1" applyBorder="1"/>
    <xf numFmtId="0" fontId="12" fillId="26" borderId="26" xfId="0" applyFont="1" applyFill="1" applyBorder="1"/>
    <xf numFmtId="0" fontId="14" fillId="25" borderId="43" xfId="0" applyFont="1" applyFill="1" applyBorder="1" applyAlignment="1"/>
    <xf numFmtId="0" fontId="15" fillId="25" borderId="37" xfId="0" applyFont="1" applyFill="1" applyBorder="1"/>
    <xf numFmtId="0" fontId="14" fillId="25" borderId="44" xfId="0" applyFont="1" applyFill="1" applyBorder="1"/>
    <xf numFmtId="0" fontId="15" fillId="25" borderId="45" xfId="0" applyFont="1" applyFill="1" applyBorder="1"/>
    <xf numFmtId="0" fontId="15" fillId="25" borderId="39" xfId="0" applyFont="1" applyFill="1" applyBorder="1"/>
    <xf numFmtId="0" fontId="15" fillId="0" borderId="34" xfId="0" applyFont="1" applyBorder="1"/>
    <xf numFmtId="0" fontId="15" fillId="0" borderId="19" xfId="0" applyFont="1" applyBorder="1"/>
    <xf numFmtId="0" fontId="15" fillId="0" borderId="12" xfId="0" applyFont="1" applyFill="1" applyBorder="1"/>
    <xf numFmtId="0" fontId="15" fillId="0" borderId="12" xfId="0" applyFont="1" applyBorder="1"/>
    <xf numFmtId="0" fontId="15" fillId="0" borderId="21" xfId="0" applyFont="1" applyBorder="1"/>
    <xf numFmtId="0" fontId="14" fillId="25" borderId="43" xfId="0" applyFont="1" applyFill="1" applyBorder="1"/>
    <xf numFmtId="0" fontId="15" fillId="0" borderId="34" xfId="0" applyFont="1" applyFill="1" applyBorder="1"/>
    <xf numFmtId="3" fontId="15" fillId="26" borderId="10" xfId="0" applyNumberFormat="1" applyFont="1" applyFill="1" applyBorder="1"/>
    <xf numFmtId="3" fontId="15" fillId="26" borderId="29" xfId="0" applyNumberFormat="1" applyFont="1" applyFill="1" applyBorder="1"/>
    <xf numFmtId="3" fontId="15" fillId="0" borderId="29" xfId="0" applyNumberFormat="1" applyFont="1" applyFill="1" applyBorder="1"/>
    <xf numFmtId="0" fontId="15" fillId="0" borderId="24" xfId="0" applyFont="1" applyFill="1" applyBorder="1"/>
    <xf numFmtId="3" fontId="15" fillId="26" borderId="48" xfId="0" applyNumberFormat="1" applyFont="1" applyFill="1" applyBorder="1"/>
    <xf numFmtId="3" fontId="15" fillId="26" borderId="25" xfId="0" applyNumberFormat="1" applyFont="1" applyFill="1" applyBorder="1"/>
    <xf numFmtId="3" fontId="15" fillId="0" borderId="25" xfId="0" applyNumberFormat="1" applyFont="1" applyFill="1" applyBorder="1"/>
    <xf numFmtId="0" fontId="15" fillId="0" borderId="49" xfId="0" applyFont="1" applyFill="1" applyBorder="1"/>
    <xf numFmtId="0" fontId="15" fillId="0" borderId="50" xfId="0" applyFont="1" applyBorder="1"/>
    <xf numFmtId="0" fontId="15" fillId="0" borderId="42" xfId="0" applyFont="1" applyBorder="1"/>
    <xf numFmtId="4" fontId="12" fillId="0" borderId="0" xfId="0" applyNumberFormat="1" applyFont="1"/>
    <xf numFmtId="0" fontId="14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11" fillId="0" borderId="31" xfId="0" applyFont="1" applyBorder="1"/>
    <xf numFmtId="0" fontId="0" fillId="0" borderId="55" xfId="0" applyBorder="1"/>
    <xf numFmtId="0" fontId="0" fillId="0" borderId="31" xfId="0" applyBorder="1"/>
    <xf numFmtId="0" fontId="9" fillId="0" borderId="0" xfId="0" applyFont="1" applyBorder="1" applyAlignment="1"/>
    <xf numFmtId="0" fontId="14" fillId="24" borderId="10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 vertical="center" wrapText="1"/>
    </xf>
    <xf numFmtId="0" fontId="14" fillId="24" borderId="12" xfId="0" applyFont="1" applyFill="1" applyBorder="1" applyAlignment="1">
      <alignment horizontal="center" vertical="center" wrapText="1"/>
    </xf>
    <xf numFmtId="1" fontId="14" fillId="24" borderId="56" xfId="32" applyNumberFormat="1" applyFont="1" applyFill="1" applyBorder="1" applyAlignment="1">
      <alignment horizontal="center" vertical="center"/>
    </xf>
    <xf numFmtId="0" fontId="14" fillId="24" borderId="60" xfId="0" applyFont="1" applyFill="1" applyBorder="1" applyAlignment="1">
      <alignment horizontal="center"/>
    </xf>
    <xf numFmtId="0" fontId="15" fillId="0" borderId="61" xfId="0" applyFont="1" applyFill="1" applyBorder="1"/>
    <xf numFmtId="1" fontId="15" fillId="0" borderId="56" xfId="0" applyNumberFormat="1" applyFont="1" applyFill="1" applyBorder="1"/>
    <xf numFmtId="0" fontId="15" fillId="0" borderId="56" xfId="0" applyFont="1" applyFill="1" applyBorder="1"/>
    <xf numFmtId="0" fontId="15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12" fillId="0" borderId="56" xfId="0" applyFont="1" applyFill="1" applyBorder="1"/>
    <xf numFmtId="3" fontId="12" fillId="0" borderId="56" xfId="0" applyNumberFormat="1" applyFont="1" applyFill="1" applyBorder="1"/>
    <xf numFmtId="0" fontId="12" fillId="0" borderId="66" xfId="0" applyFont="1" applyFill="1" applyBorder="1"/>
    <xf numFmtId="3" fontId="12" fillId="0" borderId="61" xfId="0" applyNumberFormat="1" applyFont="1" applyFill="1" applyBorder="1"/>
    <xf numFmtId="3" fontId="12" fillId="0" borderId="63" xfId="0" applyNumberFormat="1" applyFont="1" applyFill="1" applyBorder="1"/>
    <xf numFmtId="0" fontId="12" fillId="0" borderId="61" xfId="0" applyFont="1" applyFill="1" applyBorder="1"/>
    <xf numFmtId="0" fontId="12" fillId="0" borderId="54" xfId="0" applyFont="1" applyFill="1" applyBorder="1"/>
    <xf numFmtId="0" fontId="9" fillId="0" borderId="67" xfId="0" applyFont="1" applyBorder="1" applyAlignment="1"/>
    <xf numFmtId="0" fontId="9" fillId="0" borderId="13" xfId="0" applyFont="1" applyBorder="1" applyAlignment="1"/>
    <xf numFmtId="0" fontId="11" fillId="0" borderId="13" xfId="0" applyFont="1" applyBorder="1" applyAlignment="1"/>
    <xf numFmtId="0" fontId="11" fillId="0" borderId="13" xfId="0" applyFont="1" applyBorder="1"/>
    <xf numFmtId="0" fontId="11" fillId="0" borderId="59" xfId="0" applyFont="1" applyBorder="1"/>
    <xf numFmtId="0" fontId="15" fillId="25" borderId="38" xfId="0" applyFont="1" applyFill="1" applyBorder="1"/>
    <xf numFmtId="3" fontId="15" fillId="0" borderId="15" xfId="0" applyNumberFormat="1" applyFont="1" applyFill="1" applyBorder="1"/>
    <xf numFmtId="3" fontId="15" fillId="0" borderId="23" xfId="0" applyNumberFormat="1" applyFont="1" applyFill="1" applyBorder="1"/>
    <xf numFmtId="3" fontId="15" fillId="0" borderId="26" xfId="0" applyNumberFormat="1" applyFont="1" applyFill="1" applyBorder="1"/>
    <xf numFmtId="3" fontId="15" fillId="26" borderId="36" xfId="0" applyNumberFormat="1" applyFont="1" applyFill="1" applyBorder="1"/>
    <xf numFmtId="3" fontId="15" fillId="26" borderId="11" xfId="0" applyNumberFormat="1" applyFont="1" applyFill="1" applyBorder="1"/>
    <xf numFmtId="3" fontId="15" fillId="26" borderId="28" xfId="0" applyNumberFormat="1" applyFont="1" applyFill="1" applyBorder="1"/>
    <xf numFmtId="3" fontId="15" fillId="0" borderId="11" xfId="0" applyNumberFormat="1" applyFont="1" applyFill="1" applyBorder="1"/>
    <xf numFmtId="3" fontId="15" fillId="26" borderId="33" xfId="0" applyNumberFormat="1" applyFont="1" applyFill="1" applyBorder="1"/>
    <xf numFmtId="3" fontId="15" fillId="25" borderId="45" xfId="0" applyNumberFormat="1" applyFont="1" applyFill="1" applyBorder="1"/>
    <xf numFmtId="3" fontId="15" fillId="25" borderId="46" xfId="0" applyNumberFormat="1" applyFont="1" applyFill="1" applyBorder="1"/>
    <xf numFmtId="3" fontId="14" fillId="25" borderId="46" xfId="0" applyNumberFormat="1" applyFont="1" applyFill="1" applyBorder="1"/>
    <xf numFmtId="3" fontId="14" fillId="25" borderId="45" xfId="0" applyNumberFormat="1" applyFont="1" applyFill="1" applyBorder="1"/>
    <xf numFmtId="3" fontId="15" fillId="25" borderId="40" xfId="0" applyNumberFormat="1" applyFont="1" applyFill="1" applyBorder="1"/>
    <xf numFmtId="3" fontId="15" fillId="0" borderId="36" xfId="0" applyNumberFormat="1" applyFont="1" applyBorder="1"/>
    <xf numFmtId="3" fontId="14" fillId="25" borderId="36" xfId="0" applyNumberFormat="1" applyFont="1" applyFill="1" applyBorder="1"/>
    <xf numFmtId="3" fontId="14" fillId="25" borderId="29" xfId="0" applyNumberFormat="1" applyFont="1" applyFill="1" applyBorder="1"/>
    <xf numFmtId="3" fontId="15" fillId="25" borderId="23" xfId="0" applyNumberFormat="1" applyFont="1" applyFill="1" applyBorder="1"/>
    <xf numFmtId="3" fontId="15" fillId="0" borderId="28" xfId="0" applyNumberFormat="1" applyFont="1" applyBorder="1"/>
    <xf numFmtId="3" fontId="14" fillId="25" borderId="28" xfId="0" applyNumberFormat="1" applyFont="1" applyFill="1" applyBorder="1"/>
    <xf numFmtId="3" fontId="14" fillId="25" borderId="11" xfId="0" applyNumberFormat="1" applyFont="1" applyFill="1" applyBorder="1"/>
    <xf numFmtId="3" fontId="15" fillId="25" borderId="15" xfId="0" applyNumberFormat="1" applyFont="1" applyFill="1" applyBorder="1"/>
    <xf numFmtId="3" fontId="15" fillId="26" borderId="12" xfId="0" applyNumberFormat="1" applyFont="1" applyFill="1" applyBorder="1"/>
    <xf numFmtId="3" fontId="15" fillId="0" borderId="12" xfId="0" applyNumberFormat="1" applyFont="1" applyFill="1" applyBorder="1"/>
    <xf numFmtId="3" fontId="15" fillId="0" borderId="16" xfId="0" applyNumberFormat="1" applyFont="1" applyFill="1" applyBorder="1"/>
    <xf numFmtId="3" fontId="15" fillId="25" borderId="37" xfId="0" applyNumberFormat="1" applyFont="1" applyFill="1" applyBorder="1"/>
    <xf numFmtId="3" fontId="14" fillId="25" borderId="37" xfId="0" applyNumberFormat="1" applyFont="1" applyFill="1" applyBorder="1"/>
    <xf numFmtId="3" fontId="14" fillId="25" borderId="38" xfId="0" applyNumberFormat="1" applyFont="1" applyFill="1" applyBorder="1"/>
    <xf numFmtId="3" fontId="15" fillId="26" borderId="50" xfId="0" applyNumberFormat="1" applyFont="1" applyFill="1" applyBorder="1"/>
    <xf numFmtId="3" fontId="15" fillId="26" borderId="51" xfId="0" applyNumberFormat="1" applyFont="1" applyFill="1" applyBorder="1"/>
    <xf numFmtId="3" fontId="15" fillId="0" borderId="50" xfId="0" applyNumberFormat="1" applyFont="1" applyFill="1" applyBorder="1"/>
    <xf numFmtId="3" fontId="15" fillId="0" borderId="30" xfId="0" applyNumberFormat="1" applyFont="1" applyFill="1" applyBorder="1"/>
    <xf numFmtId="0" fontId="13" fillId="0" borderId="0" xfId="53" applyFont="1" applyAlignment="1">
      <alignment horizontal="left" vertical="center"/>
    </xf>
    <xf numFmtId="0" fontId="7" fillId="0" borderId="0" xfId="53" applyAlignment="1">
      <alignment horizontal="center" vertical="center"/>
    </xf>
    <xf numFmtId="0" fontId="8" fillId="0" borderId="0" xfId="53" applyFont="1" applyAlignment="1">
      <alignment horizontal="center" vertical="center"/>
    </xf>
    <xf numFmtId="0" fontId="9" fillId="0" borderId="0" xfId="53" applyFont="1" applyAlignment="1">
      <alignment horizontal="left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Border="1" applyAlignment="1">
      <alignment horizontal="left" vertical="center"/>
    </xf>
    <xf numFmtId="0" fontId="7" fillId="0" borderId="13" xfId="53" applyBorder="1"/>
    <xf numFmtId="0" fontId="14" fillId="24" borderId="11" xfId="53" applyFont="1" applyFill="1" applyBorder="1" applyAlignment="1">
      <alignment horizontal="center" vertical="center"/>
    </xf>
    <xf numFmtId="0" fontId="14" fillId="24" borderId="20" xfId="53" applyFont="1" applyFill="1" applyBorder="1" applyAlignment="1">
      <alignment horizontal="center" vertical="center" wrapText="1"/>
    </xf>
    <xf numFmtId="0" fontId="14" fillId="24" borderId="21" xfId="53" applyFont="1" applyFill="1" applyBorder="1" applyAlignment="1">
      <alignment horizontal="center" vertical="center" wrapText="1"/>
    </xf>
    <xf numFmtId="0" fontId="14" fillId="24" borderId="16" xfId="53" applyFont="1" applyFill="1" applyBorder="1" applyAlignment="1">
      <alignment horizontal="center" vertical="center" wrapText="1"/>
    </xf>
    <xf numFmtId="0" fontId="14" fillId="24" borderId="52" xfId="53" applyFont="1" applyFill="1" applyBorder="1" applyAlignment="1">
      <alignment horizontal="center" vertical="center" wrapText="1"/>
    </xf>
    <xf numFmtId="0" fontId="15" fillId="0" borderId="17" xfId="53" applyFont="1" applyBorder="1" applyAlignment="1">
      <alignment horizontal="left" vertical="center"/>
    </xf>
    <xf numFmtId="0" fontId="15" fillId="0" borderId="11" xfId="53" applyFont="1" applyBorder="1" applyAlignment="1">
      <alignment horizontal="center" vertical="center"/>
    </xf>
    <xf numFmtId="0" fontId="15" fillId="0" borderId="11" xfId="53" quotePrefix="1" applyFont="1" applyBorder="1" applyAlignment="1">
      <alignment horizontal="center" vertical="center" wrapText="1"/>
    </xf>
    <xf numFmtId="0" fontId="14" fillId="0" borderId="18" xfId="53" applyFont="1" applyBorder="1" applyAlignment="1">
      <alignment horizontal="center" vertical="center"/>
    </xf>
    <xf numFmtId="0" fontId="15" fillId="26" borderId="11" xfId="53" applyFont="1" applyFill="1" applyBorder="1" applyAlignment="1">
      <alignment horizontal="right" vertical="center"/>
    </xf>
    <xf numFmtId="0" fontId="15" fillId="28" borderId="15" xfId="53" applyFont="1" applyFill="1" applyBorder="1" applyAlignment="1">
      <alignment horizontal="center" vertical="center"/>
    </xf>
    <xf numFmtId="0" fontId="15" fillId="26" borderId="11" xfId="53" quotePrefix="1" applyFont="1" applyFill="1" applyBorder="1" applyAlignment="1">
      <alignment horizontal="right" vertical="center" wrapText="1"/>
    </xf>
    <xf numFmtId="0" fontId="15" fillId="28" borderId="15" xfId="53" quotePrefix="1" applyFont="1" applyFill="1" applyBorder="1" applyAlignment="1">
      <alignment horizontal="center" vertical="center" wrapText="1"/>
    </xf>
    <xf numFmtId="0" fontId="14" fillId="0" borderId="18" xfId="53" quotePrefix="1" applyFont="1" applyBorder="1" applyAlignment="1">
      <alignment horizontal="center" vertical="center" wrapText="1"/>
    </xf>
    <xf numFmtId="0" fontId="15" fillId="26" borderId="11" xfId="53" applyFont="1" applyFill="1" applyBorder="1" applyAlignment="1">
      <alignment horizontal="right" vertical="center" wrapText="1"/>
    </xf>
    <xf numFmtId="0" fontId="15" fillId="28" borderId="15" xfId="53" applyFont="1" applyFill="1" applyBorder="1" applyAlignment="1">
      <alignment horizontal="center" vertical="center" wrapText="1"/>
    </xf>
    <xf numFmtId="3" fontId="15" fillId="0" borderId="11" xfId="55" quotePrefix="1" applyNumberFormat="1" applyFont="1" applyBorder="1" applyAlignment="1">
      <alignment horizontal="right" vertical="center" wrapText="1"/>
    </xf>
    <xf numFmtId="3" fontId="15" fillId="0" borderId="11" xfId="55" applyNumberFormat="1" applyFont="1" applyBorder="1" applyAlignment="1">
      <alignment horizontal="right" vertical="center"/>
    </xf>
    <xf numFmtId="3" fontId="15" fillId="26" borderId="11" xfId="55" applyNumberFormat="1" applyFont="1" applyFill="1" applyBorder="1" applyAlignment="1">
      <alignment horizontal="right" vertical="center"/>
    </xf>
    <xf numFmtId="4" fontId="15" fillId="26" borderId="11" xfId="55" applyNumberFormat="1" applyFont="1" applyFill="1" applyBorder="1" applyAlignment="1">
      <alignment horizontal="right" vertical="center"/>
    </xf>
    <xf numFmtId="4" fontId="15" fillId="28" borderId="15" xfId="55" applyNumberFormat="1" applyFont="1" applyFill="1" applyBorder="1" applyAlignment="1">
      <alignment horizontal="right" vertical="center"/>
    </xf>
    <xf numFmtId="3" fontId="14" fillId="0" borderId="18" xfId="53" applyNumberFormat="1" applyFont="1" applyBorder="1" applyAlignment="1">
      <alignment horizontal="center" vertical="center"/>
    </xf>
    <xf numFmtId="3" fontId="15" fillId="0" borderId="11" xfId="53" quotePrefix="1" applyNumberFormat="1" applyFont="1" applyBorder="1" applyAlignment="1">
      <alignment horizontal="right" vertical="center" wrapText="1"/>
    </xf>
    <xf numFmtId="3" fontId="15" fillId="0" borderId="11" xfId="53" applyNumberFormat="1" applyFont="1" applyBorder="1" applyAlignment="1">
      <alignment horizontal="right" vertical="center"/>
    </xf>
    <xf numFmtId="3" fontId="15" fillId="26" borderId="11" xfId="53" applyNumberFormat="1" applyFont="1" applyFill="1" applyBorder="1" applyAlignment="1">
      <alignment horizontal="right" vertical="center"/>
    </xf>
    <xf numFmtId="3" fontId="15" fillId="28" borderId="15" xfId="53" applyNumberFormat="1" applyFont="1" applyFill="1" applyBorder="1" applyAlignment="1">
      <alignment horizontal="right" vertical="center"/>
    </xf>
    <xf numFmtId="167" fontId="15" fillId="26" borderId="11" xfId="53" applyNumberFormat="1" applyFont="1" applyFill="1" applyBorder="1" applyAlignment="1">
      <alignment horizontal="right" vertical="center" wrapText="1"/>
    </xf>
    <xf numFmtId="166" fontId="15" fillId="26" borderId="11" xfId="53" quotePrefix="1" applyNumberFormat="1" applyFont="1" applyFill="1" applyBorder="1" applyAlignment="1">
      <alignment horizontal="right" vertical="center" wrapText="1"/>
    </xf>
    <xf numFmtId="167" fontId="15" fillId="28" borderId="15" xfId="53" quotePrefix="1" applyNumberFormat="1" applyFont="1" applyFill="1" applyBorder="1" applyAlignment="1">
      <alignment horizontal="right" vertical="center" wrapText="1"/>
    </xf>
    <xf numFmtId="166" fontId="14" fillId="0" borderId="18" xfId="53" applyNumberFormat="1" applyFont="1" applyBorder="1" applyAlignment="1">
      <alignment horizontal="right" vertical="center"/>
    </xf>
    <xf numFmtId="0" fontId="15" fillId="26" borderId="12" xfId="53" applyFont="1" applyFill="1" applyBorder="1" applyAlignment="1">
      <alignment horizontal="right" vertical="center"/>
    </xf>
    <xf numFmtId="0" fontId="15" fillId="26" borderId="12" xfId="53" applyFont="1" applyFill="1" applyBorder="1" applyAlignment="1">
      <alignment horizontal="center" vertical="center"/>
    </xf>
    <xf numFmtId="0" fontId="15" fillId="28" borderId="16" xfId="53" applyFont="1" applyFill="1" applyBorder="1" applyAlignment="1">
      <alignment horizontal="center" vertical="center"/>
    </xf>
    <xf numFmtId="0" fontId="14" fillId="25" borderId="17" xfId="53" applyFont="1" applyFill="1" applyBorder="1" applyAlignment="1">
      <alignment horizontal="left" vertical="center"/>
    </xf>
    <xf numFmtId="0" fontId="15" fillId="25" borderId="11" xfId="53" applyFont="1" applyFill="1" applyBorder="1" applyAlignment="1">
      <alignment horizontal="center" vertical="center"/>
    </xf>
    <xf numFmtId="0" fontId="15" fillId="25" borderId="22" xfId="53" applyFont="1" applyFill="1" applyBorder="1" applyAlignment="1">
      <alignment horizontal="center" vertical="center"/>
    </xf>
    <xf numFmtId="0" fontId="15" fillId="25" borderId="10" xfId="53" applyFont="1" applyFill="1" applyBorder="1" applyAlignment="1">
      <alignment horizontal="center" vertical="center"/>
    </xf>
    <xf numFmtId="0" fontId="15" fillId="25" borderId="14" xfId="53" applyFont="1" applyFill="1" applyBorder="1" applyAlignment="1">
      <alignment horizontal="center" vertical="center"/>
    </xf>
    <xf numFmtId="0" fontId="14" fillId="25" borderId="18" xfId="53" applyFont="1" applyFill="1" applyBorder="1" applyAlignment="1">
      <alignment horizontal="center" vertical="center"/>
    </xf>
    <xf numFmtId="0" fontId="14" fillId="0" borderId="17" xfId="53" applyFont="1" applyBorder="1" applyAlignment="1">
      <alignment horizontal="left" vertical="center"/>
    </xf>
    <xf numFmtId="0" fontId="15" fillId="28" borderId="17" xfId="53" applyFont="1" applyFill="1" applyBorder="1" applyAlignment="1">
      <alignment horizontal="center" vertical="center"/>
    </xf>
    <xf numFmtId="0" fontId="15" fillId="26" borderId="28" xfId="53" applyFont="1" applyFill="1" applyBorder="1" applyAlignment="1">
      <alignment horizontal="center" vertical="center"/>
    </xf>
    <xf numFmtId="0" fontId="15" fillId="26" borderId="11" xfId="53" applyFont="1" applyFill="1" applyBorder="1" applyAlignment="1">
      <alignment horizontal="center" vertical="center"/>
    </xf>
    <xf numFmtId="0" fontId="15" fillId="25" borderId="17" xfId="53" applyFont="1" applyFill="1" applyBorder="1" applyAlignment="1">
      <alignment horizontal="center" vertical="center"/>
    </xf>
    <xf numFmtId="0" fontId="15" fillId="25" borderId="28" xfId="53" applyFont="1" applyFill="1" applyBorder="1" applyAlignment="1">
      <alignment horizontal="center" vertical="center"/>
    </xf>
    <xf numFmtId="0" fontId="15" fillId="25" borderId="18" xfId="53" applyFont="1" applyFill="1" applyBorder="1" applyAlignment="1">
      <alignment horizontal="center" vertical="center"/>
    </xf>
    <xf numFmtId="0" fontId="15" fillId="0" borderId="20" xfId="53" applyFont="1" applyBorder="1" applyAlignment="1">
      <alignment horizontal="center" vertical="center"/>
    </xf>
    <xf numFmtId="0" fontId="15" fillId="26" borderId="0" xfId="53" applyFont="1" applyFill="1" applyBorder="1" applyAlignment="1">
      <alignment horizontal="center" vertical="center"/>
    </xf>
    <xf numFmtId="0" fontId="15" fillId="0" borderId="19" xfId="53" applyFont="1" applyBorder="1" applyAlignment="1">
      <alignment horizontal="left" vertical="center"/>
    </xf>
    <xf numFmtId="0" fontId="15" fillId="0" borderId="12" xfId="53" applyFont="1" applyBorder="1" applyAlignment="1">
      <alignment horizontal="center" vertical="center"/>
    </xf>
    <xf numFmtId="0" fontId="15" fillId="0" borderId="21" xfId="53" applyFont="1" applyBorder="1" applyAlignment="1">
      <alignment horizontal="center" vertical="center"/>
    </xf>
    <xf numFmtId="0" fontId="15" fillId="28" borderId="19" xfId="53" applyFont="1" applyFill="1" applyBorder="1" applyAlignment="1">
      <alignment horizontal="center" vertical="center"/>
    </xf>
    <xf numFmtId="0" fontId="15" fillId="26" borderId="47" xfId="53" applyFont="1" applyFill="1" applyBorder="1" applyAlignment="1">
      <alignment horizontal="center" vertical="center"/>
    </xf>
    <xf numFmtId="0" fontId="14" fillId="0" borderId="52" xfId="53" applyFont="1" applyBorder="1" applyAlignment="1">
      <alignment horizontal="center" vertical="center"/>
    </xf>
    <xf numFmtId="0" fontId="35" fillId="0" borderId="0" xfId="0" applyFont="1"/>
    <xf numFmtId="0" fontId="35" fillId="0" borderId="0" xfId="0" applyFont="1" applyAlignment="1"/>
    <xf numFmtId="0" fontId="34" fillId="0" borderId="0" xfId="0" applyFont="1" applyAlignment="1">
      <alignment vertical="center"/>
    </xf>
    <xf numFmtId="0" fontId="36" fillId="0" borderId="0" xfId="0" applyFont="1" applyAlignment="1"/>
    <xf numFmtId="0" fontId="37" fillId="0" borderId="0" xfId="0" applyFont="1" applyAlignment="1"/>
    <xf numFmtId="0" fontId="37" fillId="0" borderId="0" xfId="0" applyFont="1"/>
    <xf numFmtId="0" fontId="36" fillId="24" borderId="50" xfId="0" applyFont="1" applyFill="1" applyBorder="1" applyAlignment="1">
      <alignment horizontal="center" vertical="center" wrapText="1"/>
    </xf>
    <xf numFmtId="0" fontId="36" fillId="24" borderId="40" xfId="0" applyFont="1" applyFill="1" applyBorder="1" applyAlignment="1">
      <alignment horizontal="center" vertical="center" wrapText="1"/>
    </xf>
    <xf numFmtId="0" fontId="33" fillId="0" borderId="34" xfId="0" applyFont="1" applyBorder="1" applyAlignment="1"/>
    <xf numFmtId="0" fontId="33" fillId="0" borderId="29" xfId="0" applyFont="1" applyBorder="1" applyAlignment="1">
      <alignment horizontal="center"/>
    </xf>
    <xf numFmtId="1" fontId="33" fillId="0" borderId="29" xfId="0" applyNumberFormat="1" applyFont="1" applyBorder="1"/>
    <xf numFmtId="1" fontId="33" fillId="26" borderId="29" xfId="0" applyNumberFormat="1" applyFont="1" applyFill="1" applyBorder="1"/>
    <xf numFmtId="1" fontId="33" fillId="0" borderId="29" xfId="0" applyNumberFormat="1" applyFont="1" applyFill="1" applyBorder="1"/>
    <xf numFmtId="0" fontId="38" fillId="0" borderId="0" xfId="0" applyFont="1"/>
    <xf numFmtId="0" fontId="33" fillId="0" borderId="17" xfId="0" applyFont="1" applyBorder="1" applyAlignment="1"/>
    <xf numFmtId="0" fontId="33" fillId="0" borderId="11" xfId="0" applyFont="1" applyBorder="1" applyAlignment="1">
      <alignment horizontal="center"/>
    </xf>
    <xf numFmtId="1" fontId="33" fillId="0" borderId="11" xfId="0" applyNumberFormat="1" applyFont="1" applyBorder="1"/>
    <xf numFmtId="1" fontId="33" fillId="26" borderId="11" xfId="0" applyNumberFormat="1" applyFont="1" applyFill="1" applyBorder="1"/>
    <xf numFmtId="1" fontId="33" fillId="0" borderId="11" xfId="0" applyNumberFormat="1" applyFont="1" applyFill="1" applyBorder="1"/>
    <xf numFmtId="0" fontId="33" fillId="0" borderId="17" xfId="0" applyFont="1" applyFill="1" applyBorder="1" applyAlignment="1"/>
    <xf numFmtId="1" fontId="39" fillId="0" borderId="11" xfId="0" applyNumberFormat="1" applyFont="1" applyBorder="1"/>
    <xf numFmtId="0" fontId="37" fillId="0" borderId="0" xfId="0" applyFont="1" applyFill="1"/>
    <xf numFmtId="0" fontId="33" fillId="0" borderId="19" xfId="0" applyFont="1" applyFill="1" applyBorder="1"/>
    <xf numFmtId="0" fontId="33" fillId="0" borderId="12" xfId="0" applyFont="1" applyBorder="1"/>
    <xf numFmtId="0" fontId="33" fillId="26" borderId="12" xfId="0" applyFont="1" applyFill="1" applyBorder="1"/>
    <xf numFmtId="0" fontId="33" fillId="0" borderId="12" xfId="0" applyFont="1" applyFill="1" applyBorder="1"/>
    <xf numFmtId="0" fontId="15" fillId="28" borderId="26" xfId="53" applyFont="1" applyFill="1" applyBorder="1" applyAlignment="1">
      <alignment horizontal="center" vertical="center"/>
    </xf>
    <xf numFmtId="0" fontId="15" fillId="28" borderId="23" xfId="53" applyFont="1" applyFill="1" applyBorder="1" applyAlignment="1">
      <alignment horizontal="center" vertical="center"/>
    </xf>
    <xf numFmtId="0" fontId="34" fillId="0" borderId="0" xfId="0" applyFont="1" applyAlignment="1"/>
    <xf numFmtId="0" fontId="15" fillId="0" borderId="20" xfId="53" quotePrefix="1" applyFont="1" applyBorder="1" applyAlignment="1">
      <alignment horizontal="center" vertical="center" wrapText="1"/>
    </xf>
    <xf numFmtId="0" fontId="9" fillId="0" borderId="0" xfId="53" applyFont="1" applyAlignment="1">
      <alignment horizontal="center" vertical="center"/>
    </xf>
    <xf numFmtId="0" fontId="14" fillId="24" borderId="19" xfId="53" applyFont="1" applyFill="1" applyBorder="1" applyAlignment="1">
      <alignment horizontal="center" vertical="center" wrapText="1"/>
    </xf>
    <xf numFmtId="0" fontId="14" fillId="24" borderId="12" xfId="53" applyFont="1" applyFill="1" applyBorder="1" applyAlignment="1">
      <alignment horizontal="center" vertical="center" wrapText="1"/>
    </xf>
    <xf numFmtId="1" fontId="14" fillId="24" borderId="65" xfId="54" applyNumberFormat="1" applyFont="1" applyFill="1" applyBorder="1" applyAlignment="1">
      <alignment horizontal="center" vertical="center"/>
    </xf>
    <xf numFmtId="1" fontId="38" fillId="0" borderId="0" xfId="0" applyNumberFormat="1" applyFont="1"/>
    <xf numFmtId="0" fontId="1" fillId="0" borderId="0" xfId="63"/>
    <xf numFmtId="1" fontId="14" fillId="24" borderId="43" xfId="54" applyNumberFormat="1" applyFont="1" applyFill="1" applyBorder="1" applyAlignment="1">
      <alignment horizontal="center" vertical="center"/>
    </xf>
    <xf numFmtId="1" fontId="14" fillId="24" borderId="38" xfId="54" applyNumberFormat="1" applyFont="1" applyFill="1" applyBorder="1" applyAlignment="1">
      <alignment horizontal="center" vertical="center"/>
    </xf>
    <xf numFmtId="0" fontId="14" fillId="24" borderId="49" xfId="53" applyFont="1" applyFill="1" applyBorder="1" applyAlignment="1">
      <alignment horizontal="center" vertical="center" wrapText="1"/>
    </xf>
    <xf numFmtId="0" fontId="15" fillId="0" borderId="34" xfId="53" applyFont="1" applyBorder="1" applyAlignment="1">
      <alignment horizontal="left" vertical="center"/>
    </xf>
    <xf numFmtId="0" fontId="15" fillId="0" borderId="29" xfId="53" applyFont="1" applyBorder="1" applyAlignment="1">
      <alignment horizontal="center" vertical="center"/>
    </xf>
    <xf numFmtId="0" fontId="15" fillId="0" borderId="29" xfId="53" quotePrefix="1" applyFont="1" applyBorder="1" applyAlignment="1">
      <alignment horizontal="center" vertical="center" wrapText="1"/>
    </xf>
    <xf numFmtId="0" fontId="15" fillId="0" borderId="29" xfId="53" applyFont="1" applyBorder="1" applyAlignment="1">
      <alignment horizontal="center" vertical="center" wrapText="1"/>
    </xf>
    <xf numFmtId="0" fontId="15" fillId="0" borderId="35" xfId="53" applyFont="1" applyBorder="1" applyAlignment="1">
      <alignment horizontal="center" vertical="center" wrapText="1"/>
    </xf>
    <xf numFmtId="0" fontId="15" fillId="0" borderId="68" xfId="53" applyFont="1" applyBorder="1" applyAlignment="1">
      <alignment horizontal="center" vertical="center"/>
    </xf>
    <xf numFmtId="0" fontId="15" fillId="0" borderId="34" xfId="53" quotePrefix="1" applyFont="1" applyBorder="1" applyAlignment="1">
      <alignment horizontal="right" vertical="center" wrapText="1"/>
    </xf>
    <xf numFmtId="0" fontId="15" fillId="26" borderId="29" xfId="53" quotePrefix="1" applyFont="1" applyFill="1" applyBorder="1" applyAlignment="1">
      <alignment horizontal="right" vertical="center" wrapText="1"/>
    </xf>
    <xf numFmtId="0" fontId="15" fillId="28" borderId="23" xfId="53" quotePrefix="1" applyFont="1" applyFill="1" applyBorder="1" applyAlignment="1">
      <alignment horizontal="center" vertical="center" wrapText="1"/>
    </xf>
    <xf numFmtId="0" fontId="14" fillId="0" borderId="62" xfId="53" applyFont="1" applyBorder="1" applyAlignment="1">
      <alignment horizontal="center" vertical="center"/>
    </xf>
    <xf numFmtId="0" fontId="15" fillId="0" borderId="69" xfId="53" applyFont="1" applyBorder="1" applyAlignment="1">
      <alignment horizontal="center" vertical="center"/>
    </xf>
    <xf numFmtId="0" fontId="15" fillId="0" borderId="17" xfId="53" applyFont="1" applyBorder="1" applyAlignment="1">
      <alignment horizontal="right" vertical="center"/>
    </xf>
    <xf numFmtId="0" fontId="15" fillId="0" borderId="69" xfId="53" quotePrefix="1" applyFont="1" applyBorder="1" applyAlignment="1">
      <alignment horizontal="center" vertical="center" wrapText="1"/>
    </xf>
    <xf numFmtId="0" fontId="15" fillId="0" borderId="17" xfId="53" quotePrefix="1" applyFont="1" applyBorder="1" applyAlignment="1">
      <alignment horizontal="right" vertical="center" wrapText="1"/>
    </xf>
    <xf numFmtId="3" fontId="15" fillId="0" borderId="20" xfId="55" applyNumberFormat="1" applyFont="1" applyBorder="1" applyAlignment="1">
      <alignment horizontal="right" vertical="center"/>
    </xf>
    <xf numFmtId="3" fontId="15" fillId="0" borderId="70" xfId="53" applyNumberFormat="1" applyFont="1" applyBorder="1" applyAlignment="1">
      <alignment horizontal="center" vertical="center"/>
    </xf>
    <xf numFmtId="4" fontId="15" fillId="0" borderId="70" xfId="53" applyNumberFormat="1" applyFont="1" applyBorder="1" applyAlignment="1">
      <alignment horizontal="center" vertical="center"/>
    </xf>
    <xf numFmtId="3" fontId="15" fillId="0" borderId="17" xfId="55" applyNumberFormat="1" applyFont="1" applyBorder="1" applyAlignment="1">
      <alignment horizontal="right" vertical="center"/>
    </xf>
    <xf numFmtId="3" fontId="15" fillId="0" borderId="20" xfId="53" applyNumberFormat="1" applyFont="1" applyBorder="1" applyAlignment="1">
      <alignment horizontal="right" vertical="center"/>
    </xf>
    <xf numFmtId="3" fontId="15" fillId="0" borderId="69" xfId="53" applyNumberFormat="1" applyFont="1" applyBorder="1" applyAlignment="1">
      <alignment horizontal="center" vertical="center"/>
    </xf>
    <xf numFmtId="3" fontId="15" fillId="0" borderId="17" xfId="53" applyNumberFormat="1" applyFont="1" applyBorder="1" applyAlignment="1">
      <alignment horizontal="right" vertical="center"/>
    </xf>
    <xf numFmtId="166" fontId="15" fillId="0" borderId="20" xfId="53" quotePrefix="1" applyNumberFormat="1" applyFont="1" applyBorder="1" applyAlignment="1">
      <alignment horizontal="right" vertical="center" wrapText="1"/>
    </xf>
    <xf numFmtId="166" fontId="15" fillId="0" borderId="69" xfId="53" applyNumberFormat="1" applyFont="1" applyBorder="1" applyAlignment="1">
      <alignment horizontal="right" vertical="center"/>
    </xf>
    <xf numFmtId="167" fontId="15" fillId="0" borderId="69" xfId="53" applyNumberFormat="1" applyFont="1" applyBorder="1" applyAlignment="1">
      <alignment horizontal="right" vertical="center"/>
    </xf>
    <xf numFmtId="166" fontId="15" fillId="0" borderId="17" xfId="53" applyNumberFormat="1" applyFont="1" applyBorder="1" applyAlignment="1">
      <alignment horizontal="right" vertical="center" wrapText="1"/>
    </xf>
    <xf numFmtId="0" fontId="15" fillId="0" borderId="71" xfId="53" applyFont="1" applyBorder="1" applyAlignment="1">
      <alignment horizontal="center" vertical="center"/>
    </xf>
    <xf numFmtId="0" fontId="15" fillId="0" borderId="19" xfId="53" applyFont="1" applyBorder="1" applyAlignment="1">
      <alignment horizontal="center" vertical="center"/>
    </xf>
    <xf numFmtId="0" fontId="15" fillId="25" borderId="0" xfId="53" applyFont="1" applyFill="1" applyBorder="1" applyAlignment="1">
      <alignment horizontal="center" vertical="center"/>
    </xf>
    <xf numFmtId="0" fontId="15" fillId="28" borderId="72" xfId="53" applyFont="1" applyFill="1" applyBorder="1" applyAlignment="1">
      <alignment horizontal="center" vertical="center"/>
    </xf>
    <xf numFmtId="0" fontId="15" fillId="26" borderId="25" xfId="53" applyFont="1" applyFill="1" applyBorder="1" applyAlignment="1">
      <alignment horizontal="center" vertical="center"/>
    </xf>
    <xf numFmtId="0" fontId="15" fillId="28" borderId="69" xfId="53" applyFont="1" applyFill="1" applyBorder="1" applyAlignment="1">
      <alignment horizontal="center" vertical="center"/>
    </xf>
    <xf numFmtId="0" fontId="15" fillId="28" borderId="18" xfId="53" applyFont="1" applyFill="1" applyBorder="1" applyAlignment="1">
      <alignment horizontal="center" vertical="center"/>
    </xf>
    <xf numFmtId="0" fontId="15" fillId="28" borderId="73" xfId="53" applyFont="1" applyFill="1" applyBorder="1" applyAlignment="1">
      <alignment horizontal="center" vertical="center"/>
    </xf>
    <xf numFmtId="0" fontId="15" fillId="26" borderId="29" xfId="53" applyFont="1" applyFill="1" applyBorder="1" applyAlignment="1">
      <alignment horizontal="center" vertical="center"/>
    </xf>
    <xf numFmtId="0" fontId="15" fillId="28" borderId="71" xfId="53" applyFont="1" applyFill="1" applyBorder="1" applyAlignment="1">
      <alignment horizontal="center" vertical="center"/>
    </xf>
    <xf numFmtId="0" fontId="15" fillId="25" borderId="32" xfId="53" applyFont="1" applyFill="1" applyBorder="1" applyAlignment="1">
      <alignment horizontal="center" vertical="center"/>
    </xf>
    <xf numFmtId="0" fontId="15" fillId="28" borderId="68" xfId="53" applyFont="1" applyFill="1" applyBorder="1" applyAlignment="1">
      <alignment horizontal="center" vertical="center"/>
    </xf>
    <xf numFmtId="0" fontId="41" fillId="25" borderId="11" xfId="63" applyFont="1" applyFill="1" applyBorder="1" applyAlignment="1">
      <alignment horizontal="center" vertical="center" wrapText="1"/>
    </xf>
    <xf numFmtId="0" fontId="41" fillId="25" borderId="15" xfId="63" applyFont="1" applyFill="1" applyBorder="1" applyAlignment="1">
      <alignment horizontal="center" vertical="center" wrapText="1"/>
    </xf>
    <xf numFmtId="0" fontId="40" fillId="0" borderId="11" xfId="63" applyFont="1" applyFill="1" applyBorder="1"/>
    <xf numFmtId="0" fontId="41" fillId="0" borderId="11" xfId="63" applyFont="1" applyFill="1" applyBorder="1" applyAlignment="1">
      <alignment horizontal="center"/>
    </xf>
    <xf numFmtId="3" fontId="41" fillId="0" borderId="11" xfId="63" applyNumberFormat="1" applyFont="1" applyFill="1" applyBorder="1" applyAlignment="1">
      <alignment horizontal="center"/>
    </xf>
    <xf numFmtId="170" fontId="41" fillId="0" borderId="11" xfId="63" applyNumberFormat="1" applyFont="1" applyFill="1" applyBorder="1" applyAlignment="1">
      <alignment horizontal="center"/>
    </xf>
    <xf numFmtId="168" fontId="41" fillId="0" borderId="0" xfId="63" applyNumberFormat="1" applyFont="1" applyAlignment="1">
      <alignment horizontal="center"/>
    </xf>
    <xf numFmtId="168" fontId="41" fillId="0" borderId="11" xfId="63" applyNumberFormat="1" applyFont="1" applyFill="1" applyBorder="1" applyAlignment="1">
      <alignment horizontal="center"/>
    </xf>
    <xf numFmtId="168" fontId="41" fillId="0" borderId="11" xfId="63" applyNumberFormat="1" applyFont="1" applyBorder="1" applyAlignment="1"/>
    <xf numFmtId="168" fontId="41" fillId="0" borderId="11" xfId="63" applyNumberFormat="1" applyFont="1" applyBorder="1" applyAlignment="1">
      <alignment horizontal="center"/>
    </xf>
    <xf numFmtId="0" fontId="42" fillId="27" borderId="11" xfId="63" applyFont="1" applyFill="1" applyBorder="1"/>
    <xf numFmtId="0" fontId="41" fillId="27" borderId="11" xfId="63" applyFont="1" applyFill="1" applyBorder="1" applyAlignment="1">
      <alignment horizontal="center"/>
    </xf>
    <xf numFmtId="3" fontId="41" fillId="27" borderId="11" xfId="63" applyNumberFormat="1" applyFont="1" applyFill="1" applyBorder="1" applyAlignment="1">
      <alignment horizontal="center"/>
    </xf>
    <xf numFmtId="0" fontId="40" fillId="27" borderId="11" xfId="63" applyFont="1" applyFill="1" applyBorder="1" applyAlignment="1">
      <alignment horizontal="center"/>
    </xf>
    <xf numFmtId="171" fontId="40" fillId="27" borderId="11" xfId="63" applyNumberFormat="1" applyFont="1" applyFill="1" applyBorder="1" applyAlignment="1">
      <alignment horizontal="center"/>
    </xf>
    <xf numFmtId="4" fontId="41" fillId="0" borderId="11" xfId="63" applyNumberFormat="1" applyFont="1" applyFill="1" applyBorder="1" applyAlignment="1">
      <alignment horizontal="center"/>
    </xf>
    <xf numFmtId="172" fontId="41" fillId="0" borderId="11" xfId="63" applyNumberFormat="1" applyFont="1" applyFill="1" applyBorder="1" applyAlignment="1">
      <alignment horizontal="center"/>
    </xf>
    <xf numFmtId="169" fontId="41" fillId="0" borderId="11" xfId="63" applyNumberFormat="1" applyFont="1" applyFill="1" applyBorder="1" applyAlignment="1">
      <alignment horizontal="center"/>
    </xf>
    <xf numFmtId="0" fontId="41" fillId="0" borderId="11" xfId="63" applyNumberFormat="1" applyFont="1" applyFill="1" applyBorder="1" applyAlignment="1">
      <alignment horizontal="center"/>
    </xf>
    <xf numFmtId="1" fontId="41" fillId="0" borderId="11" xfId="63" applyNumberFormat="1" applyFont="1" applyFill="1" applyBorder="1" applyAlignment="1">
      <alignment horizontal="center"/>
    </xf>
    <xf numFmtId="0" fontId="40" fillId="0" borderId="11" xfId="63" applyFont="1" applyFill="1" applyBorder="1" applyAlignment="1">
      <alignment horizontal="center"/>
    </xf>
    <xf numFmtId="3" fontId="40" fillId="0" borderId="11" xfId="63" applyNumberFormat="1" applyFont="1" applyFill="1" applyBorder="1" applyAlignment="1">
      <alignment horizontal="center"/>
    </xf>
    <xf numFmtId="168" fontId="40" fillId="0" borderId="11" xfId="63" applyNumberFormat="1" applyFont="1" applyFill="1" applyBorder="1" applyAlignment="1">
      <alignment horizontal="center"/>
    </xf>
    <xf numFmtId="0" fontId="41" fillId="27" borderId="11" xfId="63" applyFont="1" applyFill="1" applyBorder="1"/>
    <xf numFmtId="170" fontId="41" fillId="27" borderId="11" xfId="63" applyNumberFormat="1" applyFont="1" applyFill="1" applyBorder="1" applyAlignment="1">
      <alignment horizontal="center"/>
    </xf>
    <xf numFmtId="168" fontId="41" fillId="27" borderId="11" xfId="63" applyNumberFormat="1" applyFont="1" applyFill="1" applyBorder="1" applyAlignment="1">
      <alignment horizontal="center"/>
    </xf>
    <xf numFmtId="0" fontId="41" fillId="27" borderId="20" xfId="63" applyFont="1" applyFill="1" applyBorder="1" applyAlignment="1">
      <alignment horizontal="center"/>
    </xf>
    <xf numFmtId="0" fontId="40" fillId="0" borderId="11" xfId="63" applyNumberFormat="1" applyFont="1" applyFill="1" applyBorder="1" applyAlignment="1">
      <alignment horizontal="center"/>
    </xf>
    <xf numFmtId="3" fontId="40" fillId="0" borderId="20" xfId="63" applyNumberFormat="1" applyFont="1" applyFill="1" applyBorder="1" applyAlignment="1">
      <alignment horizontal="center"/>
    </xf>
    <xf numFmtId="3" fontId="41" fillId="27" borderId="20" xfId="63" applyNumberFormat="1" applyFont="1" applyFill="1" applyBorder="1" applyAlignment="1">
      <alignment horizontal="center"/>
    </xf>
    <xf numFmtId="3" fontId="41" fillId="0" borderId="20" xfId="63" applyNumberFormat="1" applyFont="1" applyFill="1" applyBorder="1" applyAlignment="1">
      <alignment horizontal="center"/>
    </xf>
    <xf numFmtId="9" fontId="41" fillId="0" borderId="11" xfId="64" applyFont="1" applyFill="1" applyBorder="1" applyAlignment="1">
      <alignment horizontal="center"/>
    </xf>
    <xf numFmtId="9" fontId="41" fillId="0" borderId="11" xfId="63" applyNumberFormat="1" applyFont="1" applyFill="1" applyBorder="1" applyAlignment="1">
      <alignment horizontal="center"/>
    </xf>
    <xf numFmtId="9" fontId="41" fillId="0" borderId="11" xfId="64" applyNumberFormat="1" applyFont="1" applyFill="1" applyBorder="1" applyAlignment="1">
      <alignment horizontal="center"/>
    </xf>
    <xf numFmtId="0" fontId="9" fillId="0" borderId="43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14" fillId="24" borderId="10" xfId="0" applyFont="1" applyFill="1" applyBorder="1" applyAlignment="1">
      <alignment horizontal="center"/>
    </xf>
    <xf numFmtId="0" fontId="14" fillId="24" borderId="14" xfId="0" applyFont="1" applyFill="1" applyBorder="1" applyAlignment="1">
      <alignment horizontal="center"/>
    </xf>
    <xf numFmtId="0" fontId="9" fillId="0" borderId="31" xfId="0" applyFont="1" applyBorder="1" applyAlignment="1"/>
    <xf numFmtId="0" fontId="9" fillId="0" borderId="0" xfId="0" applyFont="1" applyBorder="1" applyAlignment="1"/>
    <xf numFmtId="0" fontId="14" fillId="24" borderId="22" xfId="0" applyFont="1" applyFill="1" applyBorder="1" applyAlignment="1">
      <alignment horizontal="center" vertical="center"/>
    </xf>
    <xf numFmtId="0" fontId="14" fillId="24" borderId="17" xfId="0" applyFont="1" applyFill="1" applyBorder="1" applyAlignment="1">
      <alignment horizontal="center" vertical="center"/>
    </xf>
    <xf numFmtId="0" fontId="14" fillId="24" borderId="19" xfId="0" applyFont="1" applyFill="1" applyBorder="1" applyAlignment="1">
      <alignment horizontal="center" vertical="center"/>
    </xf>
    <xf numFmtId="0" fontId="14" fillId="24" borderId="10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 vertical="center" wrapText="1"/>
    </xf>
    <xf numFmtId="0" fontId="14" fillId="24" borderId="12" xfId="0" applyFont="1" applyFill="1" applyBorder="1" applyAlignment="1">
      <alignment horizontal="center" vertical="center" wrapText="1"/>
    </xf>
    <xf numFmtId="1" fontId="14" fillId="24" borderId="20" xfId="32" applyNumberFormat="1" applyFont="1" applyFill="1" applyBorder="1" applyAlignment="1">
      <alignment horizontal="center" vertical="center"/>
    </xf>
    <xf numFmtId="1" fontId="14" fillId="24" borderId="56" xfId="32" applyNumberFormat="1" applyFont="1" applyFill="1" applyBorder="1" applyAlignment="1">
      <alignment horizontal="center" vertical="center"/>
    </xf>
    <xf numFmtId="1" fontId="14" fillId="24" borderId="18" xfId="32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/>
    <xf numFmtId="0" fontId="34" fillId="24" borderId="22" xfId="0" applyFont="1" applyFill="1" applyBorder="1" applyAlignment="1">
      <alignment horizontal="center" vertical="center"/>
    </xf>
    <xf numFmtId="0" fontId="34" fillId="24" borderId="17" xfId="0" applyFont="1" applyFill="1" applyBorder="1" applyAlignment="1">
      <alignment horizontal="center" vertical="center"/>
    </xf>
    <xf numFmtId="0" fontId="34" fillId="24" borderId="19" xfId="0" applyFont="1" applyFill="1" applyBorder="1" applyAlignment="1">
      <alignment horizontal="center" vertical="center"/>
    </xf>
    <xf numFmtId="0" fontId="34" fillId="24" borderId="64" xfId="0" applyFont="1" applyFill="1" applyBorder="1" applyAlignment="1">
      <alignment horizontal="center" vertical="center" wrapText="1"/>
    </xf>
    <xf numFmtId="0" fontId="34" fillId="24" borderId="28" xfId="0" applyFont="1" applyFill="1" applyBorder="1" applyAlignment="1">
      <alignment horizontal="center" vertical="center" wrapText="1"/>
    </xf>
    <xf numFmtId="0" fontId="34" fillId="24" borderId="47" xfId="0" applyFont="1" applyFill="1" applyBorder="1" applyAlignment="1">
      <alignment horizontal="center" vertical="center" wrapText="1"/>
    </xf>
    <xf numFmtId="0" fontId="36" fillId="24" borderId="41" xfId="0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4" fillId="24" borderId="43" xfId="32" quotePrefix="1" applyNumberFormat="1" applyFont="1" applyFill="1" applyBorder="1" applyAlignment="1">
      <alignment horizontal="center" vertical="center"/>
    </xf>
    <xf numFmtId="0" fontId="14" fillId="0" borderId="43" xfId="53" applyFont="1" applyBorder="1" applyAlignment="1">
      <alignment horizontal="center" vertical="center" wrapText="1"/>
    </xf>
    <xf numFmtId="0" fontId="14" fillId="0" borderId="37" xfId="53" applyFont="1" applyBorder="1" applyAlignment="1">
      <alignment horizontal="center" vertical="center" wrapText="1"/>
    </xf>
    <xf numFmtId="0" fontId="14" fillId="0" borderId="38" xfId="53" applyFont="1" applyBorder="1" applyAlignment="1">
      <alignment horizontal="center" vertical="center" wrapText="1"/>
    </xf>
    <xf numFmtId="0" fontId="14" fillId="0" borderId="58" xfId="53" applyFont="1" applyBorder="1" applyAlignment="1">
      <alignment horizontal="center" vertical="center" wrapText="1"/>
    </xf>
    <xf numFmtId="0" fontId="14" fillId="0" borderId="56" xfId="53" applyFont="1" applyBorder="1" applyAlignment="1">
      <alignment horizontal="center" vertical="center" wrapText="1"/>
    </xf>
    <xf numFmtId="0" fontId="14" fillId="0" borderId="0" xfId="53" applyFont="1" applyBorder="1" applyAlignment="1">
      <alignment horizontal="center" vertical="center" wrapText="1"/>
    </xf>
    <xf numFmtId="0" fontId="14" fillId="0" borderId="18" xfId="53" applyFont="1" applyBorder="1" applyAlignment="1">
      <alignment horizontal="center" vertical="center" wrapText="1"/>
    </xf>
    <xf numFmtId="0" fontId="9" fillId="0" borderId="0" xfId="53" applyFont="1" applyAlignment="1">
      <alignment horizontal="center" vertical="center"/>
    </xf>
    <xf numFmtId="0" fontId="14" fillId="24" borderId="22" xfId="53" applyFont="1" applyFill="1" applyBorder="1" applyAlignment="1">
      <alignment horizontal="center" vertical="center" wrapText="1"/>
    </xf>
    <xf numFmtId="0" fontId="14" fillId="24" borderId="17" xfId="53" applyFont="1" applyFill="1" applyBorder="1" applyAlignment="1">
      <alignment horizontal="center" vertical="center" wrapText="1"/>
    </xf>
    <xf numFmtId="0" fontId="14" fillId="24" borderId="19" xfId="53" applyFont="1" applyFill="1" applyBorder="1" applyAlignment="1">
      <alignment horizontal="center" vertical="center" wrapText="1"/>
    </xf>
    <xf numFmtId="0" fontId="14" fillId="24" borderId="10" xfId="53" applyFont="1" applyFill="1" applyBorder="1" applyAlignment="1">
      <alignment horizontal="center" vertical="center" wrapText="1"/>
    </xf>
    <xf numFmtId="0" fontId="14" fillId="24" borderId="11" xfId="53" applyFont="1" applyFill="1" applyBorder="1" applyAlignment="1">
      <alignment horizontal="center" vertical="center" wrapText="1"/>
    </xf>
    <xf numFmtId="0" fontId="14" fillId="24" borderId="12" xfId="53" applyFont="1" applyFill="1" applyBorder="1" applyAlignment="1">
      <alignment horizontal="center" vertical="center" wrapText="1"/>
    </xf>
    <xf numFmtId="1" fontId="14" fillId="24" borderId="43" xfId="54" applyNumberFormat="1" applyFont="1" applyFill="1" applyBorder="1" applyAlignment="1">
      <alignment horizontal="center" vertical="center"/>
    </xf>
    <xf numFmtId="1" fontId="14" fillId="24" borderId="37" xfId="54" applyNumberFormat="1" applyFont="1" applyFill="1" applyBorder="1" applyAlignment="1">
      <alignment horizontal="center" vertical="center"/>
    </xf>
    <xf numFmtId="1" fontId="14" fillId="24" borderId="38" xfId="54" applyNumberFormat="1" applyFont="1" applyFill="1" applyBorder="1" applyAlignment="1">
      <alignment horizontal="center" vertical="center"/>
    </xf>
    <xf numFmtId="1" fontId="14" fillId="24" borderId="57" xfId="54" applyNumberFormat="1" applyFont="1" applyFill="1" applyBorder="1" applyAlignment="1">
      <alignment horizontal="center" vertical="center"/>
    </xf>
    <xf numFmtId="1" fontId="14" fillId="24" borderId="60" xfId="54" applyNumberFormat="1" applyFont="1" applyFill="1" applyBorder="1" applyAlignment="1">
      <alignment horizontal="center" vertical="center"/>
    </xf>
    <xf numFmtId="1" fontId="14" fillId="24" borderId="65" xfId="54" applyNumberFormat="1" applyFont="1" applyFill="1" applyBorder="1" applyAlignment="1">
      <alignment horizontal="center" vertical="center"/>
    </xf>
    <xf numFmtId="0" fontId="40" fillId="25" borderId="25" xfId="63" applyFont="1" applyFill="1" applyBorder="1" applyAlignment="1">
      <alignment horizontal="center" vertical="center"/>
    </xf>
    <xf numFmtId="0" fontId="40" fillId="25" borderId="29" xfId="63" applyFont="1" applyFill="1" applyBorder="1" applyAlignment="1">
      <alignment horizontal="center" vertical="center"/>
    </xf>
    <xf numFmtId="0" fontId="40" fillId="25" borderId="17" xfId="63" applyFont="1" applyFill="1" applyBorder="1" applyAlignment="1">
      <alignment horizontal="center" vertical="center" wrapText="1"/>
    </xf>
    <xf numFmtId="0" fontId="40" fillId="25" borderId="17" xfId="63" applyFont="1" applyFill="1" applyBorder="1" applyAlignment="1"/>
    <xf numFmtId="0" fontId="40" fillId="25" borderId="11" xfId="63" applyFont="1" applyFill="1" applyBorder="1" applyAlignment="1"/>
    <xf numFmtId="0" fontId="40" fillId="25" borderId="11" xfId="63" applyFont="1" applyFill="1" applyBorder="1" applyAlignment="1">
      <alignment horizontal="center" vertical="center"/>
    </xf>
    <xf numFmtId="0" fontId="40" fillId="25" borderId="11" xfId="63" applyFont="1" applyFill="1" applyBorder="1" applyAlignment="1">
      <alignment horizontal="left" vertical="center"/>
    </xf>
    <xf numFmtId="0" fontId="40" fillId="25" borderId="11" xfId="63" applyFont="1" applyFill="1" applyBorder="1" applyAlignment="1">
      <alignment wrapText="1"/>
    </xf>
    <xf numFmtId="0" fontId="40" fillId="25" borderId="17" xfId="63" applyFont="1" applyFill="1" applyBorder="1" applyAlignment="1">
      <alignment wrapText="1"/>
    </xf>
    <xf numFmtId="0" fontId="41" fillId="25" borderId="29" xfId="63" applyFont="1" applyFill="1" applyBorder="1" applyAlignment="1">
      <alignment horizontal="center" vertical="center" wrapText="1"/>
    </xf>
    <xf numFmtId="0" fontId="41" fillId="25" borderId="11" xfId="63" applyFont="1" applyFill="1" applyBorder="1" applyAlignment="1"/>
    <xf numFmtId="0" fontId="41" fillId="25" borderId="11" xfId="63" applyFont="1" applyFill="1" applyBorder="1" applyAlignment="1">
      <alignment wrapText="1"/>
    </xf>
    <xf numFmtId="0" fontId="41" fillId="25" borderId="17" xfId="63" applyFont="1" applyFill="1" applyBorder="1" applyAlignment="1">
      <alignment horizontal="center" vertical="center" wrapText="1"/>
    </xf>
    <xf numFmtId="0" fontId="41" fillId="25" borderId="17" xfId="63" applyFont="1" applyFill="1" applyBorder="1" applyAlignment="1">
      <alignment wrapText="1"/>
    </xf>
    <xf numFmtId="0" fontId="41" fillId="25" borderId="19" xfId="63" applyFont="1" applyFill="1" applyBorder="1" applyAlignment="1">
      <alignment wrapText="1"/>
    </xf>
    <xf numFmtId="0" fontId="40" fillId="25" borderId="27" xfId="63" applyFont="1" applyFill="1" applyBorder="1" applyAlignment="1">
      <alignment horizontal="center" vertical="center"/>
    </xf>
    <xf numFmtId="0" fontId="40" fillId="25" borderId="63" xfId="63" applyFont="1" applyFill="1" applyBorder="1" applyAlignment="1">
      <alignment horizontal="center" vertical="center"/>
    </xf>
    <xf numFmtId="0" fontId="40" fillId="25" borderId="35" xfId="63" applyFont="1" applyFill="1" applyBorder="1" applyAlignment="1">
      <alignment horizontal="center" vertical="center"/>
    </xf>
    <xf numFmtId="0" fontId="40" fillId="25" borderId="61" xfId="63" applyFont="1" applyFill="1" applyBorder="1" applyAlignment="1">
      <alignment horizontal="center" vertical="center"/>
    </xf>
    <xf numFmtId="0" fontId="7" fillId="0" borderId="0" xfId="53"/>
    <xf numFmtId="0" fontId="44" fillId="0" borderId="0" xfId="53" applyFont="1"/>
    <xf numFmtId="0" fontId="44" fillId="0" borderId="0" xfId="53" applyFont="1" applyAlignment="1">
      <alignment horizontal="center" vertical="center"/>
    </xf>
    <xf numFmtId="0" fontId="45" fillId="0" borderId="0" xfId="53" applyFont="1" applyFill="1" applyAlignment="1">
      <alignment vertical="center"/>
    </xf>
    <xf numFmtId="0" fontId="45" fillId="0" borderId="0" xfId="53" applyFont="1" applyAlignment="1">
      <alignment horizontal="center" vertical="center"/>
    </xf>
    <xf numFmtId="10" fontId="45" fillId="0" borderId="0" xfId="53" applyNumberFormat="1" applyFont="1" applyAlignment="1">
      <alignment horizontal="center" vertical="center"/>
    </xf>
    <xf numFmtId="0" fontId="46" fillId="0" borderId="0" xfId="53" applyFont="1" applyAlignment="1">
      <alignment vertical="center" wrapText="1"/>
    </xf>
    <xf numFmtId="0" fontId="47" fillId="0" borderId="0" xfId="53" applyFont="1" applyBorder="1" applyAlignment="1">
      <alignment horizontal="center" vertical="center" wrapText="1"/>
    </xf>
    <xf numFmtId="0" fontId="48" fillId="0" borderId="0" xfId="53" applyFont="1" applyAlignment="1">
      <alignment vertical="center"/>
    </xf>
    <xf numFmtId="0" fontId="48" fillId="0" borderId="0" xfId="53" applyFont="1" applyBorder="1" applyAlignment="1">
      <alignment horizontal="center" vertical="center" wrapText="1"/>
    </xf>
    <xf numFmtId="0" fontId="45" fillId="0" borderId="0" xfId="53" applyFont="1" applyFill="1" applyAlignment="1">
      <alignment horizontal="center" vertical="center"/>
    </xf>
    <xf numFmtId="0" fontId="48" fillId="29" borderId="74" xfId="53" applyFont="1" applyFill="1" applyBorder="1" applyAlignment="1">
      <alignment horizontal="center" vertical="center" wrapText="1"/>
    </xf>
    <xf numFmtId="10" fontId="50" fillId="29" borderId="74" xfId="53" applyNumberFormat="1" applyFont="1" applyFill="1" applyBorder="1" applyAlignment="1">
      <alignment horizontal="center" vertical="center" wrapText="1"/>
    </xf>
    <xf numFmtId="10" fontId="51" fillId="29" borderId="74" xfId="53" applyNumberFormat="1" applyFont="1" applyFill="1" applyBorder="1" applyAlignment="1">
      <alignment horizontal="center" vertical="center" wrapText="1"/>
    </xf>
    <xf numFmtId="10" fontId="52" fillId="29" borderId="74" xfId="53" applyNumberFormat="1" applyFont="1" applyFill="1" applyBorder="1" applyAlignment="1">
      <alignment horizontal="center" vertical="center" wrapText="1"/>
    </xf>
    <xf numFmtId="0" fontId="44" fillId="0" borderId="0" xfId="53" applyFont="1" applyFill="1" applyBorder="1" applyAlignment="1">
      <alignment horizontal="center" vertical="center"/>
    </xf>
    <xf numFmtId="0" fontId="51" fillId="0" borderId="0" xfId="53" applyFont="1" applyFill="1" applyBorder="1" applyAlignment="1">
      <alignment horizontal="center" vertical="center"/>
    </xf>
    <xf numFmtId="10" fontId="51" fillId="0" borderId="0" xfId="53" applyNumberFormat="1" applyFont="1" applyFill="1" applyBorder="1" applyAlignment="1">
      <alignment horizontal="center" vertical="center" wrapText="1"/>
    </xf>
    <xf numFmtId="0" fontId="52" fillId="30" borderId="0" xfId="53" applyFont="1" applyFill="1" applyBorder="1" applyAlignment="1">
      <alignment horizontal="center" vertical="center"/>
    </xf>
    <xf numFmtId="0" fontId="50" fillId="30" borderId="0" xfId="53" applyFont="1" applyFill="1" applyBorder="1" applyAlignment="1">
      <alignment horizontal="center" vertical="center"/>
    </xf>
    <xf numFmtId="10" fontId="51" fillId="30" borderId="0" xfId="53" applyNumberFormat="1" applyFont="1" applyFill="1" applyBorder="1" applyAlignment="1">
      <alignment horizontal="center" vertical="center" wrapText="1"/>
    </xf>
    <xf numFmtId="0" fontId="44" fillId="30" borderId="0" xfId="53" applyFont="1" applyFill="1"/>
    <xf numFmtId="0" fontId="45" fillId="31" borderId="74" xfId="53" applyFont="1" applyFill="1" applyBorder="1" applyAlignment="1">
      <alignment horizontal="left" vertical="center" wrapText="1"/>
    </xf>
    <xf numFmtId="0" fontId="45" fillId="31" borderId="74" xfId="53" applyNumberFormat="1" applyFont="1" applyFill="1" applyBorder="1" applyAlignment="1">
      <alignment horizontal="center" vertical="center"/>
    </xf>
    <xf numFmtId="0" fontId="44" fillId="31" borderId="74" xfId="53" applyNumberFormat="1" applyFont="1" applyFill="1" applyBorder="1" applyAlignment="1">
      <alignment horizontal="center" vertical="center"/>
    </xf>
    <xf numFmtId="173" fontId="44" fillId="32" borderId="74" xfId="53" applyNumberFormat="1" applyFont="1" applyFill="1" applyBorder="1" applyAlignment="1">
      <alignment horizontal="center" vertical="center"/>
    </xf>
    <xf numFmtId="1" fontId="51" fillId="0" borderId="74" xfId="53" applyNumberFormat="1" applyFont="1" applyFill="1" applyBorder="1"/>
    <xf numFmtId="0" fontId="45" fillId="0" borderId="74" xfId="53" applyFont="1" applyBorder="1" applyAlignment="1">
      <alignment horizontal="left" vertical="center" wrapText="1"/>
    </xf>
    <xf numFmtId="0" fontId="45" fillId="0" borderId="74" xfId="53" applyNumberFormat="1" applyFont="1" applyBorder="1" applyAlignment="1">
      <alignment horizontal="center" vertical="center"/>
    </xf>
    <xf numFmtId="0" fontId="45" fillId="0" borderId="74" xfId="58" applyNumberFormat="1" applyFont="1" applyFill="1" applyBorder="1" applyAlignment="1">
      <alignment horizontal="center" vertical="center"/>
    </xf>
    <xf numFmtId="173" fontId="44" fillId="0" borderId="74" xfId="53" applyNumberFormat="1" applyFont="1" applyFill="1" applyBorder="1" applyAlignment="1">
      <alignment horizontal="center" vertical="center"/>
    </xf>
    <xf numFmtId="0" fontId="45" fillId="0" borderId="74" xfId="58" applyNumberFormat="1" applyFont="1" applyBorder="1" applyAlignment="1">
      <alignment horizontal="center" vertical="center"/>
    </xf>
    <xf numFmtId="0" fontId="45" fillId="31" borderId="74" xfId="59" applyNumberFormat="1" applyFont="1" applyFill="1" applyBorder="1" applyAlignment="1" applyProtection="1">
      <alignment horizontal="center" vertical="center"/>
    </xf>
    <xf numFmtId="0" fontId="45" fillId="0" borderId="74" xfId="59" applyNumberFormat="1" applyFont="1" applyFill="1" applyBorder="1" applyAlignment="1" applyProtection="1">
      <alignment horizontal="center" vertical="center"/>
    </xf>
    <xf numFmtId="0" fontId="44" fillId="0" borderId="74" xfId="59" applyNumberFormat="1" applyFont="1" applyFill="1" applyBorder="1" applyAlignment="1" applyProtection="1">
      <alignment horizontal="center" vertical="center"/>
    </xf>
    <xf numFmtId="0" fontId="44" fillId="31" borderId="74" xfId="59" applyNumberFormat="1" applyFont="1" applyFill="1" applyBorder="1" applyAlignment="1" applyProtection="1">
      <alignment horizontal="center" vertical="center"/>
    </xf>
    <xf numFmtId="0" fontId="45" fillId="0" borderId="74" xfId="53" applyFont="1" applyFill="1" applyBorder="1" applyAlignment="1">
      <alignment horizontal="left" vertical="center" wrapText="1"/>
    </xf>
    <xf numFmtId="0" fontId="45" fillId="33" borderId="74" xfId="53" applyFont="1" applyFill="1" applyBorder="1" applyAlignment="1">
      <alignment horizontal="left" vertical="center" wrapText="1"/>
    </xf>
    <xf numFmtId="0" fontId="44" fillId="33" borderId="74" xfId="59" applyNumberFormat="1" applyFont="1" applyFill="1" applyBorder="1" applyAlignment="1" applyProtection="1">
      <alignment horizontal="center" vertical="center"/>
    </xf>
    <xf numFmtId="0" fontId="45" fillId="33" borderId="74" xfId="53" applyNumberFormat="1" applyFont="1" applyFill="1" applyBorder="1" applyAlignment="1">
      <alignment horizontal="center" vertical="center"/>
    </xf>
    <xf numFmtId="0" fontId="45" fillId="33" borderId="74" xfId="59" applyNumberFormat="1" applyFont="1" applyFill="1" applyBorder="1" applyAlignment="1" applyProtection="1">
      <alignment horizontal="center" vertical="center"/>
    </xf>
    <xf numFmtId="0" fontId="45" fillId="0" borderId="0" xfId="53" applyFont="1" applyBorder="1" applyAlignment="1">
      <alignment horizontal="center" vertical="center" wrapText="1"/>
    </xf>
    <xf numFmtId="0" fontId="45" fillId="0" borderId="0" xfId="53" applyNumberFormat="1" applyFont="1" applyBorder="1" applyAlignment="1">
      <alignment horizontal="center" vertical="center"/>
    </xf>
    <xf numFmtId="0" fontId="52" fillId="30" borderId="0" xfId="53" applyFont="1" applyFill="1" applyBorder="1" applyAlignment="1">
      <alignment horizontal="center" vertical="center" wrapText="1"/>
    </xf>
    <xf numFmtId="0" fontId="51" fillId="30" borderId="0" xfId="53" applyNumberFormat="1" applyFont="1" applyFill="1" applyBorder="1" applyAlignment="1">
      <alignment horizontal="center" vertical="center"/>
    </xf>
    <xf numFmtId="0" fontId="51" fillId="30" borderId="0" xfId="53" applyNumberFormat="1" applyFont="1" applyFill="1" applyBorder="1" applyAlignment="1">
      <alignment horizontal="center" vertical="center" wrapText="1"/>
    </xf>
    <xf numFmtId="0" fontId="45" fillId="0" borderId="74" xfId="53" applyNumberFormat="1" applyFont="1" applyFill="1" applyBorder="1" applyAlignment="1">
      <alignment horizontal="center" vertical="center"/>
    </xf>
    <xf numFmtId="0" fontId="45" fillId="0" borderId="0" xfId="53" applyFont="1" applyFill="1" applyBorder="1" applyAlignment="1">
      <alignment horizontal="center" vertical="center" wrapText="1"/>
    </xf>
    <xf numFmtId="0" fontId="45" fillId="0" borderId="0" xfId="53" applyNumberFormat="1" applyFont="1" applyFill="1" applyBorder="1" applyAlignment="1">
      <alignment horizontal="center" vertical="center"/>
    </xf>
    <xf numFmtId="0" fontId="45" fillId="0" borderId="0" xfId="59" applyNumberFormat="1" applyFont="1" applyFill="1" applyBorder="1" applyAlignment="1" applyProtection="1">
      <alignment horizontal="center" vertical="center"/>
    </xf>
    <xf numFmtId="0" fontId="44" fillId="0" borderId="0" xfId="59" applyNumberFormat="1" applyFont="1" applyFill="1" applyBorder="1" applyAlignment="1" applyProtection="1">
      <alignment horizontal="center" vertical="center"/>
    </xf>
    <xf numFmtId="0" fontId="45" fillId="0" borderId="0" xfId="53" applyNumberFormat="1" applyFont="1" applyFill="1" applyAlignment="1">
      <alignment vertical="center"/>
    </xf>
    <xf numFmtId="0" fontId="32" fillId="30" borderId="0" xfId="53" applyFont="1" applyFill="1" applyBorder="1" applyAlignment="1">
      <alignment horizontal="center" vertical="center" wrapText="1"/>
    </xf>
    <xf numFmtId="0" fontId="53" fillId="30" borderId="0" xfId="53" applyNumberFormat="1" applyFont="1" applyFill="1" applyBorder="1" applyAlignment="1">
      <alignment horizontal="center" vertical="center"/>
    </xf>
    <xf numFmtId="0" fontId="54" fillId="30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Alignment="1">
      <alignment horizontal="center" vertical="center" wrapText="1"/>
    </xf>
    <xf numFmtId="0" fontId="45" fillId="0" borderId="0" xfId="53" applyNumberFormat="1" applyFont="1" applyAlignment="1">
      <alignment horizontal="center" vertical="center"/>
    </xf>
    <xf numFmtId="0" fontId="44" fillId="0" borderId="74" xfId="53" applyFont="1" applyFill="1" applyBorder="1" applyAlignment="1">
      <alignment horizontal="left" vertical="center" wrapText="1"/>
    </xf>
    <xf numFmtId="0" fontId="44" fillId="0" borderId="74" xfId="53" applyNumberFormat="1" applyFont="1" applyFill="1" applyBorder="1" applyAlignment="1">
      <alignment horizontal="center" vertical="center"/>
    </xf>
    <xf numFmtId="0" fontId="45" fillId="30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Fill="1" applyBorder="1" applyAlignment="1">
      <alignment vertical="center"/>
    </xf>
    <xf numFmtId="0" fontId="7" fillId="0" borderId="0" xfId="53" applyFill="1"/>
    <xf numFmtId="0" fontId="45" fillId="33" borderId="0" xfId="53" applyFont="1" applyFill="1" applyBorder="1" applyAlignment="1">
      <alignment horizontal="center" vertical="center" wrapText="1"/>
    </xf>
    <xf numFmtId="0" fontId="45" fillId="33" borderId="0" xfId="53" applyNumberFormat="1" applyFont="1" applyFill="1" applyBorder="1" applyAlignment="1">
      <alignment horizontal="center" vertical="center"/>
    </xf>
    <xf numFmtId="0" fontId="45" fillId="33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Fill="1" applyAlignment="1">
      <alignment horizontal="center" vertical="center" wrapText="1"/>
    </xf>
    <xf numFmtId="0" fontId="45" fillId="0" borderId="0" xfId="53" applyNumberFormat="1" applyFont="1" applyFill="1" applyAlignment="1">
      <alignment horizontal="center" vertical="center"/>
    </xf>
    <xf numFmtId="1" fontId="51" fillId="0" borderId="74" xfId="53" applyNumberFormat="1" applyFont="1" applyFill="1" applyBorder="1" applyAlignment="1">
      <alignment horizontal="center" vertical="center"/>
    </xf>
    <xf numFmtId="0" fontId="45" fillId="31" borderId="74" xfId="53" applyFont="1" applyFill="1" applyBorder="1" applyAlignment="1">
      <alignment horizontal="center" vertical="center"/>
    </xf>
    <xf numFmtId="0" fontId="45" fillId="0" borderId="74" xfId="53" applyFont="1" applyFill="1" applyBorder="1" applyAlignment="1">
      <alignment horizontal="center" vertical="center"/>
    </xf>
    <xf numFmtId="0" fontId="45" fillId="33" borderId="0" xfId="53" applyFont="1" applyFill="1" applyBorder="1" applyAlignment="1">
      <alignment vertical="center"/>
    </xf>
    <xf numFmtId="0" fontId="44" fillId="0" borderId="0" xfId="53" applyFont="1" applyAlignment="1">
      <alignment wrapText="1"/>
    </xf>
    <xf numFmtId="0" fontId="44" fillId="0" borderId="0" xfId="53" applyNumberFormat="1" applyFont="1"/>
    <xf numFmtId="10" fontId="7" fillId="0" borderId="0" xfId="53" applyNumberFormat="1"/>
    <xf numFmtId="10" fontId="7" fillId="0" borderId="0" xfId="53" applyNumberFormat="1" applyAlignment="1">
      <alignment horizontal="center" vertical="center"/>
    </xf>
  </cellXfs>
  <cellStyles count="6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10" xfId="63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2676525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57475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topLeftCell="A12" zoomScaleNormal="75" zoomScaleSheetLayoutView="100" workbookViewId="0">
      <selection activeCell="H41" sqref="H4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01" t="s">
        <v>89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3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06" t="s">
        <v>150</v>
      </c>
      <c r="B3" s="307"/>
      <c r="C3" s="307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153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08" t="s">
        <v>3</v>
      </c>
      <c r="B9" s="311" t="s">
        <v>0</v>
      </c>
      <c r="C9" s="311" t="s">
        <v>1</v>
      </c>
      <c r="D9" s="75"/>
      <c r="E9" s="75"/>
      <c r="F9" s="304"/>
      <c r="G9" s="304"/>
      <c r="H9" s="304"/>
      <c r="I9" s="304"/>
      <c r="J9" s="304"/>
      <c r="K9" s="305"/>
      <c r="L9" s="79"/>
      <c r="M9" s="4"/>
      <c r="N9" s="4"/>
      <c r="O9" s="73"/>
    </row>
    <row r="10" spans="1:15" x14ac:dyDescent="0.2">
      <c r="A10" s="309"/>
      <c r="B10" s="312"/>
      <c r="C10" s="312"/>
      <c r="D10" s="76"/>
      <c r="E10" s="76">
        <v>2006</v>
      </c>
      <c r="F10" s="3">
        <v>2016</v>
      </c>
      <c r="G10" s="3">
        <v>2017</v>
      </c>
      <c r="H10" s="314">
        <v>2017</v>
      </c>
      <c r="I10" s="315"/>
      <c r="J10" s="315"/>
      <c r="K10" s="316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10"/>
      <c r="B11" s="313"/>
      <c r="C11" s="313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0</v>
      </c>
      <c r="G13" s="102">
        <v>0</v>
      </c>
      <c r="H13" s="102">
        <v>0</v>
      </c>
      <c r="I13" s="56"/>
      <c r="J13" s="57"/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269</v>
      </c>
      <c r="G14" s="102">
        <v>280</v>
      </c>
      <c r="H14" s="104">
        <v>60</v>
      </c>
      <c r="I14" s="103"/>
      <c r="J14" s="105"/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833</v>
      </c>
      <c r="G15" s="102">
        <v>850</v>
      </c>
      <c r="H15" s="104">
        <v>205</v>
      </c>
      <c r="I15" s="103"/>
      <c r="J15" s="105"/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105</v>
      </c>
      <c r="G16" s="102">
        <v>100</v>
      </c>
      <c r="H16" s="104">
        <v>15</v>
      </c>
      <c r="I16" s="103"/>
      <c r="J16" s="105"/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155</v>
      </c>
      <c r="G17" s="102">
        <v>160</v>
      </c>
      <c r="H17" s="104">
        <v>27</v>
      </c>
      <c r="I17" s="103"/>
      <c r="J17" s="105"/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913</v>
      </c>
      <c r="G18" s="102">
        <v>950</v>
      </c>
      <c r="H18" s="104">
        <v>235</v>
      </c>
      <c r="I18" s="103"/>
      <c r="J18" s="105"/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72</v>
      </c>
      <c r="G19" s="102">
        <v>85</v>
      </c>
      <c r="H19" s="104">
        <v>21</v>
      </c>
      <c r="I19" s="103"/>
      <c r="J19" s="105"/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31</v>
      </c>
      <c r="G20" s="102">
        <v>30</v>
      </c>
      <c r="H20" s="106">
        <v>9</v>
      </c>
      <c r="I20" s="60"/>
      <c r="J20" s="61"/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25</v>
      </c>
      <c r="G21" s="102">
        <v>30</v>
      </c>
      <c r="H21" s="104">
        <v>17</v>
      </c>
      <c r="I21" s="103"/>
      <c r="J21" s="105"/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435</v>
      </c>
      <c r="G22" s="102">
        <v>700</v>
      </c>
      <c r="H22" s="104">
        <v>194</v>
      </c>
      <c r="I22" s="103"/>
      <c r="J22" s="105"/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217</v>
      </c>
      <c r="G23" s="102">
        <v>200</v>
      </c>
      <c r="H23" s="106">
        <v>45</v>
      </c>
      <c r="I23" s="60"/>
      <c r="J23" s="61"/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9740</v>
      </c>
      <c r="G36" s="102">
        <v>10714</v>
      </c>
      <c r="H36" s="103">
        <v>2678</v>
      </c>
      <c r="I36" s="103"/>
      <c r="J36" s="105"/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1075</v>
      </c>
      <c r="G37" s="102">
        <v>1182</v>
      </c>
      <c r="H37" s="103">
        <v>295</v>
      </c>
      <c r="I37" s="103"/>
      <c r="J37" s="105"/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1080</v>
      </c>
      <c r="G38" s="102">
        <v>1188</v>
      </c>
      <c r="H38" s="103">
        <v>297</v>
      </c>
      <c r="I38" s="103"/>
      <c r="J38" s="105"/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2100</v>
      </c>
      <c r="G39" s="102">
        <v>2310</v>
      </c>
      <c r="H39" s="103">
        <v>577</v>
      </c>
      <c r="I39" s="103"/>
      <c r="J39" s="105"/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305</v>
      </c>
      <c r="G40" s="102">
        <v>335</v>
      </c>
      <c r="H40" s="103">
        <v>84</v>
      </c>
      <c r="I40" s="120"/>
      <c r="J40" s="121"/>
      <c r="K40" s="122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3"/>
      <c r="G41" s="109"/>
      <c r="H41" s="124"/>
      <c r="I41" s="124"/>
      <c r="J41" s="124"/>
      <c r="K41" s="125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18552</v>
      </c>
      <c r="G42" s="102">
        <v>25064</v>
      </c>
      <c r="H42" s="55">
        <v>4110</v>
      </c>
      <c r="I42" s="56"/>
      <c r="J42" s="57"/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19325</v>
      </c>
      <c r="G43" s="106">
        <v>27787</v>
      </c>
      <c r="H43" s="59">
        <v>4859</v>
      </c>
      <c r="I43" s="60"/>
      <c r="J43" s="61"/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3"/>
      <c r="G44" s="109"/>
      <c r="H44" s="124"/>
      <c r="I44" s="124"/>
      <c r="J44" s="124"/>
      <c r="K44" s="125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773</v>
      </c>
      <c r="G45" s="102">
        <v>1000</v>
      </c>
      <c r="H45" s="102">
        <v>250</v>
      </c>
      <c r="I45" s="56"/>
      <c r="J45" s="57"/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6">
        <v>1520</v>
      </c>
      <c r="G46" s="102">
        <v>3000</v>
      </c>
      <c r="H46" s="127">
        <v>700</v>
      </c>
      <c r="I46" s="126"/>
      <c r="J46" s="128"/>
      <c r="K46" s="129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10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75" zoomScaleNormal="75" zoomScaleSheetLayoutView="85" workbookViewId="0">
      <selection sqref="A1:I19"/>
    </sheetView>
  </sheetViews>
  <sheetFormatPr baseColWidth="10" defaultRowHeight="12.75" x14ac:dyDescent="0.2"/>
  <cols>
    <col min="1" max="1" width="76.7109375" style="196" customWidth="1"/>
    <col min="2" max="2" width="17" style="196" customWidth="1"/>
    <col min="3" max="3" width="13.5703125" style="196" customWidth="1"/>
    <col min="4" max="4" width="14.7109375" style="196" customWidth="1"/>
    <col min="5" max="5" width="13.5703125" style="196" customWidth="1"/>
    <col min="6" max="6" width="13.140625" style="196" customWidth="1"/>
    <col min="7" max="7" width="13" style="196" customWidth="1"/>
    <col min="8" max="8" width="14.28515625" style="196" customWidth="1"/>
    <col min="9" max="16384" width="11.42578125" style="196"/>
  </cols>
  <sheetData>
    <row r="1" spans="1:10" s="191" customFormat="1" ht="15.75" x14ac:dyDescent="0.25">
      <c r="A1" s="317" t="s">
        <v>89</v>
      </c>
      <c r="B1" s="317"/>
      <c r="C1" s="317"/>
      <c r="D1" s="317"/>
      <c r="E1" s="317"/>
      <c r="F1" s="317"/>
      <c r="G1" s="317"/>
    </row>
    <row r="2" spans="1:10" s="191" customFormat="1" ht="15" customHeight="1" x14ac:dyDescent="0.25">
      <c r="A2" s="219"/>
      <c r="B2" s="219"/>
      <c r="C2" s="192"/>
    </row>
    <row r="3" spans="1:10" s="191" customFormat="1" ht="15" customHeight="1" x14ac:dyDescent="0.25">
      <c r="A3" s="318" t="s">
        <v>77</v>
      </c>
      <c r="B3" s="318"/>
      <c r="C3" s="318"/>
    </row>
    <row r="4" spans="1:10" s="191" customFormat="1" ht="15" customHeight="1" x14ac:dyDescent="0.25">
      <c r="A4" s="193" t="s">
        <v>54</v>
      </c>
      <c r="B4" s="219"/>
      <c r="C4" s="192"/>
    </row>
    <row r="5" spans="1:10" s="191" customFormat="1" ht="15" customHeight="1" x14ac:dyDescent="0.25">
      <c r="A5" s="193" t="s">
        <v>147</v>
      </c>
      <c r="B5" s="219"/>
      <c r="C5" s="192"/>
    </row>
    <row r="6" spans="1:10" s="191" customFormat="1" ht="15" customHeight="1" x14ac:dyDescent="0.25">
      <c r="A6" s="193"/>
      <c r="B6" s="219"/>
      <c r="C6" s="192"/>
    </row>
    <row r="7" spans="1:10" s="191" customFormat="1" ht="15" customHeight="1" x14ac:dyDescent="0.25">
      <c r="A7" s="193" t="s">
        <v>4</v>
      </c>
      <c r="B7" s="219"/>
      <c r="C7" s="192"/>
    </row>
    <row r="8" spans="1:10" ht="15" customHeight="1" thickBot="1" x14ac:dyDescent="0.25">
      <c r="A8" s="193"/>
      <c r="B8" s="194"/>
      <c r="C8" s="195"/>
    </row>
    <row r="9" spans="1:10" ht="13.5" thickBot="1" x14ac:dyDescent="0.25">
      <c r="A9" s="319" t="s">
        <v>3</v>
      </c>
      <c r="B9" s="322" t="s">
        <v>0</v>
      </c>
      <c r="C9" s="325" t="s">
        <v>1</v>
      </c>
      <c r="D9" s="328"/>
      <c r="E9" s="328"/>
      <c r="F9" s="328"/>
      <c r="G9" s="328"/>
      <c r="H9" s="329"/>
    </row>
    <row r="10" spans="1:10" ht="16.5" thickBot="1" x14ac:dyDescent="0.25">
      <c r="A10" s="320"/>
      <c r="B10" s="323"/>
      <c r="C10" s="326"/>
      <c r="D10" s="330" t="s">
        <v>154</v>
      </c>
      <c r="E10" s="328"/>
      <c r="F10" s="328"/>
      <c r="G10" s="328"/>
      <c r="H10" s="329"/>
    </row>
    <row r="11" spans="1:10" ht="26.25" thickBot="1" x14ac:dyDescent="0.25">
      <c r="A11" s="321"/>
      <c r="B11" s="324"/>
      <c r="C11" s="327"/>
      <c r="D11" s="197" t="s">
        <v>2</v>
      </c>
      <c r="E11" s="197" t="s">
        <v>83</v>
      </c>
      <c r="F11" s="197" t="s">
        <v>86</v>
      </c>
      <c r="G11" s="197" t="s">
        <v>88</v>
      </c>
      <c r="H11" s="198" t="s">
        <v>90</v>
      </c>
    </row>
    <row r="12" spans="1:10" s="204" customFormat="1" ht="24.95" customHeight="1" x14ac:dyDescent="0.2">
      <c r="A12" s="199" t="s">
        <v>80</v>
      </c>
      <c r="B12" s="200" t="s">
        <v>5</v>
      </c>
      <c r="C12" s="200" t="s">
        <v>78</v>
      </c>
      <c r="D12" s="201">
        <v>1625.8000000000002</v>
      </c>
      <c r="E12" s="201">
        <v>353</v>
      </c>
      <c r="F12" s="201">
        <v>0</v>
      </c>
      <c r="G12" s="202">
        <v>0</v>
      </c>
      <c r="H12" s="203">
        <v>0</v>
      </c>
      <c r="I12" s="225" t="s">
        <v>149</v>
      </c>
    </row>
    <row r="13" spans="1:10" s="204" customFormat="1" ht="24.95" customHeight="1" x14ac:dyDescent="0.2">
      <c r="A13" s="205" t="s">
        <v>79</v>
      </c>
      <c r="B13" s="206" t="s">
        <v>5</v>
      </c>
      <c r="C13" s="206" t="s">
        <v>78</v>
      </c>
      <c r="D13" s="201">
        <v>748.00000000000011</v>
      </c>
      <c r="E13" s="207">
        <v>151</v>
      </c>
      <c r="F13" s="207">
        <v>0</v>
      </c>
      <c r="G13" s="208">
        <v>0</v>
      </c>
      <c r="H13" s="209">
        <v>0</v>
      </c>
      <c r="I13" s="225" t="s">
        <v>149</v>
      </c>
    </row>
    <row r="14" spans="1:10" s="204" customFormat="1" ht="24.95" customHeight="1" x14ac:dyDescent="0.2">
      <c r="A14" s="205" t="s">
        <v>81</v>
      </c>
      <c r="B14" s="206" t="s">
        <v>5</v>
      </c>
      <c r="C14" s="206" t="s">
        <v>78</v>
      </c>
      <c r="D14" s="201">
        <v>160.60000000000002</v>
      </c>
      <c r="E14" s="207">
        <v>25</v>
      </c>
      <c r="F14" s="207">
        <v>0</v>
      </c>
      <c r="G14" s="208">
        <v>0</v>
      </c>
      <c r="H14" s="209">
        <v>0</v>
      </c>
      <c r="I14" s="225" t="s">
        <v>149</v>
      </c>
    </row>
    <row r="15" spans="1:10" ht="24.95" customHeight="1" x14ac:dyDescent="0.2">
      <c r="A15" s="210" t="s">
        <v>87</v>
      </c>
      <c r="B15" s="206" t="s">
        <v>5</v>
      </c>
      <c r="C15" s="206" t="s">
        <v>78</v>
      </c>
      <c r="D15" s="211">
        <f>SUM(D12:D14)</f>
        <v>2534.4</v>
      </c>
      <c r="E15" s="211">
        <f>SUM(E12:E14)</f>
        <v>529</v>
      </c>
      <c r="F15" s="211">
        <f>SUM(F12:F14)</f>
        <v>0</v>
      </c>
      <c r="G15" s="211">
        <f>SUM(G12:G14)</f>
        <v>0</v>
      </c>
      <c r="H15" s="211">
        <f>SUM(H12:H14)</f>
        <v>0</v>
      </c>
      <c r="I15" s="225" t="s">
        <v>149</v>
      </c>
      <c r="J15" s="212"/>
    </row>
    <row r="16" spans="1:10" ht="24.95" customHeight="1" thickBot="1" x14ac:dyDescent="0.25">
      <c r="A16" s="213"/>
      <c r="B16" s="214"/>
      <c r="C16" s="214"/>
      <c r="D16" s="214"/>
      <c r="E16" s="214"/>
      <c r="F16" s="214"/>
      <c r="G16" s="215"/>
      <c r="H16" s="216"/>
    </row>
  </sheetData>
  <mergeCells count="7">
    <mergeCell ref="A1:G1"/>
    <mergeCell ref="A3:C3"/>
    <mergeCell ref="A9:A11"/>
    <mergeCell ref="B9:B11"/>
    <mergeCell ref="C9:C11"/>
    <mergeCell ref="D9:H9"/>
    <mergeCell ref="D10:H1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workbookViewId="0">
      <selection activeCell="B20" sqref="B20"/>
    </sheetView>
  </sheetViews>
  <sheetFormatPr baseColWidth="10" defaultRowHeight="15" x14ac:dyDescent="0.25"/>
  <cols>
    <col min="1" max="1" width="32.28515625" style="226" customWidth="1"/>
    <col min="2" max="4" width="11.42578125" style="226"/>
    <col min="5" max="9" width="11.5703125" style="226" hidden="1" customWidth="1"/>
    <col min="10" max="16384" width="11.42578125" style="226"/>
  </cols>
  <sheetData>
    <row r="1" spans="1:16" ht="15.75" x14ac:dyDescent="0.25">
      <c r="A1" s="338" t="s">
        <v>89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</row>
    <row r="2" spans="1:16" ht="23.25" x14ac:dyDescent="0.25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15.75" x14ac:dyDescent="0.25">
      <c r="A3" s="133" t="s">
        <v>155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221"/>
    </row>
    <row r="4" spans="1:16" ht="15.75" x14ac:dyDescent="0.25">
      <c r="A4" s="133" t="s">
        <v>148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221"/>
    </row>
    <row r="5" spans="1:16" ht="15.75" x14ac:dyDescent="0.25">
      <c r="A5" s="133" t="s">
        <v>146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221"/>
    </row>
    <row r="6" spans="1:16" x14ac:dyDescent="0.2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2"/>
    </row>
    <row r="7" spans="1:16" ht="16.5" thickBot="1" x14ac:dyDescent="0.3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6" ht="15.75" thickBot="1" x14ac:dyDescent="0.3">
      <c r="A8" s="339" t="s">
        <v>8</v>
      </c>
      <c r="B8" s="342" t="s">
        <v>9</v>
      </c>
      <c r="C8" s="342" t="s">
        <v>10</v>
      </c>
      <c r="D8" s="342" t="s">
        <v>11</v>
      </c>
      <c r="E8" s="136" t="s">
        <v>12</v>
      </c>
      <c r="F8" s="136"/>
      <c r="G8" s="136"/>
      <c r="H8" s="136"/>
      <c r="I8" s="136"/>
      <c r="J8" s="345"/>
      <c r="K8" s="346"/>
      <c r="L8" s="346"/>
      <c r="M8" s="346"/>
      <c r="N8" s="346"/>
      <c r="O8" s="346"/>
      <c r="P8" s="347"/>
    </row>
    <row r="9" spans="1:16" ht="15.75" thickBot="1" x14ac:dyDescent="0.3">
      <c r="A9" s="340"/>
      <c r="B9" s="343"/>
      <c r="C9" s="343"/>
      <c r="D9" s="343"/>
      <c r="E9" s="137">
        <v>2002</v>
      </c>
      <c r="F9" s="137">
        <v>2003</v>
      </c>
      <c r="G9" s="137">
        <v>2004</v>
      </c>
      <c r="H9" s="137">
        <v>2005</v>
      </c>
      <c r="I9" s="138">
        <v>2006</v>
      </c>
      <c r="J9" s="227">
        <v>2015</v>
      </c>
      <c r="K9" s="228">
        <v>2016</v>
      </c>
      <c r="L9" s="348">
        <v>2017</v>
      </c>
      <c r="M9" s="349"/>
      <c r="N9" s="349"/>
      <c r="O9" s="350"/>
      <c r="P9" s="224"/>
    </row>
    <row r="10" spans="1:16" ht="36.75" thickBot="1" x14ac:dyDescent="0.3">
      <c r="A10" s="341"/>
      <c r="B10" s="344"/>
      <c r="C10" s="344"/>
      <c r="D10" s="344"/>
      <c r="E10" s="223" t="s">
        <v>13</v>
      </c>
      <c r="F10" s="223" t="s">
        <v>13</v>
      </c>
      <c r="G10" s="223" t="s">
        <v>13</v>
      </c>
      <c r="H10" s="223" t="s">
        <v>14</v>
      </c>
      <c r="I10" s="139" t="s">
        <v>82</v>
      </c>
      <c r="J10" s="229" t="s">
        <v>82</v>
      </c>
      <c r="K10" s="229" t="s">
        <v>82</v>
      </c>
      <c r="L10" s="222" t="s">
        <v>83</v>
      </c>
      <c r="M10" s="223" t="s">
        <v>86</v>
      </c>
      <c r="N10" s="223" t="s">
        <v>88</v>
      </c>
      <c r="O10" s="140" t="s">
        <v>91</v>
      </c>
      <c r="P10" s="141"/>
    </row>
    <row r="11" spans="1:16" ht="15.75" thickBot="1" x14ac:dyDescent="0.3">
      <c r="A11" s="331" t="s">
        <v>15</v>
      </c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3"/>
    </row>
    <row r="12" spans="1:16" x14ac:dyDescent="0.25">
      <c r="A12" s="230" t="s">
        <v>16</v>
      </c>
      <c r="B12" s="231" t="s">
        <v>5</v>
      </c>
      <c r="C12" s="231" t="s">
        <v>17</v>
      </c>
      <c r="D12" s="231" t="s">
        <v>18</v>
      </c>
      <c r="E12" s="232" t="s">
        <v>19</v>
      </c>
      <c r="F12" s="232" t="s">
        <v>19</v>
      </c>
      <c r="G12" s="232" t="s">
        <v>19</v>
      </c>
      <c r="H12" s="233">
        <v>150</v>
      </c>
      <c r="I12" s="234">
        <v>100</v>
      </c>
      <c r="J12" s="235">
        <v>75</v>
      </c>
      <c r="K12" s="235">
        <v>75</v>
      </c>
      <c r="L12" s="236">
        <v>75</v>
      </c>
      <c r="M12" s="237"/>
      <c r="N12" s="237"/>
      <c r="O12" s="238"/>
      <c r="P12" s="239"/>
    </row>
    <row r="13" spans="1:16" x14ac:dyDescent="0.25">
      <c r="A13" s="142" t="s">
        <v>20</v>
      </c>
      <c r="B13" s="143" t="s">
        <v>5</v>
      </c>
      <c r="C13" s="143" t="s">
        <v>17</v>
      </c>
      <c r="D13" s="143" t="s">
        <v>18</v>
      </c>
      <c r="E13" s="144" t="s">
        <v>19</v>
      </c>
      <c r="F13" s="144" t="s">
        <v>19</v>
      </c>
      <c r="G13" s="144" t="s">
        <v>19</v>
      </c>
      <c r="H13" s="143">
        <v>130</v>
      </c>
      <c r="I13" s="183">
        <v>122</v>
      </c>
      <c r="J13" s="240">
        <v>405</v>
      </c>
      <c r="K13" s="240">
        <v>405</v>
      </c>
      <c r="L13" s="241">
        <v>405</v>
      </c>
      <c r="M13" s="146"/>
      <c r="N13" s="146"/>
      <c r="O13" s="147"/>
      <c r="P13" s="145"/>
    </row>
    <row r="14" spans="1:16" x14ac:dyDescent="0.25">
      <c r="A14" s="142" t="s">
        <v>21</v>
      </c>
      <c r="B14" s="143" t="s">
        <v>5</v>
      </c>
      <c r="C14" s="143" t="s">
        <v>22</v>
      </c>
      <c r="D14" s="143" t="s">
        <v>18</v>
      </c>
      <c r="E14" s="144" t="s">
        <v>19</v>
      </c>
      <c r="F14" s="144" t="s">
        <v>19</v>
      </c>
      <c r="G14" s="144" t="s">
        <v>19</v>
      </c>
      <c r="H14" s="144" t="s">
        <v>19</v>
      </c>
      <c r="I14" s="220" t="s">
        <v>84</v>
      </c>
      <c r="J14" s="242">
        <v>1</v>
      </c>
      <c r="K14" s="242">
        <v>0</v>
      </c>
      <c r="L14" s="243">
        <v>0</v>
      </c>
      <c r="M14" s="148"/>
      <c r="N14" s="148"/>
      <c r="O14" s="149"/>
      <c r="P14" s="150"/>
    </row>
    <row r="15" spans="1:16" x14ac:dyDescent="0.25">
      <c r="A15" s="142" t="s">
        <v>23</v>
      </c>
      <c r="B15" s="143" t="s">
        <v>5</v>
      </c>
      <c r="C15" s="143" t="s">
        <v>22</v>
      </c>
      <c r="D15" s="143" t="s">
        <v>18</v>
      </c>
      <c r="E15" s="144" t="s">
        <v>19</v>
      </c>
      <c r="F15" s="144" t="s">
        <v>19</v>
      </c>
      <c r="G15" s="144" t="s">
        <v>19</v>
      </c>
      <c r="H15" s="144" t="s">
        <v>19</v>
      </c>
      <c r="I15" s="220" t="s">
        <v>84</v>
      </c>
      <c r="J15" s="242">
        <v>0</v>
      </c>
      <c r="K15" s="242">
        <v>0</v>
      </c>
      <c r="L15" s="243">
        <v>0</v>
      </c>
      <c r="M15" s="148"/>
      <c r="N15" s="151"/>
      <c r="O15" s="152"/>
      <c r="P15" s="150"/>
    </row>
    <row r="16" spans="1:16" x14ac:dyDescent="0.25">
      <c r="A16" s="142" t="s">
        <v>23</v>
      </c>
      <c r="B16" s="143" t="s">
        <v>24</v>
      </c>
      <c r="C16" s="143" t="s">
        <v>22</v>
      </c>
      <c r="D16" s="143" t="s">
        <v>18</v>
      </c>
      <c r="E16" s="144" t="s">
        <v>19</v>
      </c>
      <c r="F16" s="144" t="s">
        <v>19</v>
      </c>
      <c r="G16" s="144" t="s">
        <v>19</v>
      </c>
      <c r="H16" s="144" t="s">
        <v>19</v>
      </c>
      <c r="I16" s="220" t="s">
        <v>84</v>
      </c>
      <c r="J16" s="242">
        <v>0</v>
      </c>
      <c r="K16" s="242">
        <v>0</v>
      </c>
      <c r="L16" s="243">
        <v>0</v>
      </c>
      <c r="M16" s="148"/>
      <c r="N16" s="148"/>
      <c r="O16" s="149"/>
      <c r="P16" s="150"/>
    </row>
    <row r="17" spans="1:16" x14ac:dyDescent="0.25">
      <c r="A17" s="142" t="s">
        <v>25</v>
      </c>
      <c r="B17" s="143" t="s">
        <v>24</v>
      </c>
      <c r="C17" s="143" t="s">
        <v>26</v>
      </c>
      <c r="D17" s="143" t="s">
        <v>18</v>
      </c>
      <c r="E17" s="153">
        <v>6026929</v>
      </c>
      <c r="F17" s="153">
        <v>4858726</v>
      </c>
      <c r="G17" s="153">
        <v>4801465</v>
      </c>
      <c r="H17" s="154">
        <v>5760000</v>
      </c>
      <c r="I17" s="244">
        <v>9200000</v>
      </c>
      <c r="J17" s="245">
        <v>5126009.0100000007</v>
      </c>
      <c r="K17" s="246">
        <v>3369154.7</v>
      </c>
      <c r="L17" s="247">
        <v>596895.43000000005</v>
      </c>
      <c r="M17" s="155"/>
      <c r="N17" s="156"/>
      <c r="O17" s="157"/>
      <c r="P17" s="158"/>
    </row>
    <row r="18" spans="1:16" x14ac:dyDescent="0.25">
      <c r="A18" s="142" t="s">
        <v>27</v>
      </c>
      <c r="B18" s="143" t="s">
        <v>24</v>
      </c>
      <c r="C18" s="143" t="s">
        <v>17</v>
      </c>
      <c r="D18" s="143" t="s">
        <v>18</v>
      </c>
      <c r="E18" s="159">
        <v>14280</v>
      </c>
      <c r="F18" s="159">
        <v>14280</v>
      </c>
      <c r="G18" s="159">
        <v>14280</v>
      </c>
      <c r="H18" s="160">
        <v>14280</v>
      </c>
      <c r="I18" s="248">
        <v>14280</v>
      </c>
      <c r="J18" s="249">
        <v>0</v>
      </c>
      <c r="K18" s="249">
        <v>0</v>
      </c>
      <c r="L18" s="250">
        <v>0</v>
      </c>
      <c r="M18" s="161"/>
      <c r="N18" s="161"/>
      <c r="O18" s="162"/>
      <c r="P18" s="158"/>
    </row>
    <row r="19" spans="1:16" x14ac:dyDescent="0.25">
      <c r="A19" s="142" t="s">
        <v>28</v>
      </c>
      <c r="B19" s="143" t="s">
        <v>24</v>
      </c>
      <c r="C19" s="143" t="s">
        <v>22</v>
      </c>
      <c r="D19" s="143" t="s">
        <v>18</v>
      </c>
      <c r="E19" s="159">
        <v>20492</v>
      </c>
      <c r="F19" s="159">
        <v>971505</v>
      </c>
      <c r="G19" s="159">
        <v>3837</v>
      </c>
      <c r="H19" s="144" t="s">
        <v>19</v>
      </c>
      <c r="I19" s="251"/>
      <c r="J19" s="252">
        <v>255981</v>
      </c>
      <c r="K19" s="253">
        <v>137704</v>
      </c>
      <c r="L19" s="254">
        <v>19672</v>
      </c>
      <c r="M19" s="163"/>
      <c r="N19" s="164"/>
      <c r="O19" s="165"/>
      <c r="P19" s="166"/>
    </row>
    <row r="20" spans="1:16" ht="15.75" thickBot="1" x14ac:dyDescent="0.3">
      <c r="A20" s="142"/>
      <c r="B20" s="143"/>
      <c r="C20" s="143"/>
      <c r="D20" s="143"/>
      <c r="E20" s="143"/>
      <c r="F20" s="143"/>
      <c r="G20" s="143"/>
      <c r="H20" s="143"/>
      <c r="I20" s="183"/>
      <c r="J20" s="255"/>
      <c r="K20" s="255"/>
      <c r="L20" s="256"/>
      <c r="M20" s="167"/>
      <c r="N20" s="168"/>
      <c r="O20" s="169" t="s">
        <v>149</v>
      </c>
      <c r="P20" s="145"/>
    </row>
    <row r="21" spans="1:16" ht="15.75" thickBot="1" x14ac:dyDescent="0.3">
      <c r="A21" s="334"/>
      <c r="B21" s="335"/>
      <c r="C21" s="335"/>
      <c r="D21" s="335"/>
      <c r="E21" s="335"/>
      <c r="F21" s="335"/>
      <c r="G21" s="335"/>
      <c r="H21" s="335"/>
      <c r="I21" s="335"/>
      <c r="J21" s="336"/>
      <c r="K21" s="336"/>
      <c r="L21" s="336"/>
      <c r="M21" s="336"/>
      <c r="N21" s="336"/>
      <c r="O21" s="336"/>
      <c r="P21" s="337"/>
    </row>
    <row r="22" spans="1:16" ht="15.75" thickBot="1" x14ac:dyDescent="0.3">
      <c r="A22" s="170" t="s">
        <v>30</v>
      </c>
      <c r="B22" s="171"/>
      <c r="C22" s="171"/>
      <c r="D22" s="171"/>
      <c r="E22" s="171"/>
      <c r="F22" s="171"/>
      <c r="G22" s="171"/>
      <c r="H22" s="171"/>
      <c r="I22" s="171"/>
      <c r="J22" s="257"/>
      <c r="K22" s="257"/>
      <c r="L22" s="172"/>
      <c r="M22" s="173"/>
      <c r="N22" s="173"/>
      <c r="O22" s="174"/>
      <c r="P22" s="175"/>
    </row>
    <row r="23" spans="1:16" x14ac:dyDescent="0.25">
      <c r="A23" s="176" t="s">
        <v>31</v>
      </c>
      <c r="B23" s="143" t="s">
        <v>5</v>
      </c>
      <c r="C23" s="143" t="s">
        <v>32</v>
      </c>
      <c r="D23" s="143" t="s">
        <v>33</v>
      </c>
      <c r="E23" s="143">
        <v>33</v>
      </c>
      <c r="F23" s="143">
        <v>33</v>
      </c>
      <c r="G23" s="143">
        <v>48</v>
      </c>
      <c r="H23" s="143">
        <v>48</v>
      </c>
      <c r="I23" s="183">
        <v>47</v>
      </c>
      <c r="J23" s="235">
        <v>34</v>
      </c>
      <c r="K23" s="258">
        <f>+K24+K28+K29+K31+K35</f>
        <v>33</v>
      </c>
      <c r="L23" s="177">
        <f>+L24+L28+L29+L31</f>
        <v>33</v>
      </c>
      <c r="M23" s="178"/>
      <c r="N23" s="259"/>
      <c r="O23" s="217"/>
      <c r="P23" s="145"/>
    </row>
    <row r="24" spans="1:16" x14ac:dyDescent="0.25">
      <c r="A24" s="176" t="s">
        <v>34</v>
      </c>
      <c r="B24" s="143" t="s">
        <v>5</v>
      </c>
      <c r="C24" s="143" t="s">
        <v>32</v>
      </c>
      <c r="D24" s="143" t="s">
        <v>33</v>
      </c>
      <c r="E24" s="143">
        <v>16</v>
      </c>
      <c r="F24" s="143">
        <v>16</v>
      </c>
      <c r="G24" s="143">
        <v>22</v>
      </c>
      <c r="H24" s="143">
        <v>22</v>
      </c>
      <c r="I24" s="183">
        <v>19</v>
      </c>
      <c r="J24" s="240">
        <v>17</v>
      </c>
      <c r="K24" s="260">
        <f>SUM(K25:K27)</f>
        <v>16</v>
      </c>
      <c r="L24" s="177">
        <f>+L25+L26+L27</f>
        <v>17</v>
      </c>
      <c r="M24" s="179"/>
      <c r="N24" s="179"/>
      <c r="O24" s="261"/>
      <c r="P24" s="145"/>
    </row>
    <row r="25" spans="1:16" x14ac:dyDescent="0.25">
      <c r="A25" s="142" t="s">
        <v>35</v>
      </c>
      <c r="B25" s="143" t="s">
        <v>5</v>
      </c>
      <c r="C25" s="143" t="s">
        <v>32</v>
      </c>
      <c r="D25" s="143" t="s">
        <v>33</v>
      </c>
      <c r="E25" s="143">
        <v>1</v>
      </c>
      <c r="F25" s="143">
        <v>1</v>
      </c>
      <c r="G25" s="143">
        <v>1</v>
      </c>
      <c r="H25" s="143">
        <v>1</v>
      </c>
      <c r="I25" s="183">
        <v>1</v>
      </c>
      <c r="J25" s="240">
        <v>2</v>
      </c>
      <c r="K25" s="260">
        <v>2</v>
      </c>
      <c r="L25" s="177">
        <v>2</v>
      </c>
      <c r="M25" s="179"/>
      <c r="N25" s="179"/>
      <c r="O25" s="261"/>
      <c r="P25" s="145"/>
    </row>
    <row r="26" spans="1:16" x14ac:dyDescent="0.25">
      <c r="A26" s="142" t="s">
        <v>36</v>
      </c>
      <c r="B26" s="143" t="s">
        <v>5</v>
      </c>
      <c r="C26" s="143" t="s">
        <v>32</v>
      </c>
      <c r="D26" s="143" t="s">
        <v>33</v>
      </c>
      <c r="E26" s="143">
        <v>5</v>
      </c>
      <c r="F26" s="143">
        <v>5</v>
      </c>
      <c r="G26" s="143">
        <v>6</v>
      </c>
      <c r="H26" s="143">
        <v>6</v>
      </c>
      <c r="I26" s="183">
        <v>5</v>
      </c>
      <c r="J26" s="240">
        <v>2</v>
      </c>
      <c r="K26" s="260">
        <v>2</v>
      </c>
      <c r="L26" s="177">
        <v>3</v>
      </c>
      <c r="M26" s="179"/>
      <c r="N26" s="179"/>
      <c r="O26" s="261"/>
      <c r="P26" s="145"/>
    </row>
    <row r="27" spans="1:16" x14ac:dyDescent="0.25">
      <c r="A27" s="142" t="s">
        <v>37</v>
      </c>
      <c r="B27" s="143" t="s">
        <v>5</v>
      </c>
      <c r="C27" s="143" t="s">
        <v>32</v>
      </c>
      <c r="D27" s="143" t="s">
        <v>33</v>
      </c>
      <c r="E27" s="143">
        <v>10</v>
      </c>
      <c r="F27" s="143">
        <v>10</v>
      </c>
      <c r="G27" s="143">
        <v>15</v>
      </c>
      <c r="H27" s="143">
        <v>15</v>
      </c>
      <c r="I27" s="183">
        <v>13</v>
      </c>
      <c r="J27" s="240">
        <v>13</v>
      </c>
      <c r="K27" s="260">
        <v>12</v>
      </c>
      <c r="L27" s="177">
        <v>12</v>
      </c>
      <c r="M27" s="179"/>
      <c r="N27" s="179"/>
      <c r="O27" s="261"/>
      <c r="P27" s="145"/>
    </row>
    <row r="28" spans="1:16" x14ac:dyDescent="0.25">
      <c r="A28" s="176" t="s">
        <v>38</v>
      </c>
      <c r="B28" s="143" t="s">
        <v>5</v>
      </c>
      <c r="C28" s="143" t="s">
        <v>32</v>
      </c>
      <c r="D28" s="143" t="s">
        <v>33</v>
      </c>
      <c r="E28" s="143">
        <v>15</v>
      </c>
      <c r="F28" s="143">
        <v>15</v>
      </c>
      <c r="G28" s="143">
        <v>24</v>
      </c>
      <c r="H28" s="143">
        <v>24</v>
      </c>
      <c r="I28" s="183">
        <v>26</v>
      </c>
      <c r="J28" s="240">
        <v>15</v>
      </c>
      <c r="K28" s="260">
        <v>14</v>
      </c>
      <c r="L28" s="177">
        <v>14</v>
      </c>
      <c r="M28" s="179"/>
      <c r="N28" s="179"/>
      <c r="O28" s="261"/>
      <c r="P28" s="145"/>
    </row>
    <row r="29" spans="1:16" x14ac:dyDescent="0.25">
      <c r="A29" s="142" t="s">
        <v>39</v>
      </c>
      <c r="B29" s="143" t="s">
        <v>5</v>
      </c>
      <c r="C29" s="143" t="s">
        <v>32</v>
      </c>
      <c r="D29" s="143" t="s">
        <v>33</v>
      </c>
      <c r="E29" s="143">
        <v>2</v>
      </c>
      <c r="F29" s="143">
        <v>2</v>
      </c>
      <c r="G29" s="143">
        <v>2</v>
      </c>
      <c r="H29" s="143">
        <v>2</v>
      </c>
      <c r="I29" s="183">
        <v>2</v>
      </c>
      <c r="J29" s="240">
        <v>1</v>
      </c>
      <c r="K29" s="260">
        <v>1</v>
      </c>
      <c r="L29" s="177">
        <v>1</v>
      </c>
      <c r="M29" s="179"/>
      <c r="N29" s="179"/>
      <c r="O29" s="261"/>
      <c r="P29" s="145"/>
    </row>
    <row r="30" spans="1:16" x14ac:dyDescent="0.25">
      <c r="A30" s="142" t="s">
        <v>40</v>
      </c>
      <c r="B30" s="143" t="s">
        <v>5</v>
      </c>
      <c r="C30" s="143" t="s">
        <v>32</v>
      </c>
      <c r="D30" s="143" t="s">
        <v>33</v>
      </c>
      <c r="E30" s="143">
        <v>35</v>
      </c>
      <c r="F30" s="143">
        <v>33</v>
      </c>
      <c r="G30" s="143">
        <v>48</v>
      </c>
      <c r="H30" s="143">
        <v>48</v>
      </c>
      <c r="I30" s="183">
        <v>47</v>
      </c>
      <c r="J30" s="240">
        <v>34</v>
      </c>
      <c r="K30" s="260">
        <f>SUM(K25:K29)</f>
        <v>31</v>
      </c>
      <c r="L30" s="177">
        <f>+L31+L32+L33+L34+L35</f>
        <v>33</v>
      </c>
      <c r="M30" s="179"/>
      <c r="N30" s="179"/>
      <c r="O30" s="261"/>
      <c r="P30" s="145"/>
    </row>
    <row r="31" spans="1:16" x14ac:dyDescent="0.25">
      <c r="A31" s="142" t="s">
        <v>41</v>
      </c>
      <c r="B31" s="143" t="s">
        <v>5</v>
      </c>
      <c r="C31" s="143" t="s">
        <v>32</v>
      </c>
      <c r="D31" s="143" t="s">
        <v>33</v>
      </c>
      <c r="E31" s="143">
        <v>1</v>
      </c>
      <c r="F31" s="143">
        <v>1</v>
      </c>
      <c r="G31" s="143">
        <v>1</v>
      </c>
      <c r="H31" s="143">
        <v>1</v>
      </c>
      <c r="I31" s="183">
        <v>1</v>
      </c>
      <c r="J31" s="240">
        <v>1</v>
      </c>
      <c r="K31" s="260">
        <v>1</v>
      </c>
      <c r="L31" s="177">
        <v>1</v>
      </c>
      <c r="M31" s="179"/>
      <c r="N31" s="179"/>
      <c r="O31" s="261"/>
      <c r="P31" s="145"/>
    </row>
    <row r="32" spans="1:16" x14ac:dyDescent="0.25">
      <c r="A32" s="142" t="s">
        <v>42</v>
      </c>
      <c r="B32" s="143" t="s">
        <v>5</v>
      </c>
      <c r="C32" s="143" t="s">
        <v>32</v>
      </c>
      <c r="D32" s="143" t="s">
        <v>33</v>
      </c>
      <c r="E32" s="143">
        <v>6</v>
      </c>
      <c r="F32" s="143">
        <v>6</v>
      </c>
      <c r="G32" s="143">
        <v>28</v>
      </c>
      <c r="H32" s="143">
        <v>30</v>
      </c>
      <c r="I32" s="183">
        <v>30</v>
      </c>
      <c r="J32" s="240">
        <v>24</v>
      </c>
      <c r="K32" s="262">
        <v>23</v>
      </c>
      <c r="L32" s="177">
        <v>26</v>
      </c>
      <c r="M32" s="178"/>
      <c r="N32" s="263"/>
      <c r="O32" s="218"/>
      <c r="P32" s="145"/>
    </row>
    <row r="33" spans="1:16" x14ac:dyDescent="0.25">
      <c r="A33" s="142" t="s">
        <v>43</v>
      </c>
      <c r="B33" s="143" t="s">
        <v>5</v>
      </c>
      <c r="C33" s="143" t="s">
        <v>32</v>
      </c>
      <c r="D33" s="143" t="s">
        <v>33</v>
      </c>
      <c r="E33" s="143">
        <v>22</v>
      </c>
      <c r="F33" s="143">
        <v>22</v>
      </c>
      <c r="G33" s="143">
        <v>2</v>
      </c>
      <c r="H33" s="143">
        <v>2</v>
      </c>
      <c r="I33" s="183">
        <v>3</v>
      </c>
      <c r="J33" s="240">
        <v>2</v>
      </c>
      <c r="K33" s="260">
        <v>2</v>
      </c>
      <c r="L33" s="177">
        <v>2</v>
      </c>
      <c r="M33" s="178"/>
      <c r="N33" s="179"/>
      <c r="O33" s="147"/>
      <c r="P33" s="145"/>
    </row>
    <row r="34" spans="1:16" x14ac:dyDescent="0.25">
      <c r="A34" s="142" t="s">
        <v>44</v>
      </c>
      <c r="B34" s="143" t="s">
        <v>5</v>
      </c>
      <c r="C34" s="143" t="s">
        <v>32</v>
      </c>
      <c r="D34" s="143" t="s">
        <v>33</v>
      </c>
      <c r="E34" s="143">
        <v>2</v>
      </c>
      <c r="F34" s="143">
        <v>2</v>
      </c>
      <c r="G34" s="143">
        <v>4</v>
      </c>
      <c r="H34" s="143">
        <v>2</v>
      </c>
      <c r="I34" s="183">
        <v>3</v>
      </c>
      <c r="J34" s="240">
        <v>2</v>
      </c>
      <c r="K34" s="260">
        <v>3</v>
      </c>
      <c r="L34" s="177">
        <v>2</v>
      </c>
      <c r="M34" s="178"/>
      <c r="N34" s="179"/>
      <c r="O34" s="147"/>
      <c r="P34" s="145"/>
    </row>
    <row r="35" spans="1:16" x14ac:dyDescent="0.25">
      <c r="A35" s="142" t="s">
        <v>45</v>
      </c>
      <c r="B35" s="143" t="s">
        <v>5</v>
      </c>
      <c r="C35" s="143" t="s">
        <v>32</v>
      </c>
      <c r="D35" s="143" t="s">
        <v>33</v>
      </c>
      <c r="E35" s="143">
        <v>2</v>
      </c>
      <c r="F35" s="143">
        <v>2</v>
      </c>
      <c r="G35" s="143">
        <v>13</v>
      </c>
      <c r="H35" s="143">
        <v>13</v>
      </c>
      <c r="I35" s="183">
        <v>13</v>
      </c>
      <c r="J35" s="240">
        <v>1</v>
      </c>
      <c r="K35" s="260">
        <v>1</v>
      </c>
      <c r="L35" s="177">
        <v>2</v>
      </c>
      <c r="M35" s="178"/>
      <c r="N35" s="179"/>
      <c r="O35" s="147"/>
      <c r="P35" s="145"/>
    </row>
    <row r="36" spans="1:16" x14ac:dyDescent="0.25">
      <c r="A36" s="142" t="s">
        <v>46</v>
      </c>
      <c r="B36" s="143" t="s">
        <v>5</v>
      </c>
      <c r="C36" s="143" t="s">
        <v>32</v>
      </c>
      <c r="D36" s="143" t="s">
        <v>33</v>
      </c>
      <c r="E36" s="143">
        <v>0</v>
      </c>
      <c r="F36" s="143">
        <v>0</v>
      </c>
      <c r="G36" s="143">
        <v>0</v>
      </c>
      <c r="H36" s="143">
        <v>0</v>
      </c>
      <c r="I36" s="183">
        <v>0</v>
      </c>
      <c r="J36" s="240">
        <v>0</v>
      </c>
      <c r="K36" s="260">
        <v>0</v>
      </c>
      <c r="L36" s="177">
        <v>0</v>
      </c>
      <c r="M36" s="178"/>
      <c r="N36" s="179"/>
      <c r="O36" s="147"/>
      <c r="P36" s="145"/>
    </row>
    <row r="37" spans="1:16" ht="15.75" thickBot="1" x14ac:dyDescent="0.3">
      <c r="A37" s="142" t="s">
        <v>47</v>
      </c>
      <c r="B37" s="143" t="s">
        <v>5</v>
      </c>
      <c r="C37" s="143"/>
      <c r="D37" s="143" t="s">
        <v>33</v>
      </c>
      <c r="E37" s="143">
        <v>2</v>
      </c>
      <c r="F37" s="143">
        <v>2</v>
      </c>
      <c r="G37" s="143">
        <v>2</v>
      </c>
      <c r="H37" s="143">
        <v>2</v>
      </c>
      <c r="I37" s="183">
        <v>0</v>
      </c>
      <c r="J37" s="255">
        <v>0</v>
      </c>
      <c r="K37" s="264">
        <v>0</v>
      </c>
      <c r="L37" s="177">
        <v>0</v>
      </c>
      <c r="M37" s="178"/>
      <c r="N37" s="179"/>
      <c r="O37" s="147"/>
      <c r="P37" s="145"/>
    </row>
    <row r="38" spans="1:16" ht="15.75" thickBot="1" x14ac:dyDescent="0.3">
      <c r="A38" s="170" t="s">
        <v>48</v>
      </c>
      <c r="B38" s="171"/>
      <c r="C38" s="171"/>
      <c r="D38" s="171"/>
      <c r="E38" s="171"/>
      <c r="F38" s="171"/>
      <c r="G38" s="171"/>
      <c r="H38" s="171"/>
      <c r="I38" s="171"/>
      <c r="J38" s="257"/>
      <c r="K38" s="265"/>
      <c r="L38" s="180"/>
      <c r="M38" s="181"/>
      <c r="N38" s="171"/>
      <c r="O38" s="182"/>
      <c r="P38" s="175"/>
    </row>
    <row r="39" spans="1:16" x14ac:dyDescent="0.25">
      <c r="A39" s="176" t="s">
        <v>49</v>
      </c>
      <c r="B39" s="143" t="s">
        <v>5</v>
      </c>
      <c r="C39" s="143" t="s">
        <v>32</v>
      </c>
      <c r="D39" s="143" t="s">
        <v>18</v>
      </c>
      <c r="E39" s="143">
        <v>0</v>
      </c>
      <c r="F39" s="143">
        <v>0</v>
      </c>
      <c r="G39" s="143">
        <v>0</v>
      </c>
      <c r="H39" s="143">
        <v>0</v>
      </c>
      <c r="I39" s="183">
        <v>0</v>
      </c>
      <c r="J39" s="235">
        <v>0</v>
      </c>
      <c r="K39" s="266">
        <v>0</v>
      </c>
      <c r="L39" s="177">
        <v>0</v>
      </c>
      <c r="M39" s="184"/>
      <c r="N39" s="179"/>
      <c r="O39" s="147"/>
      <c r="P39" s="145"/>
    </row>
    <row r="40" spans="1:16" x14ac:dyDescent="0.25">
      <c r="A40" s="176" t="s">
        <v>50</v>
      </c>
      <c r="B40" s="143" t="s">
        <v>5</v>
      </c>
      <c r="C40" s="143" t="s">
        <v>32</v>
      </c>
      <c r="D40" s="143" t="s">
        <v>33</v>
      </c>
      <c r="E40" s="143">
        <v>77</v>
      </c>
      <c r="F40" s="143">
        <v>77</v>
      </c>
      <c r="G40" s="143">
        <v>83</v>
      </c>
      <c r="H40" s="143">
        <v>111</v>
      </c>
      <c r="I40" s="183">
        <v>99</v>
      </c>
      <c r="J40" s="240">
        <v>109</v>
      </c>
      <c r="K40" s="260">
        <v>109</v>
      </c>
      <c r="L40" s="177">
        <v>109</v>
      </c>
      <c r="M40" s="178"/>
      <c r="N40" s="179"/>
      <c r="O40" s="147"/>
      <c r="P40" s="145"/>
    </row>
    <row r="41" spans="1:16" x14ac:dyDescent="0.25">
      <c r="A41" s="142" t="s">
        <v>51</v>
      </c>
      <c r="B41" s="143" t="s">
        <v>5</v>
      </c>
      <c r="C41" s="143" t="s">
        <v>32</v>
      </c>
      <c r="D41" s="143" t="s">
        <v>33</v>
      </c>
      <c r="E41" s="143">
        <v>58</v>
      </c>
      <c r="F41" s="143">
        <v>58</v>
      </c>
      <c r="G41" s="143">
        <v>64</v>
      </c>
      <c r="H41" s="143">
        <v>87</v>
      </c>
      <c r="I41" s="183">
        <v>80</v>
      </c>
      <c r="J41" s="240">
        <v>78</v>
      </c>
      <c r="K41" s="260">
        <f>78+14+26</f>
        <v>118</v>
      </c>
      <c r="L41" s="177">
        <v>118</v>
      </c>
      <c r="M41" s="178"/>
      <c r="N41" s="179"/>
      <c r="O41" s="147"/>
      <c r="P41" s="145"/>
    </row>
    <row r="42" spans="1:16" ht="15.75" thickBot="1" x14ac:dyDescent="0.3">
      <c r="A42" s="185" t="s">
        <v>52</v>
      </c>
      <c r="B42" s="186" t="s">
        <v>5</v>
      </c>
      <c r="C42" s="186" t="s">
        <v>32</v>
      </c>
      <c r="D42" s="186" t="s">
        <v>33</v>
      </c>
      <c r="E42" s="186">
        <v>19</v>
      </c>
      <c r="F42" s="186">
        <v>19</v>
      </c>
      <c r="G42" s="186">
        <v>19</v>
      </c>
      <c r="H42" s="186">
        <v>24</v>
      </c>
      <c r="I42" s="187">
        <v>19</v>
      </c>
      <c r="J42" s="255">
        <v>31</v>
      </c>
      <c r="K42" s="264">
        <f>31+4</f>
        <v>35</v>
      </c>
      <c r="L42" s="188">
        <v>35</v>
      </c>
      <c r="M42" s="189"/>
      <c r="N42" s="168"/>
      <c r="O42" s="169"/>
      <c r="P42" s="190"/>
    </row>
  </sheetData>
  <mergeCells count="9">
    <mergeCell ref="A11:P11"/>
    <mergeCell ref="A21:P21"/>
    <mergeCell ref="A1:P1"/>
    <mergeCell ref="A8:A10"/>
    <mergeCell ref="B8:B10"/>
    <mergeCell ref="C8:C10"/>
    <mergeCell ref="D8:D10"/>
    <mergeCell ref="J8:P8"/>
    <mergeCell ref="L9:O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C1" workbookViewId="0">
      <selection activeCell="D15" sqref="D15"/>
    </sheetView>
  </sheetViews>
  <sheetFormatPr baseColWidth="10" defaultRowHeight="15" x14ac:dyDescent="0.25"/>
  <cols>
    <col min="1" max="1" width="35.7109375" style="226" bestFit="1" customWidth="1"/>
    <col min="2" max="2" width="52.140625" style="226" bestFit="1" customWidth="1"/>
    <col min="3" max="3" width="17.85546875" style="226" bestFit="1" customWidth="1"/>
    <col min="4" max="4" width="33.28515625" style="226" bestFit="1" customWidth="1"/>
    <col min="5" max="8" width="17.5703125" style="226" bestFit="1" customWidth="1"/>
    <col min="9" max="12" width="11.42578125" style="226"/>
    <col min="13" max="14" width="17.5703125" style="226" bestFit="1" customWidth="1"/>
    <col min="15" max="16384" width="11.42578125" style="226"/>
  </cols>
  <sheetData>
    <row r="1" spans="1:14" x14ac:dyDescent="0.25">
      <c r="A1" s="354" t="s">
        <v>151</v>
      </c>
      <c r="B1" s="355"/>
      <c r="C1" s="356" t="s">
        <v>4</v>
      </c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4" x14ac:dyDescent="0.25">
      <c r="A2" s="354" t="s">
        <v>98</v>
      </c>
      <c r="B2" s="355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</row>
    <row r="3" spans="1:14" x14ac:dyDescent="0.25">
      <c r="A3" s="354" t="s">
        <v>152</v>
      </c>
      <c r="B3" s="355"/>
      <c r="C3" s="357" t="s">
        <v>156</v>
      </c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</row>
    <row r="4" spans="1:14" x14ac:dyDescent="0.25">
      <c r="A4" s="353" t="s">
        <v>99</v>
      </c>
      <c r="B4" s="358"/>
      <c r="C4" s="360" t="s">
        <v>100</v>
      </c>
      <c r="D4" s="360" t="s">
        <v>101</v>
      </c>
      <c r="E4" s="351">
        <v>2015</v>
      </c>
      <c r="F4" s="351">
        <v>2016</v>
      </c>
      <c r="G4" s="351">
        <v>2017</v>
      </c>
      <c r="H4" s="366">
        <v>2017</v>
      </c>
      <c r="I4" s="367"/>
      <c r="J4" s="367"/>
      <c r="K4" s="367"/>
      <c r="L4" s="356">
        <v>2017</v>
      </c>
      <c r="M4" s="351">
        <v>2018</v>
      </c>
      <c r="N4" s="351">
        <v>2019</v>
      </c>
    </row>
    <row r="5" spans="1:14" x14ac:dyDescent="0.25">
      <c r="A5" s="359"/>
      <c r="B5" s="358"/>
      <c r="C5" s="361"/>
      <c r="D5" s="362"/>
      <c r="E5" s="352"/>
      <c r="F5" s="352"/>
      <c r="G5" s="352"/>
      <c r="H5" s="368"/>
      <c r="I5" s="369"/>
      <c r="J5" s="369"/>
      <c r="K5" s="369"/>
      <c r="L5" s="356"/>
      <c r="M5" s="352"/>
      <c r="N5" s="352"/>
    </row>
    <row r="6" spans="1:14" ht="51" x14ac:dyDescent="0.25">
      <c r="A6" s="359"/>
      <c r="B6" s="358"/>
      <c r="C6" s="361"/>
      <c r="D6" s="362"/>
      <c r="E6" s="267" t="s">
        <v>102</v>
      </c>
      <c r="F6" s="267" t="s">
        <v>102</v>
      </c>
      <c r="G6" s="267" t="s">
        <v>103</v>
      </c>
      <c r="H6" s="267" t="s">
        <v>104</v>
      </c>
      <c r="I6" s="267" t="s">
        <v>105</v>
      </c>
      <c r="J6" s="267" t="s">
        <v>106</v>
      </c>
      <c r="K6" s="267" t="s">
        <v>107</v>
      </c>
      <c r="L6" s="267" t="s">
        <v>102</v>
      </c>
      <c r="M6" s="268" t="s">
        <v>103</v>
      </c>
      <c r="N6" s="267" t="s">
        <v>103</v>
      </c>
    </row>
    <row r="7" spans="1:14" x14ac:dyDescent="0.25">
      <c r="A7" s="353" t="s">
        <v>108</v>
      </c>
      <c r="B7" s="269" t="s">
        <v>109</v>
      </c>
      <c r="C7" s="270" t="s">
        <v>5</v>
      </c>
      <c r="D7" s="270" t="s">
        <v>53</v>
      </c>
      <c r="E7" s="271">
        <v>28537924</v>
      </c>
      <c r="F7" s="271">
        <v>25895055</v>
      </c>
      <c r="G7" s="272">
        <v>28484560.500000004</v>
      </c>
      <c r="H7" s="273">
        <v>6104687</v>
      </c>
      <c r="I7" s="274"/>
      <c r="J7" s="274"/>
      <c r="K7" s="275"/>
      <c r="L7" s="274"/>
      <c r="M7" s="274">
        <v>31333016.550000008</v>
      </c>
      <c r="N7" s="274">
        <v>34466318.205000013</v>
      </c>
    </row>
    <row r="8" spans="1:14" x14ac:dyDescent="0.25">
      <c r="A8" s="353"/>
      <c r="B8" s="269" t="s">
        <v>110</v>
      </c>
      <c r="C8" s="270" t="s">
        <v>24</v>
      </c>
      <c r="D8" s="270" t="s">
        <v>53</v>
      </c>
      <c r="E8" s="271">
        <v>1171827973.158</v>
      </c>
      <c r="F8" s="271">
        <v>1411708908.4000001</v>
      </c>
      <c r="G8" s="274">
        <v>1694050690.0800002</v>
      </c>
      <c r="H8" s="274">
        <v>368999005.07999998</v>
      </c>
      <c r="I8" s="274"/>
      <c r="J8" s="276"/>
      <c r="K8" s="274"/>
      <c r="L8" s="274"/>
      <c r="M8" s="274">
        <v>2032860828.0960002</v>
      </c>
      <c r="N8" s="274">
        <v>2439432993.7151999</v>
      </c>
    </row>
    <row r="9" spans="1:14" x14ac:dyDescent="0.25">
      <c r="A9" s="353"/>
      <c r="B9" s="269" t="s">
        <v>111</v>
      </c>
      <c r="C9" s="270" t="s">
        <v>24</v>
      </c>
      <c r="D9" s="270" t="s">
        <v>53</v>
      </c>
      <c r="E9" s="271">
        <v>73637576</v>
      </c>
      <c r="F9" s="271">
        <v>84792293</v>
      </c>
      <c r="G9" s="274">
        <v>97511136.949999988</v>
      </c>
      <c r="H9" s="273">
        <v>15235931</v>
      </c>
      <c r="I9" s="274"/>
      <c r="J9" s="276"/>
      <c r="K9" s="274"/>
      <c r="L9" s="274"/>
      <c r="M9" s="274">
        <v>97511136.949999988</v>
      </c>
      <c r="N9" s="274">
        <v>112137807.49249998</v>
      </c>
    </row>
    <row r="10" spans="1:14" x14ac:dyDescent="0.25">
      <c r="A10" s="353"/>
      <c r="B10" s="277" t="s">
        <v>112</v>
      </c>
      <c r="C10" s="278" t="s">
        <v>5</v>
      </c>
      <c r="D10" s="278" t="s">
        <v>53</v>
      </c>
      <c r="E10" s="279">
        <v>593</v>
      </c>
      <c r="F10" s="279">
        <v>593</v>
      </c>
      <c r="G10" s="279">
        <v>633</v>
      </c>
      <c r="H10" s="280">
        <v>593</v>
      </c>
      <c r="I10" s="279"/>
      <c r="J10" s="279"/>
      <c r="K10" s="279"/>
      <c r="L10" s="279"/>
      <c r="M10" s="279">
        <v>639.33000000000004</v>
      </c>
      <c r="N10" s="279">
        <v>645.72329999999999</v>
      </c>
    </row>
    <row r="11" spans="1:14" x14ac:dyDescent="0.25">
      <c r="A11" s="353"/>
      <c r="B11" s="269" t="s">
        <v>113</v>
      </c>
      <c r="C11" s="270" t="s">
        <v>24</v>
      </c>
      <c r="D11" s="270" t="s">
        <v>53</v>
      </c>
      <c r="E11" s="271">
        <v>849681774</v>
      </c>
      <c r="F11" s="271">
        <v>837529502</v>
      </c>
      <c r="G11" s="274">
        <v>829237130.69306934</v>
      </c>
      <c r="H11" s="274">
        <v>235926437</v>
      </c>
      <c r="I11" s="274"/>
      <c r="J11" s="274"/>
      <c r="K11" s="274"/>
      <c r="L11" s="274"/>
      <c r="M11" s="274">
        <v>1468250105.4719999</v>
      </c>
      <c r="N11" s="274">
        <v>1223541754.5599999</v>
      </c>
    </row>
    <row r="12" spans="1:14" x14ac:dyDescent="0.25">
      <c r="A12" s="353"/>
      <c r="B12" s="269" t="s">
        <v>114</v>
      </c>
      <c r="C12" s="270" t="s">
        <v>115</v>
      </c>
      <c r="D12" s="270" t="s">
        <v>53</v>
      </c>
      <c r="E12" s="271">
        <v>1405822.3675203959</v>
      </c>
      <c r="F12" s="271">
        <v>1412360.0370994941</v>
      </c>
      <c r="G12" s="274">
        <v>1310011.2649179611</v>
      </c>
      <c r="H12" s="274">
        <v>397852.33895446878</v>
      </c>
      <c r="I12" s="274"/>
      <c r="J12" s="274"/>
      <c r="K12" s="274"/>
      <c r="L12" s="274"/>
      <c r="M12" s="274">
        <v>2429261.0510752439</v>
      </c>
      <c r="N12" s="274">
        <v>2024384.2092293699</v>
      </c>
    </row>
    <row r="13" spans="1:14" x14ac:dyDescent="0.25">
      <c r="A13" s="353"/>
      <c r="B13" s="277" t="s">
        <v>116</v>
      </c>
      <c r="C13" s="278" t="s">
        <v>5</v>
      </c>
      <c r="D13" s="278" t="s">
        <v>53</v>
      </c>
      <c r="E13" s="279">
        <v>1722</v>
      </c>
      <c r="F13" s="279">
        <v>1566</v>
      </c>
      <c r="G13" s="279">
        <v>1160</v>
      </c>
      <c r="H13" s="281">
        <v>1466</v>
      </c>
      <c r="I13" s="279"/>
      <c r="J13" s="279"/>
      <c r="K13" s="279"/>
      <c r="L13" s="279"/>
      <c r="M13" s="279">
        <v>1171.5999999999999</v>
      </c>
      <c r="N13" s="279">
        <v>1183.316</v>
      </c>
    </row>
    <row r="14" spans="1:14" x14ac:dyDescent="0.25">
      <c r="A14" s="353"/>
      <c r="B14" s="269" t="s">
        <v>117</v>
      </c>
      <c r="C14" s="270" t="s">
        <v>24</v>
      </c>
      <c r="D14" s="270" t="s">
        <v>53</v>
      </c>
      <c r="E14" s="282">
        <v>1847201081</v>
      </c>
      <c r="F14" s="282">
        <v>2125924826</v>
      </c>
      <c r="G14" s="274">
        <v>2279426011.4383283</v>
      </c>
      <c r="H14" s="283">
        <v>578431987</v>
      </c>
      <c r="I14" s="283"/>
      <c r="J14" s="283"/>
      <c r="K14" s="283"/>
      <c r="L14" s="283"/>
      <c r="M14" s="283">
        <v>2621339913.1540775</v>
      </c>
      <c r="N14" s="283">
        <v>3014540900.1271892</v>
      </c>
    </row>
    <row r="15" spans="1:14" x14ac:dyDescent="0.25">
      <c r="A15" s="353"/>
      <c r="B15" s="269" t="s">
        <v>118</v>
      </c>
      <c r="C15" s="270" t="s">
        <v>115</v>
      </c>
      <c r="D15" s="270" t="s">
        <v>7</v>
      </c>
      <c r="E15" s="282">
        <v>484017545.65635598</v>
      </c>
      <c r="F15" s="282">
        <v>1265714.92666907</v>
      </c>
      <c r="G15" s="274">
        <v>1965022.4236537314</v>
      </c>
      <c r="H15" s="283">
        <v>394564.79331514327</v>
      </c>
      <c r="I15" s="283"/>
      <c r="J15" s="283"/>
      <c r="K15" s="283"/>
      <c r="L15" s="283"/>
      <c r="M15" s="283">
        <v>2237401.7695067241</v>
      </c>
      <c r="N15" s="283">
        <v>2547536.6682502301</v>
      </c>
    </row>
    <row r="16" spans="1:14" x14ac:dyDescent="0.25">
      <c r="A16" s="353"/>
      <c r="B16" s="269" t="s">
        <v>119</v>
      </c>
      <c r="C16" s="270" t="s">
        <v>5</v>
      </c>
      <c r="D16" s="284" t="s">
        <v>53</v>
      </c>
      <c r="E16" s="284">
        <v>0</v>
      </c>
      <c r="F16" s="284">
        <v>0</v>
      </c>
      <c r="G16" s="284">
        <v>0</v>
      </c>
      <c r="H16" s="284">
        <v>0</v>
      </c>
      <c r="I16" s="284"/>
      <c r="J16" s="284"/>
      <c r="K16" s="284"/>
      <c r="L16" s="284"/>
      <c r="M16" s="284">
        <v>0</v>
      </c>
      <c r="N16" s="284">
        <v>0</v>
      </c>
    </row>
    <row r="17" spans="1:14" x14ac:dyDescent="0.25">
      <c r="A17" s="353"/>
      <c r="B17" s="269" t="s">
        <v>120</v>
      </c>
      <c r="C17" s="270" t="s">
        <v>5</v>
      </c>
      <c r="D17" s="270" t="s">
        <v>53</v>
      </c>
      <c r="E17" s="271">
        <v>21</v>
      </c>
      <c r="F17" s="271">
        <v>20</v>
      </c>
      <c r="G17" s="271">
        <v>20</v>
      </c>
      <c r="H17" s="285">
        <v>3</v>
      </c>
      <c r="I17" s="271"/>
      <c r="J17" s="271"/>
      <c r="K17" s="271"/>
      <c r="L17" s="286"/>
      <c r="M17" s="271">
        <v>21</v>
      </c>
      <c r="N17" s="271">
        <v>22</v>
      </c>
    </row>
    <row r="18" spans="1:14" x14ac:dyDescent="0.25">
      <c r="A18" s="353"/>
      <c r="B18" s="269" t="s">
        <v>121</v>
      </c>
      <c r="C18" s="287" t="s">
        <v>24</v>
      </c>
      <c r="D18" s="287" t="s">
        <v>53</v>
      </c>
      <c r="E18" s="288">
        <v>2408759.5300000003</v>
      </c>
      <c r="F18" s="288">
        <v>1752290.7400000002</v>
      </c>
      <c r="G18" s="289">
        <v>3241226.823568</v>
      </c>
      <c r="H18" s="289">
        <v>597838.94999999995</v>
      </c>
      <c r="I18" s="274"/>
      <c r="J18" s="289"/>
      <c r="K18" s="274"/>
      <c r="L18" s="274"/>
      <c r="M18" s="289">
        <v>3565349.5059248004</v>
      </c>
      <c r="N18" s="289">
        <v>3921884.4565172805</v>
      </c>
    </row>
    <row r="19" spans="1:14" x14ac:dyDescent="0.25">
      <c r="A19" s="353"/>
      <c r="B19" s="269" t="s">
        <v>122</v>
      </c>
      <c r="C19" s="270" t="s">
        <v>5</v>
      </c>
      <c r="D19" s="270" t="s">
        <v>53</v>
      </c>
      <c r="E19" s="271">
        <v>309</v>
      </c>
      <c r="F19" s="271">
        <v>345</v>
      </c>
      <c r="G19" s="271">
        <v>379.50000000000006</v>
      </c>
      <c r="H19" s="285">
        <v>85</v>
      </c>
      <c r="I19" s="271"/>
      <c r="J19" s="271"/>
      <c r="K19" s="271"/>
      <c r="L19" s="285"/>
      <c r="M19" s="271">
        <v>400</v>
      </c>
      <c r="N19" s="271">
        <v>410</v>
      </c>
    </row>
    <row r="20" spans="1:14" x14ac:dyDescent="0.25">
      <c r="A20" s="353"/>
      <c r="B20" s="269" t="s">
        <v>123</v>
      </c>
      <c r="C20" s="270" t="s">
        <v>5</v>
      </c>
      <c r="D20" s="270" t="s">
        <v>53</v>
      </c>
      <c r="E20" s="271">
        <v>328</v>
      </c>
      <c r="F20" s="271">
        <v>337</v>
      </c>
      <c r="G20" s="271">
        <v>360.8</v>
      </c>
      <c r="H20" s="285">
        <v>90</v>
      </c>
      <c r="I20" s="271"/>
      <c r="J20" s="271"/>
      <c r="K20" s="271"/>
      <c r="L20" s="285"/>
      <c r="M20" s="271">
        <v>370</v>
      </c>
      <c r="N20" s="271">
        <v>390</v>
      </c>
    </row>
    <row r="21" spans="1:14" x14ac:dyDescent="0.25">
      <c r="A21" s="363" t="s">
        <v>29</v>
      </c>
      <c r="B21" s="277" t="s">
        <v>124</v>
      </c>
      <c r="C21" s="278"/>
      <c r="D21" s="290"/>
      <c r="E21" s="278"/>
      <c r="F21" s="278"/>
      <c r="G21" s="291"/>
      <c r="H21" s="292"/>
      <c r="I21" s="278"/>
      <c r="J21" s="278"/>
      <c r="K21" s="278"/>
      <c r="L21" s="278"/>
      <c r="M21" s="293"/>
      <c r="N21" s="278"/>
    </row>
    <row r="22" spans="1:14" x14ac:dyDescent="0.25">
      <c r="A22" s="363"/>
      <c r="B22" s="269" t="s">
        <v>125</v>
      </c>
      <c r="C22" s="287" t="s">
        <v>5</v>
      </c>
      <c r="D22" s="287" t="s">
        <v>53</v>
      </c>
      <c r="E22" s="288">
        <v>738</v>
      </c>
      <c r="F22" s="288">
        <v>645</v>
      </c>
      <c r="G22" s="288">
        <v>644</v>
      </c>
      <c r="H22" s="294">
        <v>644</v>
      </c>
      <c r="I22" s="271"/>
      <c r="J22" s="288"/>
      <c r="K22" s="288"/>
      <c r="L22" s="288"/>
      <c r="M22" s="295">
        <v>644</v>
      </c>
      <c r="N22" s="288">
        <v>647</v>
      </c>
    </row>
    <row r="23" spans="1:14" x14ac:dyDescent="0.25">
      <c r="A23" s="363"/>
      <c r="B23" s="269" t="s">
        <v>126</v>
      </c>
      <c r="C23" s="287" t="s">
        <v>5</v>
      </c>
      <c r="D23" s="287" t="s">
        <v>53</v>
      </c>
      <c r="E23" s="288">
        <v>65</v>
      </c>
      <c r="F23" s="288">
        <v>71</v>
      </c>
      <c r="G23" s="288">
        <v>71</v>
      </c>
      <c r="H23" s="294">
        <v>71</v>
      </c>
      <c r="I23" s="271"/>
      <c r="J23" s="288"/>
      <c r="K23" s="288"/>
      <c r="L23" s="288"/>
      <c r="M23" s="295">
        <v>71</v>
      </c>
      <c r="N23" s="288">
        <v>74</v>
      </c>
    </row>
    <row r="24" spans="1:14" x14ac:dyDescent="0.25">
      <c r="A24" s="363"/>
      <c r="B24" s="269" t="s">
        <v>127</v>
      </c>
      <c r="C24" s="287" t="s">
        <v>5</v>
      </c>
      <c r="D24" s="287" t="s">
        <v>53</v>
      </c>
      <c r="E24" s="288">
        <v>119</v>
      </c>
      <c r="F24" s="288">
        <v>114</v>
      </c>
      <c r="G24" s="288">
        <v>113</v>
      </c>
      <c r="H24" s="294">
        <v>113</v>
      </c>
      <c r="I24" s="271"/>
      <c r="J24" s="288"/>
      <c r="K24" s="288"/>
      <c r="L24" s="288"/>
      <c r="M24" s="295">
        <v>113</v>
      </c>
      <c r="N24" s="288">
        <v>116</v>
      </c>
    </row>
    <row r="25" spans="1:14" x14ac:dyDescent="0.25">
      <c r="A25" s="363"/>
      <c r="B25" s="269" t="s">
        <v>128</v>
      </c>
      <c r="C25" s="287" t="s">
        <v>5</v>
      </c>
      <c r="D25" s="287" t="s">
        <v>53</v>
      </c>
      <c r="E25" s="288">
        <v>633</v>
      </c>
      <c r="F25" s="288">
        <v>531</v>
      </c>
      <c r="G25" s="288">
        <v>517</v>
      </c>
      <c r="H25" s="294">
        <v>517</v>
      </c>
      <c r="I25" s="271"/>
      <c r="J25" s="288"/>
      <c r="K25" s="288"/>
      <c r="L25" s="288"/>
      <c r="M25" s="295">
        <v>517</v>
      </c>
      <c r="N25" s="288">
        <v>520</v>
      </c>
    </row>
    <row r="26" spans="1:14" x14ac:dyDescent="0.25">
      <c r="A26" s="363"/>
      <c r="B26" s="269" t="s">
        <v>129</v>
      </c>
      <c r="C26" s="287" t="s">
        <v>5</v>
      </c>
      <c r="D26" s="287" t="s">
        <v>53</v>
      </c>
      <c r="E26" s="288">
        <v>733</v>
      </c>
      <c r="F26" s="288">
        <v>663</v>
      </c>
      <c r="G26" s="288">
        <v>644</v>
      </c>
      <c r="H26" s="294">
        <v>644</v>
      </c>
      <c r="I26" s="271"/>
      <c r="J26" s="288"/>
      <c r="K26" s="288"/>
      <c r="L26" s="288"/>
      <c r="M26" s="295">
        <v>644</v>
      </c>
      <c r="N26" s="288">
        <v>647</v>
      </c>
    </row>
    <row r="27" spans="1:14" x14ac:dyDescent="0.25">
      <c r="A27" s="363"/>
      <c r="B27" s="269" t="s">
        <v>130</v>
      </c>
      <c r="C27" s="287" t="s">
        <v>5</v>
      </c>
      <c r="D27" s="287" t="s">
        <v>53</v>
      </c>
      <c r="E27" s="288">
        <v>5</v>
      </c>
      <c r="F27" s="288">
        <v>4</v>
      </c>
      <c r="G27" s="288">
        <v>4</v>
      </c>
      <c r="H27" s="294">
        <v>4</v>
      </c>
      <c r="I27" s="271"/>
      <c r="J27" s="288"/>
      <c r="K27" s="288"/>
      <c r="L27" s="288"/>
      <c r="M27" s="295">
        <v>4</v>
      </c>
      <c r="N27" s="288">
        <v>7</v>
      </c>
    </row>
    <row r="28" spans="1:14" x14ac:dyDescent="0.25">
      <c r="A28" s="363"/>
      <c r="B28" s="269" t="s">
        <v>131</v>
      </c>
      <c r="C28" s="287" t="s">
        <v>5</v>
      </c>
      <c r="D28" s="287" t="s">
        <v>53</v>
      </c>
      <c r="E28" s="288">
        <v>633</v>
      </c>
      <c r="F28" s="288">
        <v>630</v>
      </c>
      <c r="G28" s="288">
        <v>611</v>
      </c>
      <c r="H28" s="294">
        <v>611</v>
      </c>
      <c r="I28" s="271"/>
      <c r="J28" s="288"/>
      <c r="K28" s="288"/>
      <c r="L28" s="288"/>
      <c r="M28" s="295">
        <v>611</v>
      </c>
      <c r="N28" s="288">
        <v>614</v>
      </c>
    </row>
    <row r="29" spans="1:14" x14ac:dyDescent="0.25">
      <c r="A29" s="363"/>
      <c r="B29" s="269" t="s">
        <v>132</v>
      </c>
      <c r="C29" s="287" t="s">
        <v>5</v>
      </c>
      <c r="D29" s="287" t="s">
        <v>53</v>
      </c>
      <c r="E29" s="288">
        <v>84</v>
      </c>
      <c r="F29" s="288">
        <v>15</v>
      </c>
      <c r="G29" s="288">
        <v>15</v>
      </c>
      <c r="H29" s="294">
        <v>15</v>
      </c>
      <c r="I29" s="271"/>
      <c r="J29" s="288"/>
      <c r="K29" s="288"/>
      <c r="L29" s="288"/>
      <c r="M29" s="295">
        <v>15</v>
      </c>
      <c r="N29" s="288">
        <v>18</v>
      </c>
    </row>
    <row r="30" spans="1:14" x14ac:dyDescent="0.25">
      <c r="A30" s="363"/>
      <c r="B30" s="269" t="s">
        <v>133</v>
      </c>
      <c r="C30" s="287" t="s">
        <v>5</v>
      </c>
      <c r="D30" s="287" t="s">
        <v>53</v>
      </c>
      <c r="E30" s="288">
        <v>2</v>
      </c>
      <c r="F30" s="288">
        <v>2</v>
      </c>
      <c r="G30" s="288">
        <v>2</v>
      </c>
      <c r="H30" s="294">
        <v>2</v>
      </c>
      <c r="I30" s="271"/>
      <c r="J30" s="288"/>
      <c r="K30" s="288"/>
      <c r="L30" s="288"/>
      <c r="M30" s="295">
        <v>2</v>
      </c>
      <c r="N30" s="288">
        <v>5</v>
      </c>
    </row>
    <row r="31" spans="1:14" x14ac:dyDescent="0.25">
      <c r="A31" s="363"/>
      <c r="B31" s="269" t="s">
        <v>134</v>
      </c>
      <c r="C31" s="287" t="s">
        <v>5</v>
      </c>
      <c r="D31" s="287" t="s">
        <v>53</v>
      </c>
      <c r="E31" s="288">
        <v>18</v>
      </c>
      <c r="F31" s="288">
        <v>10</v>
      </c>
      <c r="G31" s="288">
        <v>10</v>
      </c>
      <c r="H31" s="294">
        <v>10</v>
      </c>
      <c r="I31" s="271"/>
      <c r="J31" s="288"/>
      <c r="K31" s="288"/>
      <c r="L31" s="288"/>
      <c r="M31" s="295">
        <v>10</v>
      </c>
      <c r="N31" s="288">
        <v>13</v>
      </c>
    </row>
    <row r="32" spans="1:14" x14ac:dyDescent="0.25">
      <c r="A32" s="363"/>
      <c r="B32" s="269" t="s">
        <v>135</v>
      </c>
      <c r="C32" s="287" t="s">
        <v>5</v>
      </c>
      <c r="D32" s="287" t="s">
        <v>53</v>
      </c>
      <c r="E32" s="288">
        <v>4</v>
      </c>
      <c r="F32" s="288">
        <v>2</v>
      </c>
      <c r="G32" s="288">
        <v>2</v>
      </c>
      <c r="H32" s="294">
        <v>2</v>
      </c>
      <c r="I32" s="271"/>
      <c r="J32" s="288"/>
      <c r="K32" s="288"/>
      <c r="L32" s="288"/>
      <c r="M32" s="295">
        <v>2</v>
      </c>
      <c r="N32" s="288">
        <v>2</v>
      </c>
    </row>
    <row r="33" spans="1:14" x14ac:dyDescent="0.25">
      <c r="A33" s="363"/>
      <c r="B33" s="277" t="s">
        <v>136</v>
      </c>
      <c r="C33" s="278"/>
      <c r="D33" s="290"/>
      <c r="E33" s="279"/>
      <c r="F33" s="279"/>
      <c r="G33" s="279"/>
      <c r="H33" s="292"/>
      <c r="I33" s="279"/>
      <c r="J33" s="279"/>
      <c r="K33" s="279"/>
      <c r="L33" s="279"/>
      <c r="M33" s="296"/>
      <c r="N33" s="279"/>
    </row>
    <row r="34" spans="1:14" x14ac:dyDescent="0.25">
      <c r="A34" s="363"/>
      <c r="B34" s="269" t="s">
        <v>137</v>
      </c>
      <c r="C34" s="270" t="s">
        <v>5</v>
      </c>
      <c r="D34" s="270" t="s">
        <v>53</v>
      </c>
      <c r="E34" s="271">
        <v>11</v>
      </c>
      <c r="F34" s="271">
        <v>13</v>
      </c>
      <c r="G34" s="271">
        <v>14</v>
      </c>
      <c r="H34" s="271">
        <v>13</v>
      </c>
      <c r="I34" s="271"/>
      <c r="J34" s="271"/>
      <c r="K34" s="271"/>
      <c r="L34" s="271"/>
      <c r="M34" s="297">
        <v>15</v>
      </c>
      <c r="N34" s="271">
        <v>16</v>
      </c>
    </row>
    <row r="35" spans="1:14" x14ac:dyDescent="0.25">
      <c r="A35" s="364"/>
      <c r="B35" s="269" t="s">
        <v>138</v>
      </c>
      <c r="C35" s="270" t="s">
        <v>5</v>
      </c>
      <c r="D35" s="270" t="s">
        <v>53</v>
      </c>
      <c r="E35" s="271">
        <v>669</v>
      </c>
      <c r="F35" s="271">
        <v>749</v>
      </c>
      <c r="G35" s="271">
        <v>836.9</v>
      </c>
      <c r="H35" s="271">
        <v>756</v>
      </c>
      <c r="I35" s="271"/>
      <c r="J35" s="271"/>
      <c r="K35" s="271"/>
      <c r="L35" s="271"/>
      <c r="M35" s="297">
        <v>855</v>
      </c>
      <c r="N35" s="271">
        <v>880</v>
      </c>
    </row>
    <row r="36" spans="1:14" x14ac:dyDescent="0.25">
      <c r="A36" s="364"/>
      <c r="B36" s="269" t="s">
        <v>139</v>
      </c>
      <c r="C36" s="270" t="s">
        <v>5</v>
      </c>
      <c r="D36" s="270" t="s">
        <v>53</v>
      </c>
      <c r="E36" s="271">
        <v>492</v>
      </c>
      <c r="F36" s="271">
        <v>570</v>
      </c>
      <c r="G36" s="271">
        <v>640</v>
      </c>
      <c r="H36" s="271">
        <v>570</v>
      </c>
      <c r="I36" s="271"/>
      <c r="J36" s="271"/>
      <c r="K36" s="271"/>
      <c r="L36" s="271"/>
      <c r="M36" s="297">
        <v>650</v>
      </c>
      <c r="N36" s="271">
        <v>670</v>
      </c>
    </row>
    <row r="37" spans="1:14" x14ac:dyDescent="0.25">
      <c r="A37" s="364"/>
      <c r="B37" s="269" t="s">
        <v>140</v>
      </c>
      <c r="C37" s="270" t="s">
        <v>5</v>
      </c>
      <c r="D37" s="270" t="s">
        <v>53</v>
      </c>
      <c r="E37" s="271">
        <v>177</v>
      </c>
      <c r="F37" s="271">
        <v>179</v>
      </c>
      <c r="G37" s="271">
        <v>196.9</v>
      </c>
      <c r="H37" s="271">
        <v>186</v>
      </c>
      <c r="I37" s="271"/>
      <c r="J37" s="271"/>
      <c r="K37" s="271"/>
      <c r="L37" s="271"/>
      <c r="M37" s="297">
        <v>205</v>
      </c>
      <c r="N37" s="271">
        <v>210</v>
      </c>
    </row>
    <row r="38" spans="1:14" x14ac:dyDescent="0.25">
      <c r="A38" s="364"/>
      <c r="B38" s="277" t="s">
        <v>141</v>
      </c>
      <c r="C38" s="278"/>
      <c r="D38" s="290"/>
      <c r="E38" s="279"/>
      <c r="F38" s="279"/>
      <c r="G38" s="279"/>
      <c r="H38" s="292"/>
      <c r="I38" s="279"/>
      <c r="J38" s="279"/>
      <c r="K38" s="279"/>
      <c r="L38" s="279"/>
      <c r="M38" s="296"/>
      <c r="N38" s="279"/>
    </row>
    <row r="39" spans="1:14" x14ac:dyDescent="0.25">
      <c r="A39" s="364"/>
      <c r="B39" s="269" t="s">
        <v>142</v>
      </c>
      <c r="C39" s="270" t="s">
        <v>24</v>
      </c>
      <c r="D39" s="270" t="s">
        <v>53</v>
      </c>
      <c r="E39" s="274">
        <v>3091560044.54</v>
      </c>
      <c r="F39" s="274">
        <v>4670804061</v>
      </c>
      <c r="G39" s="274">
        <v>4595871918</v>
      </c>
      <c r="H39" s="274">
        <v>4595871918</v>
      </c>
      <c r="I39" s="274"/>
      <c r="J39" s="274"/>
      <c r="K39" s="274"/>
      <c r="L39" s="274"/>
      <c r="M39" s="274">
        <v>4687789356.3599997</v>
      </c>
      <c r="N39" s="274">
        <v>4781545143.4871998</v>
      </c>
    </row>
    <row r="40" spans="1:14" x14ac:dyDescent="0.25">
      <c r="A40" s="364"/>
      <c r="B40" s="269" t="s">
        <v>143</v>
      </c>
      <c r="C40" s="270" t="s">
        <v>24</v>
      </c>
      <c r="D40" s="270" t="s">
        <v>53</v>
      </c>
      <c r="E40" s="274">
        <v>4249930774.8400002</v>
      </c>
      <c r="F40" s="274">
        <v>4670804061</v>
      </c>
      <c r="G40" s="274">
        <v>4595871918</v>
      </c>
      <c r="H40" s="274">
        <v>4595871918</v>
      </c>
      <c r="I40" s="274"/>
      <c r="J40" s="274"/>
      <c r="K40" s="274"/>
      <c r="L40" s="274"/>
      <c r="M40" s="274">
        <v>4687789356.3599997</v>
      </c>
      <c r="N40" s="274">
        <v>4781545143.4871998</v>
      </c>
    </row>
    <row r="41" spans="1:14" x14ac:dyDescent="0.25">
      <c r="A41" s="364"/>
      <c r="B41" s="269" t="s">
        <v>144</v>
      </c>
      <c r="C41" s="270" t="s">
        <v>24</v>
      </c>
      <c r="D41" s="270" t="s">
        <v>53</v>
      </c>
      <c r="E41" s="274">
        <v>3872155095.4899998</v>
      </c>
      <c r="F41" s="274">
        <v>4508173862.9099998</v>
      </c>
      <c r="G41" s="274">
        <v>4595871918</v>
      </c>
      <c r="H41" s="274">
        <v>1076528543.1300001</v>
      </c>
      <c r="I41" s="274"/>
      <c r="J41" s="274"/>
      <c r="K41" s="274"/>
      <c r="L41" s="274"/>
      <c r="M41" s="274">
        <v>4687789356.3599997</v>
      </c>
      <c r="N41" s="274">
        <v>4781545143.4871998</v>
      </c>
    </row>
    <row r="42" spans="1:14" ht="15.75" thickBot="1" x14ac:dyDescent="0.3">
      <c r="A42" s="365"/>
      <c r="B42" s="269" t="s">
        <v>145</v>
      </c>
      <c r="C42" s="270" t="s">
        <v>6</v>
      </c>
      <c r="D42" s="270" t="s">
        <v>53</v>
      </c>
      <c r="E42" s="298">
        <v>0.91111015699679887</v>
      </c>
      <c r="F42" s="298">
        <v>0.96518154134361578</v>
      </c>
      <c r="G42" s="299">
        <v>1</v>
      </c>
      <c r="H42" s="298">
        <v>0.23423815161465084</v>
      </c>
      <c r="I42" s="298"/>
      <c r="J42" s="300"/>
      <c r="K42" s="298"/>
      <c r="L42" s="298"/>
      <c r="M42" s="299">
        <f>G42</f>
        <v>1</v>
      </c>
      <c r="N42" s="298">
        <f>G42</f>
        <v>1</v>
      </c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activeCell="B16" sqref="B16"/>
    </sheetView>
  </sheetViews>
  <sheetFormatPr baseColWidth="10" defaultRowHeight="12.75" x14ac:dyDescent="0.2"/>
  <cols>
    <col min="1" max="1" width="5.85546875" style="370" customWidth="1"/>
    <col min="2" max="2" width="43.7109375" style="370" customWidth="1"/>
    <col min="3" max="3" width="10.7109375" style="443" customWidth="1"/>
    <col min="4" max="4" width="10.7109375" style="444" customWidth="1"/>
    <col min="5" max="6" width="8.7109375" style="131" customWidth="1"/>
    <col min="7" max="8" width="8.5703125" style="131" customWidth="1"/>
    <col min="9" max="10" width="8.7109375" style="131" customWidth="1"/>
    <col min="11" max="11" width="8.5703125" style="131" customWidth="1"/>
    <col min="12" max="256" width="11.42578125" style="370"/>
    <col min="257" max="257" width="5.85546875" style="370" customWidth="1"/>
    <col min="258" max="258" width="43.7109375" style="370" customWidth="1"/>
    <col min="259" max="260" width="10.7109375" style="370" customWidth="1"/>
    <col min="261" max="262" width="8.7109375" style="370" customWidth="1"/>
    <col min="263" max="264" width="8.5703125" style="370" customWidth="1"/>
    <col min="265" max="266" width="8.7109375" style="370" customWidth="1"/>
    <col min="267" max="267" width="8.5703125" style="370" customWidth="1"/>
    <col min="268" max="512" width="11.42578125" style="370"/>
    <col min="513" max="513" width="5.85546875" style="370" customWidth="1"/>
    <col min="514" max="514" width="43.7109375" style="370" customWidth="1"/>
    <col min="515" max="516" width="10.7109375" style="370" customWidth="1"/>
    <col min="517" max="518" width="8.7109375" style="370" customWidth="1"/>
    <col min="519" max="520" width="8.5703125" style="370" customWidth="1"/>
    <col min="521" max="522" width="8.7109375" style="370" customWidth="1"/>
    <col min="523" max="523" width="8.5703125" style="370" customWidth="1"/>
    <col min="524" max="768" width="11.42578125" style="370"/>
    <col min="769" max="769" width="5.85546875" style="370" customWidth="1"/>
    <col min="770" max="770" width="43.7109375" style="370" customWidth="1"/>
    <col min="771" max="772" width="10.7109375" style="370" customWidth="1"/>
    <col min="773" max="774" width="8.7109375" style="370" customWidth="1"/>
    <col min="775" max="776" width="8.5703125" style="370" customWidth="1"/>
    <col min="777" max="778" width="8.7109375" style="370" customWidth="1"/>
    <col min="779" max="779" width="8.5703125" style="370" customWidth="1"/>
    <col min="780" max="1024" width="11.42578125" style="370"/>
    <col min="1025" max="1025" width="5.85546875" style="370" customWidth="1"/>
    <col min="1026" max="1026" width="43.7109375" style="370" customWidth="1"/>
    <col min="1027" max="1028" width="10.7109375" style="370" customWidth="1"/>
    <col min="1029" max="1030" width="8.7109375" style="370" customWidth="1"/>
    <col min="1031" max="1032" width="8.5703125" style="370" customWidth="1"/>
    <col min="1033" max="1034" width="8.7109375" style="370" customWidth="1"/>
    <col min="1035" max="1035" width="8.5703125" style="370" customWidth="1"/>
    <col min="1036" max="1280" width="11.42578125" style="370"/>
    <col min="1281" max="1281" width="5.85546875" style="370" customWidth="1"/>
    <col min="1282" max="1282" width="43.7109375" style="370" customWidth="1"/>
    <col min="1283" max="1284" width="10.7109375" style="370" customWidth="1"/>
    <col min="1285" max="1286" width="8.7109375" style="370" customWidth="1"/>
    <col min="1287" max="1288" width="8.5703125" style="370" customWidth="1"/>
    <col min="1289" max="1290" width="8.7109375" style="370" customWidth="1"/>
    <col min="1291" max="1291" width="8.5703125" style="370" customWidth="1"/>
    <col min="1292" max="1536" width="11.42578125" style="370"/>
    <col min="1537" max="1537" width="5.85546875" style="370" customWidth="1"/>
    <col min="1538" max="1538" width="43.7109375" style="370" customWidth="1"/>
    <col min="1539" max="1540" width="10.7109375" style="370" customWidth="1"/>
    <col min="1541" max="1542" width="8.7109375" style="370" customWidth="1"/>
    <col min="1543" max="1544" width="8.5703125" style="370" customWidth="1"/>
    <col min="1545" max="1546" width="8.7109375" style="370" customWidth="1"/>
    <col min="1547" max="1547" width="8.5703125" style="370" customWidth="1"/>
    <col min="1548" max="1792" width="11.42578125" style="370"/>
    <col min="1793" max="1793" width="5.85546875" style="370" customWidth="1"/>
    <col min="1794" max="1794" width="43.7109375" style="370" customWidth="1"/>
    <col min="1795" max="1796" width="10.7109375" style="370" customWidth="1"/>
    <col min="1797" max="1798" width="8.7109375" style="370" customWidth="1"/>
    <col min="1799" max="1800" width="8.5703125" style="370" customWidth="1"/>
    <col min="1801" max="1802" width="8.7109375" style="370" customWidth="1"/>
    <col min="1803" max="1803" width="8.5703125" style="370" customWidth="1"/>
    <col min="1804" max="2048" width="11.42578125" style="370"/>
    <col min="2049" max="2049" width="5.85546875" style="370" customWidth="1"/>
    <col min="2050" max="2050" width="43.7109375" style="370" customWidth="1"/>
    <col min="2051" max="2052" width="10.7109375" style="370" customWidth="1"/>
    <col min="2053" max="2054" width="8.7109375" style="370" customWidth="1"/>
    <col min="2055" max="2056" width="8.5703125" style="370" customWidth="1"/>
    <col min="2057" max="2058" width="8.7109375" style="370" customWidth="1"/>
    <col min="2059" max="2059" width="8.5703125" style="370" customWidth="1"/>
    <col min="2060" max="2304" width="11.42578125" style="370"/>
    <col min="2305" max="2305" width="5.85546875" style="370" customWidth="1"/>
    <col min="2306" max="2306" width="43.7109375" style="370" customWidth="1"/>
    <col min="2307" max="2308" width="10.7109375" style="370" customWidth="1"/>
    <col min="2309" max="2310" width="8.7109375" style="370" customWidth="1"/>
    <col min="2311" max="2312" width="8.5703125" style="370" customWidth="1"/>
    <col min="2313" max="2314" width="8.7109375" style="370" customWidth="1"/>
    <col min="2315" max="2315" width="8.5703125" style="370" customWidth="1"/>
    <col min="2316" max="2560" width="11.42578125" style="370"/>
    <col min="2561" max="2561" width="5.85546875" style="370" customWidth="1"/>
    <col min="2562" max="2562" width="43.7109375" style="370" customWidth="1"/>
    <col min="2563" max="2564" width="10.7109375" style="370" customWidth="1"/>
    <col min="2565" max="2566" width="8.7109375" style="370" customWidth="1"/>
    <col min="2567" max="2568" width="8.5703125" style="370" customWidth="1"/>
    <col min="2569" max="2570" width="8.7109375" style="370" customWidth="1"/>
    <col min="2571" max="2571" width="8.5703125" style="370" customWidth="1"/>
    <col min="2572" max="2816" width="11.42578125" style="370"/>
    <col min="2817" max="2817" width="5.85546875" style="370" customWidth="1"/>
    <col min="2818" max="2818" width="43.7109375" style="370" customWidth="1"/>
    <col min="2819" max="2820" width="10.7109375" style="370" customWidth="1"/>
    <col min="2821" max="2822" width="8.7109375" style="370" customWidth="1"/>
    <col min="2823" max="2824" width="8.5703125" style="370" customWidth="1"/>
    <col min="2825" max="2826" width="8.7109375" style="370" customWidth="1"/>
    <col min="2827" max="2827" width="8.5703125" style="370" customWidth="1"/>
    <col min="2828" max="3072" width="11.42578125" style="370"/>
    <col min="3073" max="3073" width="5.85546875" style="370" customWidth="1"/>
    <col min="3074" max="3074" width="43.7109375" style="370" customWidth="1"/>
    <col min="3075" max="3076" width="10.7109375" style="370" customWidth="1"/>
    <col min="3077" max="3078" width="8.7109375" style="370" customWidth="1"/>
    <col min="3079" max="3080" width="8.5703125" style="370" customWidth="1"/>
    <col min="3081" max="3082" width="8.7109375" style="370" customWidth="1"/>
    <col min="3083" max="3083" width="8.5703125" style="370" customWidth="1"/>
    <col min="3084" max="3328" width="11.42578125" style="370"/>
    <col min="3329" max="3329" width="5.85546875" style="370" customWidth="1"/>
    <col min="3330" max="3330" width="43.7109375" style="370" customWidth="1"/>
    <col min="3331" max="3332" width="10.7109375" style="370" customWidth="1"/>
    <col min="3333" max="3334" width="8.7109375" style="370" customWidth="1"/>
    <col min="3335" max="3336" width="8.5703125" style="370" customWidth="1"/>
    <col min="3337" max="3338" width="8.7109375" style="370" customWidth="1"/>
    <col min="3339" max="3339" width="8.5703125" style="370" customWidth="1"/>
    <col min="3340" max="3584" width="11.42578125" style="370"/>
    <col min="3585" max="3585" width="5.85546875" style="370" customWidth="1"/>
    <col min="3586" max="3586" width="43.7109375" style="370" customWidth="1"/>
    <col min="3587" max="3588" width="10.7109375" style="370" customWidth="1"/>
    <col min="3589" max="3590" width="8.7109375" style="370" customWidth="1"/>
    <col min="3591" max="3592" width="8.5703125" style="370" customWidth="1"/>
    <col min="3593" max="3594" width="8.7109375" style="370" customWidth="1"/>
    <col min="3595" max="3595" width="8.5703125" style="370" customWidth="1"/>
    <col min="3596" max="3840" width="11.42578125" style="370"/>
    <col min="3841" max="3841" width="5.85546875" style="370" customWidth="1"/>
    <col min="3842" max="3842" width="43.7109375" style="370" customWidth="1"/>
    <col min="3843" max="3844" width="10.7109375" style="370" customWidth="1"/>
    <col min="3845" max="3846" width="8.7109375" style="370" customWidth="1"/>
    <col min="3847" max="3848" width="8.5703125" style="370" customWidth="1"/>
    <col min="3849" max="3850" width="8.7109375" style="370" customWidth="1"/>
    <col min="3851" max="3851" width="8.5703125" style="370" customWidth="1"/>
    <col min="3852" max="4096" width="11.42578125" style="370"/>
    <col min="4097" max="4097" width="5.85546875" style="370" customWidth="1"/>
    <col min="4098" max="4098" width="43.7109375" style="370" customWidth="1"/>
    <col min="4099" max="4100" width="10.7109375" style="370" customWidth="1"/>
    <col min="4101" max="4102" width="8.7109375" style="370" customWidth="1"/>
    <col min="4103" max="4104" width="8.5703125" style="370" customWidth="1"/>
    <col min="4105" max="4106" width="8.7109375" style="370" customWidth="1"/>
    <col min="4107" max="4107" width="8.5703125" style="370" customWidth="1"/>
    <col min="4108" max="4352" width="11.42578125" style="370"/>
    <col min="4353" max="4353" width="5.85546875" style="370" customWidth="1"/>
    <col min="4354" max="4354" width="43.7109375" style="370" customWidth="1"/>
    <col min="4355" max="4356" width="10.7109375" style="370" customWidth="1"/>
    <col min="4357" max="4358" width="8.7109375" style="370" customWidth="1"/>
    <col min="4359" max="4360" width="8.5703125" style="370" customWidth="1"/>
    <col min="4361" max="4362" width="8.7109375" style="370" customWidth="1"/>
    <col min="4363" max="4363" width="8.5703125" style="370" customWidth="1"/>
    <col min="4364" max="4608" width="11.42578125" style="370"/>
    <col min="4609" max="4609" width="5.85546875" style="370" customWidth="1"/>
    <col min="4610" max="4610" width="43.7109375" style="370" customWidth="1"/>
    <col min="4611" max="4612" width="10.7109375" style="370" customWidth="1"/>
    <col min="4613" max="4614" width="8.7109375" style="370" customWidth="1"/>
    <col min="4615" max="4616" width="8.5703125" style="370" customWidth="1"/>
    <col min="4617" max="4618" width="8.7109375" style="370" customWidth="1"/>
    <col min="4619" max="4619" width="8.5703125" style="370" customWidth="1"/>
    <col min="4620" max="4864" width="11.42578125" style="370"/>
    <col min="4865" max="4865" width="5.85546875" style="370" customWidth="1"/>
    <col min="4866" max="4866" width="43.7109375" style="370" customWidth="1"/>
    <col min="4867" max="4868" width="10.7109375" style="370" customWidth="1"/>
    <col min="4869" max="4870" width="8.7109375" style="370" customWidth="1"/>
    <col min="4871" max="4872" width="8.5703125" style="370" customWidth="1"/>
    <col min="4873" max="4874" width="8.7109375" style="370" customWidth="1"/>
    <col min="4875" max="4875" width="8.5703125" style="370" customWidth="1"/>
    <col min="4876" max="5120" width="11.42578125" style="370"/>
    <col min="5121" max="5121" width="5.85546875" style="370" customWidth="1"/>
    <col min="5122" max="5122" width="43.7109375" style="370" customWidth="1"/>
    <col min="5123" max="5124" width="10.7109375" style="370" customWidth="1"/>
    <col min="5125" max="5126" width="8.7109375" style="370" customWidth="1"/>
    <col min="5127" max="5128" width="8.5703125" style="370" customWidth="1"/>
    <col min="5129" max="5130" width="8.7109375" style="370" customWidth="1"/>
    <col min="5131" max="5131" width="8.5703125" style="370" customWidth="1"/>
    <col min="5132" max="5376" width="11.42578125" style="370"/>
    <col min="5377" max="5377" width="5.85546875" style="370" customWidth="1"/>
    <col min="5378" max="5378" width="43.7109375" style="370" customWidth="1"/>
    <col min="5379" max="5380" width="10.7109375" style="370" customWidth="1"/>
    <col min="5381" max="5382" width="8.7109375" style="370" customWidth="1"/>
    <col min="5383" max="5384" width="8.5703125" style="370" customWidth="1"/>
    <col min="5385" max="5386" width="8.7109375" style="370" customWidth="1"/>
    <col min="5387" max="5387" width="8.5703125" style="370" customWidth="1"/>
    <col min="5388" max="5632" width="11.42578125" style="370"/>
    <col min="5633" max="5633" width="5.85546875" style="370" customWidth="1"/>
    <col min="5634" max="5634" width="43.7109375" style="370" customWidth="1"/>
    <col min="5635" max="5636" width="10.7109375" style="370" customWidth="1"/>
    <col min="5637" max="5638" width="8.7109375" style="370" customWidth="1"/>
    <col min="5639" max="5640" width="8.5703125" style="370" customWidth="1"/>
    <col min="5641" max="5642" width="8.7109375" style="370" customWidth="1"/>
    <col min="5643" max="5643" width="8.5703125" style="370" customWidth="1"/>
    <col min="5644" max="5888" width="11.42578125" style="370"/>
    <col min="5889" max="5889" width="5.85546875" style="370" customWidth="1"/>
    <col min="5890" max="5890" width="43.7109375" style="370" customWidth="1"/>
    <col min="5891" max="5892" width="10.7109375" style="370" customWidth="1"/>
    <col min="5893" max="5894" width="8.7109375" style="370" customWidth="1"/>
    <col min="5895" max="5896" width="8.5703125" style="370" customWidth="1"/>
    <col min="5897" max="5898" width="8.7109375" style="370" customWidth="1"/>
    <col min="5899" max="5899" width="8.5703125" style="370" customWidth="1"/>
    <col min="5900" max="6144" width="11.42578125" style="370"/>
    <col min="6145" max="6145" width="5.85546875" style="370" customWidth="1"/>
    <col min="6146" max="6146" width="43.7109375" style="370" customWidth="1"/>
    <col min="6147" max="6148" width="10.7109375" style="370" customWidth="1"/>
    <col min="6149" max="6150" width="8.7109375" style="370" customWidth="1"/>
    <col min="6151" max="6152" width="8.5703125" style="370" customWidth="1"/>
    <col min="6153" max="6154" width="8.7109375" style="370" customWidth="1"/>
    <col min="6155" max="6155" width="8.5703125" style="370" customWidth="1"/>
    <col min="6156" max="6400" width="11.42578125" style="370"/>
    <col min="6401" max="6401" width="5.85546875" style="370" customWidth="1"/>
    <col min="6402" max="6402" width="43.7109375" style="370" customWidth="1"/>
    <col min="6403" max="6404" width="10.7109375" style="370" customWidth="1"/>
    <col min="6405" max="6406" width="8.7109375" style="370" customWidth="1"/>
    <col min="6407" max="6408" width="8.5703125" style="370" customWidth="1"/>
    <col min="6409" max="6410" width="8.7109375" style="370" customWidth="1"/>
    <col min="6411" max="6411" width="8.5703125" style="370" customWidth="1"/>
    <col min="6412" max="6656" width="11.42578125" style="370"/>
    <col min="6657" max="6657" width="5.85546875" style="370" customWidth="1"/>
    <col min="6658" max="6658" width="43.7109375" style="370" customWidth="1"/>
    <col min="6659" max="6660" width="10.7109375" style="370" customWidth="1"/>
    <col min="6661" max="6662" width="8.7109375" style="370" customWidth="1"/>
    <col min="6663" max="6664" width="8.5703125" style="370" customWidth="1"/>
    <col min="6665" max="6666" width="8.7109375" style="370" customWidth="1"/>
    <col min="6667" max="6667" width="8.5703125" style="370" customWidth="1"/>
    <col min="6668" max="6912" width="11.42578125" style="370"/>
    <col min="6913" max="6913" width="5.85546875" style="370" customWidth="1"/>
    <col min="6914" max="6914" width="43.7109375" style="370" customWidth="1"/>
    <col min="6915" max="6916" width="10.7109375" style="370" customWidth="1"/>
    <col min="6917" max="6918" width="8.7109375" style="370" customWidth="1"/>
    <col min="6919" max="6920" width="8.5703125" style="370" customWidth="1"/>
    <col min="6921" max="6922" width="8.7109375" style="370" customWidth="1"/>
    <col min="6923" max="6923" width="8.5703125" style="370" customWidth="1"/>
    <col min="6924" max="7168" width="11.42578125" style="370"/>
    <col min="7169" max="7169" width="5.85546875" style="370" customWidth="1"/>
    <col min="7170" max="7170" width="43.7109375" style="370" customWidth="1"/>
    <col min="7171" max="7172" width="10.7109375" style="370" customWidth="1"/>
    <col min="7173" max="7174" width="8.7109375" style="370" customWidth="1"/>
    <col min="7175" max="7176" width="8.5703125" style="370" customWidth="1"/>
    <col min="7177" max="7178" width="8.7109375" style="370" customWidth="1"/>
    <col min="7179" max="7179" width="8.5703125" style="370" customWidth="1"/>
    <col min="7180" max="7424" width="11.42578125" style="370"/>
    <col min="7425" max="7425" width="5.85546875" style="370" customWidth="1"/>
    <col min="7426" max="7426" width="43.7109375" style="370" customWidth="1"/>
    <col min="7427" max="7428" width="10.7109375" style="370" customWidth="1"/>
    <col min="7429" max="7430" width="8.7109375" style="370" customWidth="1"/>
    <col min="7431" max="7432" width="8.5703125" style="370" customWidth="1"/>
    <col min="7433" max="7434" width="8.7109375" style="370" customWidth="1"/>
    <col min="7435" max="7435" width="8.5703125" style="370" customWidth="1"/>
    <col min="7436" max="7680" width="11.42578125" style="370"/>
    <col min="7681" max="7681" width="5.85546875" style="370" customWidth="1"/>
    <col min="7682" max="7682" width="43.7109375" style="370" customWidth="1"/>
    <col min="7683" max="7684" width="10.7109375" style="370" customWidth="1"/>
    <col min="7685" max="7686" width="8.7109375" style="370" customWidth="1"/>
    <col min="7687" max="7688" width="8.5703125" style="370" customWidth="1"/>
    <col min="7689" max="7690" width="8.7109375" style="370" customWidth="1"/>
    <col min="7691" max="7691" width="8.5703125" style="370" customWidth="1"/>
    <col min="7692" max="7936" width="11.42578125" style="370"/>
    <col min="7937" max="7937" width="5.85546875" style="370" customWidth="1"/>
    <col min="7938" max="7938" width="43.7109375" style="370" customWidth="1"/>
    <col min="7939" max="7940" width="10.7109375" style="370" customWidth="1"/>
    <col min="7941" max="7942" width="8.7109375" style="370" customWidth="1"/>
    <col min="7943" max="7944" width="8.5703125" style="370" customWidth="1"/>
    <col min="7945" max="7946" width="8.7109375" style="370" customWidth="1"/>
    <col min="7947" max="7947" width="8.5703125" style="370" customWidth="1"/>
    <col min="7948" max="8192" width="11.42578125" style="370"/>
    <col min="8193" max="8193" width="5.85546875" style="370" customWidth="1"/>
    <col min="8194" max="8194" width="43.7109375" style="370" customWidth="1"/>
    <col min="8195" max="8196" width="10.7109375" style="370" customWidth="1"/>
    <col min="8197" max="8198" width="8.7109375" style="370" customWidth="1"/>
    <col min="8199" max="8200" width="8.5703125" style="370" customWidth="1"/>
    <col min="8201" max="8202" width="8.7109375" style="370" customWidth="1"/>
    <col min="8203" max="8203" width="8.5703125" style="370" customWidth="1"/>
    <col min="8204" max="8448" width="11.42578125" style="370"/>
    <col min="8449" max="8449" width="5.85546875" style="370" customWidth="1"/>
    <col min="8450" max="8450" width="43.7109375" style="370" customWidth="1"/>
    <col min="8451" max="8452" width="10.7109375" style="370" customWidth="1"/>
    <col min="8453" max="8454" width="8.7109375" style="370" customWidth="1"/>
    <col min="8455" max="8456" width="8.5703125" style="370" customWidth="1"/>
    <col min="8457" max="8458" width="8.7109375" style="370" customWidth="1"/>
    <col min="8459" max="8459" width="8.5703125" style="370" customWidth="1"/>
    <col min="8460" max="8704" width="11.42578125" style="370"/>
    <col min="8705" max="8705" width="5.85546875" style="370" customWidth="1"/>
    <col min="8706" max="8706" width="43.7109375" style="370" customWidth="1"/>
    <col min="8707" max="8708" width="10.7109375" style="370" customWidth="1"/>
    <col min="8709" max="8710" width="8.7109375" style="370" customWidth="1"/>
    <col min="8711" max="8712" width="8.5703125" style="370" customWidth="1"/>
    <col min="8713" max="8714" width="8.7109375" style="370" customWidth="1"/>
    <col min="8715" max="8715" width="8.5703125" style="370" customWidth="1"/>
    <col min="8716" max="8960" width="11.42578125" style="370"/>
    <col min="8961" max="8961" width="5.85546875" style="370" customWidth="1"/>
    <col min="8962" max="8962" width="43.7109375" style="370" customWidth="1"/>
    <col min="8963" max="8964" width="10.7109375" style="370" customWidth="1"/>
    <col min="8965" max="8966" width="8.7109375" style="370" customWidth="1"/>
    <col min="8967" max="8968" width="8.5703125" style="370" customWidth="1"/>
    <col min="8969" max="8970" width="8.7109375" style="370" customWidth="1"/>
    <col min="8971" max="8971" width="8.5703125" style="370" customWidth="1"/>
    <col min="8972" max="9216" width="11.42578125" style="370"/>
    <col min="9217" max="9217" width="5.85546875" style="370" customWidth="1"/>
    <col min="9218" max="9218" width="43.7109375" style="370" customWidth="1"/>
    <col min="9219" max="9220" width="10.7109375" style="370" customWidth="1"/>
    <col min="9221" max="9222" width="8.7109375" style="370" customWidth="1"/>
    <col min="9223" max="9224" width="8.5703125" style="370" customWidth="1"/>
    <col min="9225" max="9226" width="8.7109375" style="370" customWidth="1"/>
    <col min="9227" max="9227" width="8.5703125" style="370" customWidth="1"/>
    <col min="9228" max="9472" width="11.42578125" style="370"/>
    <col min="9473" max="9473" width="5.85546875" style="370" customWidth="1"/>
    <col min="9474" max="9474" width="43.7109375" style="370" customWidth="1"/>
    <col min="9475" max="9476" width="10.7109375" style="370" customWidth="1"/>
    <col min="9477" max="9478" width="8.7109375" style="370" customWidth="1"/>
    <col min="9479" max="9480" width="8.5703125" style="370" customWidth="1"/>
    <col min="9481" max="9482" width="8.7109375" style="370" customWidth="1"/>
    <col min="9483" max="9483" width="8.5703125" style="370" customWidth="1"/>
    <col min="9484" max="9728" width="11.42578125" style="370"/>
    <col min="9729" max="9729" width="5.85546875" style="370" customWidth="1"/>
    <col min="9730" max="9730" width="43.7109375" style="370" customWidth="1"/>
    <col min="9731" max="9732" width="10.7109375" style="370" customWidth="1"/>
    <col min="9733" max="9734" width="8.7109375" style="370" customWidth="1"/>
    <col min="9735" max="9736" width="8.5703125" style="370" customWidth="1"/>
    <col min="9737" max="9738" width="8.7109375" style="370" customWidth="1"/>
    <col min="9739" max="9739" width="8.5703125" style="370" customWidth="1"/>
    <col min="9740" max="9984" width="11.42578125" style="370"/>
    <col min="9985" max="9985" width="5.85546875" style="370" customWidth="1"/>
    <col min="9986" max="9986" width="43.7109375" style="370" customWidth="1"/>
    <col min="9987" max="9988" width="10.7109375" style="370" customWidth="1"/>
    <col min="9989" max="9990" width="8.7109375" style="370" customWidth="1"/>
    <col min="9991" max="9992" width="8.5703125" style="370" customWidth="1"/>
    <col min="9993" max="9994" width="8.7109375" style="370" customWidth="1"/>
    <col min="9995" max="9995" width="8.5703125" style="370" customWidth="1"/>
    <col min="9996" max="10240" width="11.42578125" style="370"/>
    <col min="10241" max="10241" width="5.85546875" style="370" customWidth="1"/>
    <col min="10242" max="10242" width="43.7109375" style="370" customWidth="1"/>
    <col min="10243" max="10244" width="10.7109375" style="370" customWidth="1"/>
    <col min="10245" max="10246" width="8.7109375" style="370" customWidth="1"/>
    <col min="10247" max="10248" width="8.5703125" style="370" customWidth="1"/>
    <col min="10249" max="10250" width="8.7109375" style="370" customWidth="1"/>
    <col min="10251" max="10251" width="8.5703125" style="370" customWidth="1"/>
    <col min="10252" max="10496" width="11.42578125" style="370"/>
    <col min="10497" max="10497" width="5.85546875" style="370" customWidth="1"/>
    <col min="10498" max="10498" width="43.7109375" style="370" customWidth="1"/>
    <col min="10499" max="10500" width="10.7109375" style="370" customWidth="1"/>
    <col min="10501" max="10502" width="8.7109375" style="370" customWidth="1"/>
    <col min="10503" max="10504" width="8.5703125" style="370" customWidth="1"/>
    <col min="10505" max="10506" width="8.7109375" style="370" customWidth="1"/>
    <col min="10507" max="10507" width="8.5703125" style="370" customWidth="1"/>
    <col min="10508" max="10752" width="11.42578125" style="370"/>
    <col min="10753" max="10753" width="5.85546875" style="370" customWidth="1"/>
    <col min="10754" max="10754" width="43.7109375" style="370" customWidth="1"/>
    <col min="10755" max="10756" width="10.7109375" style="370" customWidth="1"/>
    <col min="10757" max="10758" width="8.7109375" style="370" customWidth="1"/>
    <col min="10759" max="10760" width="8.5703125" style="370" customWidth="1"/>
    <col min="10761" max="10762" width="8.7109375" style="370" customWidth="1"/>
    <col min="10763" max="10763" width="8.5703125" style="370" customWidth="1"/>
    <col min="10764" max="11008" width="11.42578125" style="370"/>
    <col min="11009" max="11009" width="5.85546875" style="370" customWidth="1"/>
    <col min="11010" max="11010" width="43.7109375" style="370" customWidth="1"/>
    <col min="11011" max="11012" width="10.7109375" style="370" customWidth="1"/>
    <col min="11013" max="11014" width="8.7109375" style="370" customWidth="1"/>
    <col min="11015" max="11016" width="8.5703125" style="370" customWidth="1"/>
    <col min="11017" max="11018" width="8.7109375" style="370" customWidth="1"/>
    <col min="11019" max="11019" width="8.5703125" style="370" customWidth="1"/>
    <col min="11020" max="11264" width="11.42578125" style="370"/>
    <col min="11265" max="11265" width="5.85546875" style="370" customWidth="1"/>
    <col min="11266" max="11266" width="43.7109375" style="370" customWidth="1"/>
    <col min="11267" max="11268" width="10.7109375" style="370" customWidth="1"/>
    <col min="11269" max="11270" width="8.7109375" style="370" customWidth="1"/>
    <col min="11271" max="11272" width="8.5703125" style="370" customWidth="1"/>
    <col min="11273" max="11274" width="8.7109375" style="370" customWidth="1"/>
    <col min="11275" max="11275" width="8.5703125" style="370" customWidth="1"/>
    <col min="11276" max="11520" width="11.42578125" style="370"/>
    <col min="11521" max="11521" width="5.85546875" style="370" customWidth="1"/>
    <col min="11522" max="11522" width="43.7109375" style="370" customWidth="1"/>
    <col min="11523" max="11524" width="10.7109375" style="370" customWidth="1"/>
    <col min="11525" max="11526" width="8.7109375" style="370" customWidth="1"/>
    <col min="11527" max="11528" width="8.5703125" style="370" customWidth="1"/>
    <col min="11529" max="11530" width="8.7109375" style="370" customWidth="1"/>
    <col min="11531" max="11531" width="8.5703125" style="370" customWidth="1"/>
    <col min="11532" max="11776" width="11.42578125" style="370"/>
    <col min="11777" max="11777" width="5.85546875" style="370" customWidth="1"/>
    <col min="11778" max="11778" width="43.7109375" style="370" customWidth="1"/>
    <col min="11779" max="11780" width="10.7109375" style="370" customWidth="1"/>
    <col min="11781" max="11782" width="8.7109375" style="370" customWidth="1"/>
    <col min="11783" max="11784" width="8.5703125" style="370" customWidth="1"/>
    <col min="11785" max="11786" width="8.7109375" style="370" customWidth="1"/>
    <col min="11787" max="11787" width="8.5703125" style="370" customWidth="1"/>
    <col min="11788" max="12032" width="11.42578125" style="370"/>
    <col min="12033" max="12033" width="5.85546875" style="370" customWidth="1"/>
    <col min="12034" max="12034" width="43.7109375" style="370" customWidth="1"/>
    <col min="12035" max="12036" width="10.7109375" style="370" customWidth="1"/>
    <col min="12037" max="12038" width="8.7109375" style="370" customWidth="1"/>
    <col min="12039" max="12040" width="8.5703125" style="370" customWidth="1"/>
    <col min="12041" max="12042" width="8.7109375" style="370" customWidth="1"/>
    <col min="12043" max="12043" width="8.5703125" style="370" customWidth="1"/>
    <col min="12044" max="12288" width="11.42578125" style="370"/>
    <col min="12289" max="12289" width="5.85546875" style="370" customWidth="1"/>
    <col min="12290" max="12290" width="43.7109375" style="370" customWidth="1"/>
    <col min="12291" max="12292" width="10.7109375" style="370" customWidth="1"/>
    <col min="12293" max="12294" width="8.7109375" style="370" customWidth="1"/>
    <col min="12295" max="12296" width="8.5703125" style="370" customWidth="1"/>
    <col min="12297" max="12298" width="8.7109375" style="370" customWidth="1"/>
    <col min="12299" max="12299" width="8.5703125" style="370" customWidth="1"/>
    <col min="12300" max="12544" width="11.42578125" style="370"/>
    <col min="12545" max="12545" width="5.85546875" style="370" customWidth="1"/>
    <col min="12546" max="12546" width="43.7109375" style="370" customWidth="1"/>
    <col min="12547" max="12548" width="10.7109375" style="370" customWidth="1"/>
    <col min="12549" max="12550" width="8.7109375" style="370" customWidth="1"/>
    <col min="12551" max="12552" width="8.5703125" style="370" customWidth="1"/>
    <col min="12553" max="12554" width="8.7109375" style="370" customWidth="1"/>
    <col min="12555" max="12555" width="8.5703125" style="370" customWidth="1"/>
    <col min="12556" max="12800" width="11.42578125" style="370"/>
    <col min="12801" max="12801" width="5.85546875" style="370" customWidth="1"/>
    <col min="12802" max="12802" width="43.7109375" style="370" customWidth="1"/>
    <col min="12803" max="12804" width="10.7109375" style="370" customWidth="1"/>
    <col min="12805" max="12806" width="8.7109375" style="370" customWidth="1"/>
    <col min="12807" max="12808" width="8.5703125" style="370" customWidth="1"/>
    <col min="12809" max="12810" width="8.7109375" style="370" customWidth="1"/>
    <col min="12811" max="12811" width="8.5703125" style="370" customWidth="1"/>
    <col min="12812" max="13056" width="11.42578125" style="370"/>
    <col min="13057" max="13057" width="5.85546875" style="370" customWidth="1"/>
    <col min="13058" max="13058" width="43.7109375" style="370" customWidth="1"/>
    <col min="13059" max="13060" width="10.7109375" style="370" customWidth="1"/>
    <col min="13061" max="13062" width="8.7109375" style="370" customWidth="1"/>
    <col min="13063" max="13064" width="8.5703125" style="370" customWidth="1"/>
    <col min="13065" max="13066" width="8.7109375" style="370" customWidth="1"/>
    <col min="13067" max="13067" width="8.5703125" style="370" customWidth="1"/>
    <col min="13068" max="13312" width="11.42578125" style="370"/>
    <col min="13313" max="13313" width="5.85546875" style="370" customWidth="1"/>
    <col min="13314" max="13314" width="43.7109375" style="370" customWidth="1"/>
    <col min="13315" max="13316" width="10.7109375" style="370" customWidth="1"/>
    <col min="13317" max="13318" width="8.7109375" style="370" customWidth="1"/>
    <col min="13319" max="13320" width="8.5703125" style="370" customWidth="1"/>
    <col min="13321" max="13322" width="8.7109375" style="370" customWidth="1"/>
    <col min="13323" max="13323" width="8.5703125" style="370" customWidth="1"/>
    <col min="13324" max="13568" width="11.42578125" style="370"/>
    <col min="13569" max="13569" width="5.85546875" style="370" customWidth="1"/>
    <col min="13570" max="13570" width="43.7109375" style="370" customWidth="1"/>
    <col min="13571" max="13572" width="10.7109375" style="370" customWidth="1"/>
    <col min="13573" max="13574" width="8.7109375" style="370" customWidth="1"/>
    <col min="13575" max="13576" width="8.5703125" style="370" customWidth="1"/>
    <col min="13577" max="13578" width="8.7109375" style="370" customWidth="1"/>
    <col min="13579" max="13579" width="8.5703125" style="370" customWidth="1"/>
    <col min="13580" max="13824" width="11.42578125" style="370"/>
    <col min="13825" max="13825" width="5.85546875" style="370" customWidth="1"/>
    <col min="13826" max="13826" width="43.7109375" style="370" customWidth="1"/>
    <col min="13827" max="13828" width="10.7109375" style="370" customWidth="1"/>
    <col min="13829" max="13830" width="8.7109375" style="370" customWidth="1"/>
    <col min="13831" max="13832" width="8.5703125" style="370" customWidth="1"/>
    <col min="13833" max="13834" width="8.7109375" style="370" customWidth="1"/>
    <col min="13835" max="13835" width="8.5703125" style="370" customWidth="1"/>
    <col min="13836" max="14080" width="11.42578125" style="370"/>
    <col min="14081" max="14081" width="5.85546875" style="370" customWidth="1"/>
    <col min="14082" max="14082" width="43.7109375" style="370" customWidth="1"/>
    <col min="14083" max="14084" width="10.7109375" style="370" customWidth="1"/>
    <col min="14085" max="14086" width="8.7109375" style="370" customWidth="1"/>
    <col min="14087" max="14088" width="8.5703125" style="370" customWidth="1"/>
    <col min="14089" max="14090" width="8.7109375" style="370" customWidth="1"/>
    <col min="14091" max="14091" width="8.5703125" style="370" customWidth="1"/>
    <col min="14092" max="14336" width="11.42578125" style="370"/>
    <col min="14337" max="14337" width="5.85546875" style="370" customWidth="1"/>
    <col min="14338" max="14338" width="43.7109375" style="370" customWidth="1"/>
    <col min="14339" max="14340" width="10.7109375" style="370" customWidth="1"/>
    <col min="14341" max="14342" width="8.7109375" style="370" customWidth="1"/>
    <col min="14343" max="14344" width="8.5703125" style="370" customWidth="1"/>
    <col min="14345" max="14346" width="8.7109375" style="370" customWidth="1"/>
    <col min="14347" max="14347" width="8.5703125" style="370" customWidth="1"/>
    <col min="14348" max="14592" width="11.42578125" style="370"/>
    <col min="14593" max="14593" width="5.85546875" style="370" customWidth="1"/>
    <col min="14594" max="14594" width="43.7109375" style="370" customWidth="1"/>
    <col min="14595" max="14596" width="10.7109375" style="370" customWidth="1"/>
    <col min="14597" max="14598" width="8.7109375" style="370" customWidth="1"/>
    <col min="14599" max="14600" width="8.5703125" style="370" customWidth="1"/>
    <col min="14601" max="14602" width="8.7109375" style="370" customWidth="1"/>
    <col min="14603" max="14603" width="8.5703125" style="370" customWidth="1"/>
    <col min="14604" max="14848" width="11.42578125" style="370"/>
    <col min="14849" max="14849" width="5.85546875" style="370" customWidth="1"/>
    <col min="14850" max="14850" width="43.7109375" style="370" customWidth="1"/>
    <col min="14851" max="14852" width="10.7109375" style="370" customWidth="1"/>
    <col min="14853" max="14854" width="8.7109375" style="370" customWidth="1"/>
    <col min="14855" max="14856" width="8.5703125" style="370" customWidth="1"/>
    <col min="14857" max="14858" width="8.7109375" style="370" customWidth="1"/>
    <col min="14859" max="14859" width="8.5703125" style="370" customWidth="1"/>
    <col min="14860" max="15104" width="11.42578125" style="370"/>
    <col min="15105" max="15105" width="5.85546875" style="370" customWidth="1"/>
    <col min="15106" max="15106" width="43.7109375" style="370" customWidth="1"/>
    <col min="15107" max="15108" width="10.7109375" style="370" customWidth="1"/>
    <col min="15109" max="15110" width="8.7109375" style="370" customWidth="1"/>
    <col min="15111" max="15112" width="8.5703125" style="370" customWidth="1"/>
    <col min="15113" max="15114" width="8.7109375" style="370" customWidth="1"/>
    <col min="15115" max="15115" width="8.5703125" style="370" customWidth="1"/>
    <col min="15116" max="15360" width="11.42578125" style="370"/>
    <col min="15361" max="15361" width="5.85546875" style="370" customWidth="1"/>
    <col min="15362" max="15362" width="43.7109375" style="370" customWidth="1"/>
    <col min="15363" max="15364" width="10.7109375" style="370" customWidth="1"/>
    <col min="15365" max="15366" width="8.7109375" style="370" customWidth="1"/>
    <col min="15367" max="15368" width="8.5703125" style="370" customWidth="1"/>
    <col min="15369" max="15370" width="8.7109375" style="370" customWidth="1"/>
    <col min="15371" max="15371" width="8.5703125" style="370" customWidth="1"/>
    <col min="15372" max="15616" width="11.42578125" style="370"/>
    <col min="15617" max="15617" width="5.85546875" style="370" customWidth="1"/>
    <col min="15618" max="15618" width="43.7109375" style="370" customWidth="1"/>
    <col min="15619" max="15620" width="10.7109375" style="370" customWidth="1"/>
    <col min="15621" max="15622" width="8.7109375" style="370" customWidth="1"/>
    <col min="15623" max="15624" width="8.5703125" style="370" customWidth="1"/>
    <col min="15625" max="15626" width="8.7109375" style="370" customWidth="1"/>
    <col min="15627" max="15627" width="8.5703125" style="370" customWidth="1"/>
    <col min="15628" max="15872" width="11.42578125" style="370"/>
    <col min="15873" max="15873" width="5.85546875" style="370" customWidth="1"/>
    <col min="15874" max="15874" width="43.7109375" style="370" customWidth="1"/>
    <col min="15875" max="15876" width="10.7109375" style="370" customWidth="1"/>
    <col min="15877" max="15878" width="8.7109375" style="370" customWidth="1"/>
    <col min="15879" max="15880" width="8.5703125" style="370" customWidth="1"/>
    <col min="15881" max="15882" width="8.7109375" style="370" customWidth="1"/>
    <col min="15883" max="15883" width="8.5703125" style="370" customWidth="1"/>
    <col min="15884" max="16128" width="11.42578125" style="370"/>
    <col min="16129" max="16129" width="5.85546875" style="370" customWidth="1"/>
    <col min="16130" max="16130" width="43.7109375" style="370" customWidth="1"/>
    <col min="16131" max="16132" width="10.7109375" style="370" customWidth="1"/>
    <col min="16133" max="16134" width="8.7109375" style="370" customWidth="1"/>
    <col min="16135" max="16136" width="8.5703125" style="370" customWidth="1"/>
    <col min="16137" max="16138" width="8.7109375" style="370" customWidth="1"/>
    <col min="16139" max="16139" width="8.5703125" style="370" customWidth="1"/>
    <col min="16140" max="16384" width="11.42578125" style="370"/>
  </cols>
  <sheetData>
    <row r="1" spans="1:12" x14ac:dyDescent="0.2">
      <c r="B1" s="371"/>
      <c r="C1" s="371"/>
      <c r="D1" s="372"/>
      <c r="E1" s="372"/>
      <c r="F1" s="372"/>
      <c r="G1" s="372"/>
      <c r="H1" s="372"/>
      <c r="I1" s="372"/>
      <c r="J1" s="372"/>
      <c r="K1" s="372"/>
      <c r="L1" s="371"/>
    </row>
    <row r="2" spans="1:12" x14ac:dyDescent="0.2">
      <c r="B2" s="371"/>
      <c r="C2" s="371"/>
      <c r="D2" s="372"/>
      <c r="E2" s="372"/>
      <c r="F2" s="372"/>
      <c r="G2" s="372"/>
      <c r="H2" s="372"/>
      <c r="I2" s="372"/>
      <c r="J2" s="372"/>
      <c r="K2" s="372"/>
      <c r="L2" s="371"/>
    </row>
    <row r="3" spans="1:12" x14ac:dyDescent="0.2">
      <c r="B3" s="371"/>
      <c r="C3" s="371"/>
      <c r="D3" s="372"/>
      <c r="E3" s="372"/>
      <c r="F3" s="372"/>
      <c r="G3" s="372"/>
      <c r="H3" s="372"/>
      <c r="I3" s="372"/>
      <c r="J3" s="372"/>
      <c r="K3" s="372"/>
      <c r="L3" s="371"/>
    </row>
    <row r="4" spans="1:12" x14ac:dyDescent="0.2">
      <c r="B4" s="371"/>
      <c r="C4" s="371"/>
      <c r="D4" s="372"/>
      <c r="E4" s="372"/>
      <c r="F4" s="372"/>
      <c r="G4" s="372"/>
      <c r="H4" s="372"/>
      <c r="I4" s="372"/>
      <c r="J4" s="372"/>
      <c r="K4" s="372"/>
      <c r="L4" s="371"/>
    </row>
    <row r="5" spans="1:12" x14ac:dyDescent="0.2">
      <c r="B5" s="371"/>
      <c r="C5" s="371"/>
      <c r="D5" s="372"/>
      <c r="E5" s="372"/>
      <c r="F5" s="372"/>
      <c r="G5" s="372"/>
      <c r="H5" s="372"/>
      <c r="I5" s="372"/>
      <c r="J5" s="372"/>
      <c r="K5" s="372"/>
      <c r="L5" s="371"/>
    </row>
    <row r="6" spans="1:12" x14ac:dyDescent="0.2">
      <c r="A6" s="373"/>
      <c r="B6" s="374"/>
      <c r="C6" s="374"/>
      <c r="D6" s="375"/>
      <c r="E6" s="375"/>
      <c r="F6" s="375"/>
      <c r="G6" s="375"/>
      <c r="H6" s="375"/>
      <c r="I6" s="375"/>
      <c r="J6" s="375"/>
      <c r="K6" s="375"/>
      <c r="L6" s="371"/>
    </row>
    <row r="7" spans="1:12" s="378" customFormat="1" ht="29.25" customHeight="1" x14ac:dyDescent="0.2">
      <c r="A7" s="376"/>
      <c r="B7" s="377" t="s">
        <v>157</v>
      </c>
      <c r="C7" s="377"/>
      <c r="D7" s="377"/>
      <c r="E7" s="377"/>
      <c r="F7" s="377"/>
      <c r="G7" s="377"/>
      <c r="H7" s="377"/>
      <c r="I7" s="377"/>
      <c r="J7" s="377"/>
      <c r="K7" s="377"/>
      <c r="L7" s="377"/>
    </row>
    <row r="8" spans="1:12" s="378" customFormat="1" ht="19.5" customHeight="1" x14ac:dyDescent="0.2">
      <c r="A8" s="376"/>
      <c r="B8" s="379" t="s">
        <v>158</v>
      </c>
      <c r="C8" s="379"/>
      <c r="D8" s="379"/>
      <c r="E8" s="379"/>
      <c r="F8" s="379"/>
      <c r="G8" s="379"/>
      <c r="H8" s="379"/>
      <c r="I8" s="379"/>
      <c r="J8" s="379"/>
      <c r="K8" s="379"/>
      <c r="L8" s="379"/>
    </row>
    <row r="9" spans="1:12" s="378" customFormat="1" ht="21" customHeight="1" x14ac:dyDescent="0.2">
      <c r="A9" s="376"/>
      <c r="B9" s="379" t="s">
        <v>159</v>
      </c>
      <c r="C9" s="379"/>
      <c r="D9" s="379"/>
      <c r="E9" s="379"/>
      <c r="F9" s="379"/>
      <c r="G9" s="379"/>
      <c r="H9" s="379"/>
      <c r="I9" s="379"/>
      <c r="J9" s="379"/>
      <c r="K9" s="379"/>
      <c r="L9" s="379"/>
    </row>
    <row r="10" spans="1:12" s="378" customFormat="1" ht="19.5" customHeight="1" x14ac:dyDescent="0.2">
      <c r="A10" s="376"/>
      <c r="B10" s="379" t="s">
        <v>160</v>
      </c>
      <c r="C10" s="379"/>
      <c r="D10" s="379"/>
      <c r="E10" s="379"/>
      <c r="F10" s="379"/>
      <c r="G10" s="379"/>
      <c r="H10" s="379"/>
      <c r="I10" s="379"/>
      <c r="J10" s="379"/>
      <c r="K10" s="379"/>
      <c r="L10" s="379"/>
    </row>
    <row r="11" spans="1:12" ht="16.5" customHeight="1" x14ac:dyDescent="0.2">
      <c r="A11" s="373"/>
      <c r="B11" s="374"/>
      <c r="C11" s="374"/>
      <c r="D11" s="375"/>
      <c r="E11" s="375"/>
      <c r="F11" s="375"/>
      <c r="G11" s="375"/>
      <c r="H11" s="375"/>
      <c r="I11" s="375"/>
      <c r="J11" s="375"/>
      <c r="K11" s="375"/>
      <c r="L11" s="371"/>
    </row>
    <row r="12" spans="1:12" ht="19.899999999999999" customHeight="1" x14ac:dyDescent="0.2">
      <c r="A12" s="380"/>
      <c r="B12" s="381" t="s">
        <v>161</v>
      </c>
      <c r="C12" s="382" t="s">
        <v>162</v>
      </c>
      <c r="D12" s="382"/>
      <c r="E12" s="382"/>
      <c r="F12" s="382" t="s">
        <v>163</v>
      </c>
      <c r="G12" s="382"/>
      <c r="H12" s="382"/>
      <c r="I12" s="382" t="s">
        <v>164</v>
      </c>
      <c r="J12" s="382"/>
      <c r="K12" s="382"/>
      <c r="L12" s="383" t="s">
        <v>165</v>
      </c>
    </row>
    <row r="13" spans="1:12" ht="12.75" customHeight="1" x14ac:dyDescent="0.2">
      <c r="A13" s="380"/>
      <c r="B13" s="381"/>
      <c r="C13" s="384" t="s">
        <v>166</v>
      </c>
      <c r="D13" s="384" t="s">
        <v>167</v>
      </c>
      <c r="E13" s="384" t="s">
        <v>168</v>
      </c>
      <c r="F13" s="384" t="s">
        <v>166</v>
      </c>
      <c r="G13" s="384" t="s">
        <v>167</v>
      </c>
      <c r="H13" s="384" t="s">
        <v>168</v>
      </c>
      <c r="I13" s="384" t="s">
        <v>166</v>
      </c>
      <c r="J13" s="384" t="s">
        <v>167</v>
      </c>
      <c r="K13" s="384" t="s">
        <v>168</v>
      </c>
      <c r="L13" s="383"/>
    </row>
    <row r="14" spans="1:12" ht="17.100000000000001" customHeight="1" x14ac:dyDescent="0.2">
      <c r="A14" s="385"/>
      <c r="B14" s="386"/>
      <c r="C14" s="386"/>
      <c r="D14" s="387"/>
      <c r="E14" s="387"/>
      <c r="F14" s="387"/>
      <c r="G14" s="387"/>
      <c r="H14" s="387"/>
      <c r="I14" s="387"/>
      <c r="J14" s="387"/>
      <c r="K14" s="387"/>
      <c r="L14" s="371"/>
    </row>
    <row r="15" spans="1:12" ht="19.899999999999999" customHeight="1" x14ac:dyDescent="0.2">
      <c r="A15" s="385"/>
      <c r="B15" s="388" t="s">
        <v>169</v>
      </c>
      <c r="C15" s="389"/>
      <c r="D15" s="390"/>
      <c r="E15" s="390"/>
      <c r="F15" s="390"/>
      <c r="G15" s="390"/>
      <c r="H15" s="390"/>
      <c r="I15" s="390"/>
      <c r="J15" s="390"/>
      <c r="K15" s="390"/>
      <c r="L15" s="391"/>
    </row>
    <row r="16" spans="1:12" ht="15.6" customHeight="1" x14ac:dyDescent="0.2">
      <c r="A16" s="385"/>
      <c r="B16" s="386"/>
      <c r="C16" s="386"/>
      <c r="D16" s="387"/>
      <c r="E16" s="387"/>
      <c r="F16" s="387"/>
      <c r="G16" s="387"/>
      <c r="H16" s="387"/>
      <c r="I16" s="387"/>
      <c r="J16" s="387"/>
      <c r="K16" s="387"/>
      <c r="L16" s="371"/>
    </row>
    <row r="17" spans="1:12" ht="15.6" customHeight="1" x14ac:dyDescent="0.2">
      <c r="A17" s="373"/>
      <c r="B17" s="392" t="s">
        <v>170</v>
      </c>
      <c r="C17" s="393">
        <f>+85.42+89.29</f>
        <v>174.71</v>
      </c>
      <c r="D17" s="394">
        <f>+82.22+89.29</f>
        <v>171.51</v>
      </c>
      <c r="E17" s="395">
        <f t="shared" ref="E17:E36" si="0">+D17*100/C17</f>
        <v>98.168393337530759</v>
      </c>
      <c r="F17" s="394">
        <f>+86+90</f>
        <v>176</v>
      </c>
      <c r="G17" s="394">
        <f>+85.42+96.67</f>
        <v>182.09</v>
      </c>
      <c r="H17" s="395">
        <f t="shared" ref="H17:H54" si="1">+G17*100/F17</f>
        <v>103.46022727272727</v>
      </c>
      <c r="I17" s="394">
        <f>+86+87.5+0</f>
        <v>173.5</v>
      </c>
      <c r="J17" s="394">
        <f>+86+84.38+0</f>
        <v>170.38</v>
      </c>
      <c r="K17" s="395">
        <f t="shared" ref="K17:K54" si="2">+J17*100/I17</f>
        <v>98.201729106628235</v>
      </c>
      <c r="L17" s="396">
        <f t="shared" ref="L17:L36" si="3">+(E17+H17+K17)/3</f>
        <v>99.943449905628754</v>
      </c>
    </row>
    <row r="18" spans="1:12" ht="15.6" customHeight="1" x14ac:dyDescent="0.2">
      <c r="A18" s="373"/>
      <c r="B18" s="397" t="s">
        <v>171</v>
      </c>
      <c r="C18" s="398">
        <f>+90+70+70</f>
        <v>230</v>
      </c>
      <c r="D18" s="399">
        <f>+150+71.71+70</f>
        <v>291.70999999999998</v>
      </c>
      <c r="E18" s="400">
        <f t="shared" si="0"/>
        <v>126.83043478260868</v>
      </c>
      <c r="F18" s="401">
        <f>+90+70+70</f>
        <v>230</v>
      </c>
      <c r="G18" s="401">
        <f>+83.82+65.43+66</f>
        <v>215.25</v>
      </c>
      <c r="H18" s="400">
        <f t="shared" si="1"/>
        <v>93.586956521739125</v>
      </c>
      <c r="I18" s="401">
        <f>+90+70+70</f>
        <v>230</v>
      </c>
      <c r="J18" s="401">
        <f>+96+74+71.42</f>
        <v>241.42000000000002</v>
      </c>
      <c r="K18" s="400">
        <f t="shared" si="2"/>
        <v>104.96521739130435</v>
      </c>
      <c r="L18" s="396">
        <f t="shared" si="3"/>
        <v>108.46086956521738</v>
      </c>
    </row>
    <row r="19" spans="1:12" ht="15.6" customHeight="1" x14ac:dyDescent="0.2">
      <c r="A19" s="373"/>
      <c r="B19" s="392" t="s">
        <v>172</v>
      </c>
      <c r="C19" s="393">
        <f>+67.1+97.5</f>
        <v>164.6</v>
      </c>
      <c r="D19" s="402">
        <f>+73.42+178.33</f>
        <v>251.75</v>
      </c>
      <c r="E19" s="395">
        <f t="shared" si="0"/>
        <v>152.94653705953829</v>
      </c>
      <c r="F19" s="402">
        <f>+67.1+97.5</f>
        <v>164.6</v>
      </c>
      <c r="G19" s="402">
        <f>+69.62+101.67</f>
        <v>171.29000000000002</v>
      </c>
      <c r="H19" s="395">
        <f t="shared" si="1"/>
        <v>104.06439854191983</v>
      </c>
      <c r="I19" s="402">
        <f>+97.5+97.7</f>
        <v>195.2</v>
      </c>
      <c r="J19" s="402">
        <f>+97.47+154.86</f>
        <v>252.33</v>
      </c>
      <c r="K19" s="395">
        <f t="shared" si="2"/>
        <v>129.26741803278691</v>
      </c>
      <c r="L19" s="396">
        <f t="shared" si="3"/>
        <v>128.75945121141501</v>
      </c>
    </row>
    <row r="20" spans="1:12" ht="15.6" customHeight="1" x14ac:dyDescent="0.2">
      <c r="A20" s="373"/>
      <c r="B20" s="397" t="s">
        <v>173</v>
      </c>
      <c r="C20" s="398">
        <f>+90+10+95+90+90+90+30</f>
        <v>495</v>
      </c>
      <c r="D20" s="403">
        <f>+83.4+8.41+100+100+95.89+96.78+23.1</f>
        <v>507.58000000000004</v>
      </c>
      <c r="E20" s="400">
        <f t="shared" si="0"/>
        <v>102.54141414141415</v>
      </c>
      <c r="F20" s="403">
        <f>+90+10+95+90+90+90+30</f>
        <v>495</v>
      </c>
      <c r="G20" s="403">
        <f>+83.13+7.65+100+100+92.64+98.1+23.94</f>
        <v>505.46</v>
      </c>
      <c r="H20" s="400">
        <f t="shared" si="1"/>
        <v>102.11313131313132</v>
      </c>
      <c r="I20" s="403">
        <f>+90+10+95+90+90+90+30</f>
        <v>495</v>
      </c>
      <c r="J20" s="403">
        <f>+85+8.6+100+100+90.35+96.44+24.25</f>
        <v>504.64000000000004</v>
      </c>
      <c r="K20" s="400">
        <f t="shared" si="2"/>
        <v>101.94747474747476</v>
      </c>
      <c r="L20" s="396">
        <f t="shared" si="3"/>
        <v>102.20067340067341</v>
      </c>
    </row>
    <row r="21" spans="1:12" ht="15.6" customHeight="1" x14ac:dyDescent="0.2">
      <c r="A21" s="373"/>
      <c r="B21" s="392" t="s">
        <v>174</v>
      </c>
      <c r="C21" s="393">
        <f>+5+5+100+100+100+100+100+100</f>
        <v>610</v>
      </c>
      <c r="D21" s="402">
        <f>+28.62+26.85+100+100+100+100+0+83.2</f>
        <v>538.67000000000007</v>
      </c>
      <c r="E21" s="395">
        <f t="shared" si="0"/>
        <v>88.306557377049188</v>
      </c>
      <c r="F21" s="393">
        <f>+15+10+100+100+100+100+100+100</f>
        <v>625</v>
      </c>
      <c r="G21" s="402">
        <f>+14.46+15.35+100+100+100+100+0+99.99</f>
        <v>529.79999999999995</v>
      </c>
      <c r="H21" s="395">
        <f t="shared" si="1"/>
        <v>84.767999999999986</v>
      </c>
      <c r="I21" s="402">
        <f>+15+10+100+100+100+100+100</f>
        <v>525</v>
      </c>
      <c r="J21" s="402">
        <f>+14.72+9.76+100+100+100+100+72.75</f>
        <v>497.23</v>
      </c>
      <c r="K21" s="395">
        <f t="shared" si="2"/>
        <v>94.710476190476186</v>
      </c>
      <c r="L21" s="396">
        <f t="shared" si="3"/>
        <v>89.261677855841796</v>
      </c>
    </row>
    <row r="22" spans="1:12" ht="15.6" customHeight="1" x14ac:dyDescent="0.2">
      <c r="A22" s="373"/>
      <c r="B22" s="397" t="s">
        <v>175</v>
      </c>
      <c r="C22" s="398">
        <f>+100+100+100+100+100+100</f>
        <v>600</v>
      </c>
      <c r="D22" s="398">
        <f>+100+100+100+100+100+100</f>
        <v>600</v>
      </c>
      <c r="E22" s="400">
        <f t="shared" si="0"/>
        <v>100</v>
      </c>
      <c r="F22" s="398">
        <f>+100+100+100+100+100+100+100+100+100+100</f>
        <v>1000</v>
      </c>
      <c r="G22" s="398">
        <f>+100+100+100+100+100+100+100+100+100+100</f>
        <v>1000</v>
      </c>
      <c r="H22" s="400">
        <f t="shared" si="1"/>
        <v>100</v>
      </c>
      <c r="I22" s="398">
        <f>+100+100+100+100+100+100+100+100+100+100</f>
        <v>1000</v>
      </c>
      <c r="J22" s="398">
        <f>+100+100+100+100+100+100+100+100+100+100</f>
        <v>1000</v>
      </c>
      <c r="K22" s="400">
        <f t="shared" si="2"/>
        <v>100</v>
      </c>
      <c r="L22" s="396">
        <f t="shared" si="3"/>
        <v>100</v>
      </c>
    </row>
    <row r="23" spans="1:12" ht="15.6" customHeight="1" x14ac:dyDescent="0.2">
      <c r="A23" s="373"/>
      <c r="B23" s="392" t="s">
        <v>176</v>
      </c>
      <c r="C23" s="393">
        <f>+80+95+105</f>
        <v>280</v>
      </c>
      <c r="D23" s="402">
        <f>+64+96+109.82</f>
        <v>269.82</v>
      </c>
      <c r="E23" s="395">
        <f t="shared" si="0"/>
        <v>96.364285714285714</v>
      </c>
      <c r="F23" s="402">
        <f>+60+95+105</f>
        <v>260</v>
      </c>
      <c r="G23" s="402">
        <f>+27.3+70.48+101.35</f>
        <v>199.13</v>
      </c>
      <c r="H23" s="395">
        <f t="shared" si="1"/>
        <v>76.588461538461544</v>
      </c>
      <c r="I23" s="402">
        <f>+60+95+105</f>
        <v>260</v>
      </c>
      <c r="J23" s="402">
        <f>+56.19+97.18+108.67</f>
        <v>262.04000000000002</v>
      </c>
      <c r="K23" s="395">
        <f t="shared" si="2"/>
        <v>100.78461538461539</v>
      </c>
      <c r="L23" s="396">
        <f t="shared" si="3"/>
        <v>91.24578754578755</v>
      </c>
    </row>
    <row r="24" spans="1:12" ht="15.6" customHeight="1" x14ac:dyDescent="0.2">
      <c r="A24" s="373"/>
      <c r="B24" s="397" t="s">
        <v>177</v>
      </c>
      <c r="C24" s="398">
        <f>+50+40+1.75+100+100+40+100+100+100+100+100+100+100</f>
        <v>1031.75</v>
      </c>
      <c r="D24" s="403">
        <f>+65.15+42+0+100+100+97+100+100+100+100+100+76+27</f>
        <v>1007.15</v>
      </c>
      <c r="E24" s="400">
        <f t="shared" si="0"/>
        <v>97.615701478071244</v>
      </c>
      <c r="F24" s="403">
        <f>+50+40+1.75+100+100+40+100+100+100+100+100+100+100</f>
        <v>1031.75</v>
      </c>
      <c r="G24" s="403">
        <f>+7+41+7+0+0+49+100+100+100+100+100+35.58+33.33</f>
        <v>672.91000000000008</v>
      </c>
      <c r="H24" s="400">
        <f t="shared" si="1"/>
        <v>65.220256845165991</v>
      </c>
      <c r="I24" s="403">
        <f>+100+80+3.5+100+100+80+100+100+100+100+100+63.6+33.3</f>
        <v>1060.3999999999999</v>
      </c>
      <c r="J24" s="403">
        <f>+7.56+172+5.12+100+100+100+95+100+100+100+100+41.46+6.67</f>
        <v>1027.8100000000002</v>
      </c>
      <c r="K24" s="400">
        <f t="shared" si="2"/>
        <v>96.92663145982651</v>
      </c>
      <c r="L24" s="396">
        <f t="shared" si="3"/>
        <v>86.58752992768791</v>
      </c>
    </row>
    <row r="25" spans="1:12" ht="15.6" customHeight="1" x14ac:dyDescent="0.2">
      <c r="A25" s="373"/>
      <c r="B25" s="392" t="s">
        <v>178</v>
      </c>
      <c r="C25" s="402">
        <f>+100+100+100+100+100+100+100+100</f>
        <v>800</v>
      </c>
      <c r="D25" s="402">
        <f>+100+100+100+100+100+100+100+100</f>
        <v>800</v>
      </c>
      <c r="E25" s="395">
        <f t="shared" si="0"/>
        <v>100</v>
      </c>
      <c r="F25" s="402">
        <f>+100+100+100+100+100+100+100+100</f>
        <v>800</v>
      </c>
      <c r="G25" s="402">
        <f>+100+100+100+100+100+100+100+100</f>
        <v>800</v>
      </c>
      <c r="H25" s="395">
        <f t="shared" si="1"/>
        <v>100</v>
      </c>
      <c r="I25" s="402">
        <f>+100+100+100+100+100+100+100+100+100</f>
        <v>900</v>
      </c>
      <c r="J25" s="402">
        <f>+100+100+100+100+100+100+100+100+100</f>
        <v>900</v>
      </c>
      <c r="K25" s="395">
        <f t="shared" si="2"/>
        <v>100</v>
      </c>
      <c r="L25" s="396">
        <f t="shared" si="3"/>
        <v>100</v>
      </c>
    </row>
    <row r="26" spans="1:12" ht="15.6" customHeight="1" x14ac:dyDescent="0.2">
      <c r="A26" s="373"/>
      <c r="B26" s="397" t="s">
        <v>179</v>
      </c>
      <c r="C26" s="398">
        <f>+100+40+30</f>
        <v>170</v>
      </c>
      <c r="D26" s="398">
        <f>+0+0+166.6</f>
        <v>166.6</v>
      </c>
      <c r="E26" s="400">
        <f t="shared" si="0"/>
        <v>98</v>
      </c>
      <c r="F26" s="403">
        <f>+30+40+30</f>
        <v>100</v>
      </c>
      <c r="G26" s="403">
        <f>+0+51.35+128.85</f>
        <v>180.2</v>
      </c>
      <c r="H26" s="400">
        <f t="shared" si="1"/>
        <v>180.2</v>
      </c>
      <c r="I26" s="403">
        <f>+50+60+50</f>
        <v>160</v>
      </c>
      <c r="J26" s="403">
        <f>+0+64.86+137.74</f>
        <v>202.60000000000002</v>
      </c>
      <c r="K26" s="400">
        <f t="shared" si="2"/>
        <v>126.62500000000003</v>
      </c>
      <c r="L26" s="396">
        <f t="shared" si="3"/>
        <v>134.94166666666669</v>
      </c>
    </row>
    <row r="27" spans="1:12" ht="15.6" customHeight="1" x14ac:dyDescent="0.2">
      <c r="A27" s="373"/>
      <c r="B27" s="392" t="s">
        <v>180</v>
      </c>
      <c r="C27" s="393">
        <f>+100+100+100+100+100+100+100+100+100+50+100+33+20</f>
        <v>1103</v>
      </c>
      <c r="D27" s="402">
        <f>+100+100+100+100+100+100+100+100+100+49.8+100+33.69+22</f>
        <v>1105.49</v>
      </c>
      <c r="E27" s="395">
        <f t="shared" si="0"/>
        <v>100.22574796010879</v>
      </c>
      <c r="F27" s="393">
        <f>+100+100+100+100+100+100+100+100+100+50+100+50+20</f>
        <v>1120</v>
      </c>
      <c r="G27" s="393">
        <f>+100+100+100+100+100+100+100+100+100+54.2+94+49.59+24.29</f>
        <v>1122.08</v>
      </c>
      <c r="H27" s="395">
        <f t="shared" si="1"/>
        <v>100.18571428571428</v>
      </c>
      <c r="I27" s="402">
        <f>+100+100+100+100+100+100+100+100+100+50+100+100+20</f>
        <v>1170</v>
      </c>
      <c r="J27" s="402">
        <f>+100+100+100+100+100+100+100+100+100+71.2+100+50.82+20.86</f>
        <v>1142.8799999999999</v>
      </c>
      <c r="K27" s="395">
        <f t="shared" si="2"/>
        <v>97.682051282051276</v>
      </c>
      <c r="L27" s="396">
        <f t="shared" si="3"/>
        <v>99.364504509291464</v>
      </c>
    </row>
    <row r="28" spans="1:12" ht="15.6" customHeight="1" x14ac:dyDescent="0.2">
      <c r="A28" s="373"/>
      <c r="B28" s="397" t="s">
        <v>181</v>
      </c>
      <c r="C28" s="404">
        <f t="shared" ref="C28:D35" si="4">+100+100</f>
        <v>200</v>
      </c>
      <c r="D28" s="404">
        <f t="shared" si="4"/>
        <v>200</v>
      </c>
      <c r="E28" s="400">
        <f t="shared" si="0"/>
        <v>100</v>
      </c>
      <c r="F28" s="404">
        <f t="shared" ref="F28:G35" si="5">+100+100</f>
        <v>200</v>
      </c>
      <c r="G28" s="404">
        <f t="shared" si="5"/>
        <v>200</v>
      </c>
      <c r="H28" s="400">
        <f t="shared" si="1"/>
        <v>100</v>
      </c>
      <c r="I28" s="404">
        <f t="shared" ref="I28:J35" si="6">+100+100</f>
        <v>200</v>
      </c>
      <c r="J28" s="404">
        <f t="shared" si="6"/>
        <v>200</v>
      </c>
      <c r="K28" s="400">
        <f t="shared" si="2"/>
        <v>100</v>
      </c>
      <c r="L28" s="396">
        <f t="shared" si="3"/>
        <v>100</v>
      </c>
    </row>
    <row r="29" spans="1:12" ht="15.6" customHeight="1" x14ac:dyDescent="0.2">
      <c r="A29" s="373"/>
      <c r="B29" s="392" t="s">
        <v>182</v>
      </c>
      <c r="C29" s="405">
        <f t="shared" si="4"/>
        <v>200</v>
      </c>
      <c r="D29" s="405">
        <f t="shared" si="4"/>
        <v>200</v>
      </c>
      <c r="E29" s="395">
        <f t="shared" si="0"/>
        <v>100</v>
      </c>
      <c r="F29" s="405">
        <f t="shared" si="5"/>
        <v>200</v>
      </c>
      <c r="G29" s="405">
        <f t="shared" si="5"/>
        <v>200</v>
      </c>
      <c r="H29" s="395">
        <f t="shared" si="1"/>
        <v>100</v>
      </c>
      <c r="I29" s="405">
        <f t="shared" si="6"/>
        <v>200</v>
      </c>
      <c r="J29" s="405">
        <f t="shared" si="6"/>
        <v>200</v>
      </c>
      <c r="K29" s="395">
        <f t="shared" si="2"/>
        <v>100</v>
      </c>
      <c r="L29" s="396">
        <f t="shared" si="3"/>
        <v>100</v>
      </c>
    </row>
    <row r="30" spans="1:12" ht="15.6" customHeight="1" x14ac:dyDescent="0.2">
      <c r="A30" s="373"/>
      <c r="B30" s="397" t="s">
        <v>183</v>
      </c>
      <c r="C30" s="404">
        <f t="shared" si="4"/>
        <v>200</v>
      </c>
      <c r="D30" s="404">
        <f t="shared" si="4"/>
        <v>200</v>
      </c>
      <c r="E30" s="400">
        <f t="shared" si="0"/>
        <v>100</v>
      </c>
      <c r="F30" s="404">
        <f t="shared" si="5"/>
        <v>200</v>
      </c>
      <c r="G30" s="404">
        <f t="shared" si="5"/>
        <v>200</v>
      </c>
      <c r="H30" s="400">
        <f t="shared" si="1"/>
        <v>100</v>
      </c>
      <c r="I30" s="404">
        <f t="shared" si="6"/>
        <v>200</v>
      </c>
      <c r="J30" s="404">
        <f t="shared" si="6"/>
        <v>200</v>
      </c>
      <c r="K30" s="400">
        <f t="shared" si="2"/>
        <v>100</v>
      </c>
      <c r="L30" s="396">
        <f t="shared" si="3"/>
        <v>100</v>
      </c>
    </row>
    <row r="31" spans="1:12" ht="15.6" customHeight="1" x14ac:dyDescent="0.2">
      <c r="A31" s="373"/>
      <c r="B31" s="392" t="s">
        <v>184</v>
      </c>
      <c r="C31" s="405">
        <f t="shared" si="4"/>
        <v>200</v>
      </c>
      <c r="D31" s="405">
        <f t="shared" si="4"/>
        <v>200</v>
      </c>
      <c r="E31" s="395">
        <f t="shared" si="0"/>
        <v>100</v>
      </c>
      <c r="F31" s="405">
        <f t="shared" si="5"/>
        <v>200</v>
      </c>
      <c r="G31" s="405">
        <f t="shared" si="5"/>
        <v>200</v>
      </c>
      <c r="H31" s="395">
        <f t="shared" si="1"/>
        <v>100</v>
      </c>
      <c r="I31" s="405">
        <f t="shared" si="6"/>
        <v>200</v>
      </c>
      <c r="J31" s="405">
        <f t="shared" si="6"/>
        <v>200</v>
      </c>
      <c r="K31" s="395">
        <f t="shared" si="2"/>
        <v>100</v>
      </c>
      <c r="L31" s="396">
        <f t="shared" si="3"/>
        <v>100</v>
      </c>
    </row>
    <row r="32" spans="1:12" ht="15.6" customHeight="1" x14ac:dyDescent="0.2">
      <c r="A32" s="373"/>
      <c r="B32" s="397" t="s">
        <v>185</v>
      </c>
      <c r="C32" s="404">
        <f t="shared" si="4"/>
        <v>200</v>
      </c>
      <c r="D32" s="404">
        <f t="shared" si="4"/>
        <v>200</v>
      </c>
      <c r="E32" s="400">
        <f t="shared" si="0"/>
        <v>100</v>
      </c>
      <c r="F32" s="404">
        <f t="shared" si="5"/>
        <v>200</v>
      </c>
      <c r="G32" s="404">
        <f t="shared" si="5"/>
        <v>200</v>
      </c>
      <c r="H32" s="400">
        <f t="shared" si="1"/>
        <v>100</v>
      </c>
      <c r="I32" s="404">
        <f t="shared" si="6"/>
        <v>200</v>
      </c>
      <c r="J32" s="404">
        <f t="shared" si="6"/>
        <v>200</v>
      </c>
      <c r="K32" s="400">
        <f t="shared" si="2"/>
        <v>100</v>
      </c>
      <c r="L32" s="396">
        <f t="shared" si="3"/>
        <v>100</v>
      </c>
    </row>
    <row r="33" spans="1:12" ht="15.6" customHeight="1" x14ac:dyDescent="0.2">
      <c r="A33" s="373"/>
      <c r="B33" s="392" t="s">
        <v>186</v>
      </c>
      <c r="C33" s="405">
        <f t="shared" si="4"/>
        <v>200</v>
      </c>
      <c r="D33" s="405">
        <f t="shared" si="4"/>
        <v>200</v>
      </c>
      <c r="E33" s="395">
        <f t="shared" si="0"/>
        <v>100</v>
      </c>
      <c r="F33" s="405">
        <f t="shared" si="5"/>
        <v>200</v>
      </c>
      <c r="G33" s="405">
        <f t="shared" si="5"/>
        <v>200</v>
      </c>
      <c r="H33" s="395">
        <f t="shared" si="1"/>
        <v>100</v>
      </c>
      <c r="I33" s="405">
        <f t="shared" si="6"/>
        <v>200</v>
      </c>
      <c r="J33" s="405">
        <f t="shared" si="6"/>
        <v>200</v>
      </c>
      <c r="K33" s="395">
        <f t="shared" si="2"/>
        <v>100</v>
      </c>
      <c r="L33" s="396">
        <f t="shared" si="3"/>
        <v>100</v>
      </c>
    </row>
    <row r="34" spans="1:12" ht="15.6" customHeight="1" x14ac:dyDescent="0.2">
      <c r="A34" s="373"/>
      <c r="B34" s="397" t="s">
        <v>187</v>
      </c>
      <c r="C34" s="404">
        <f t="shared" si="4"/>
        <v>200</v>
      </c>
      <c r="D34" s="404">
        <f t="shared" si="4"/>
        <v>200</v>
      </c>
      <c r="E34" s="400">
        <f t="shared" si="0"/>
        <v>100</v>
      </c>
      <c r="F34" s="404">
        <f t="shared" si="5"/>
        <v>200</v>
      </c>
      <c r="G34" s="404">
        <f t="shared" si="5"/>
        <v>200</v>
      </c>
      <c r="H34" s="400">
        <f t="shared" si="1"/>
        <v>100</v>
      </c>
      <c r="I34" s="404">
        <f t="shared" si="6"/>
        <v>200</v>
      </c>
      <c r="J34" s="404">
        <f t="shared" si="6"/>
        <v>200</v>
      </c>
      <c r="K34" s="400">
        <f t="shared" si="2"/>
        <v>100</v>
      </c>
      <c r="L34" s="396">
        <f t="shared" si="3"/>
        <v>100</v>
      </c>
    </row>
    <row r="35" spans="1:12" ht="15.6" customHeight="1" x14ac:dyDescent="0.2">
      <c r="A35" s="373"/>
      <c r="B35" s="392" t="s">
        <v>188</v>
      </c>
      <c r="C35" s="405">
        <f t="shared" si="4"/>
        <v>200</v>
      </c>
      <c r="D35" s="405">
        <f t="shared" si="4"/>
        <v>200</v>
      </c>
      <c r="E35" s="395">
        <f t="shared" si="0"/>
        <v>100</v>
      </c>
      <c r="F35" s="405">
        <f t="shared" si="5"/>
        <v>200</v>
      </c>
      <c r="G35" s="405">
        <f t="shared" si="5"/>
        <v>200</v>
      </c>
      <c r="H35" s="395">
        <f t="shared" si="1"/>
        <v>100</v>
      </c>
      <c r="I35" s="405">
        <f t="shared" si="6"/>
        <v>200</v>
      </c>
      <c r="J35" s="405">
        <f t="shared" si="6"/>
        <v>200</v>
      </c>
      <c r="K35" s="395">
        <f t="shared" si="2"/>
        <v>100</v>
      </c>
      <c r="L35" s="396">
        <f t="shared" si="3"/>
        <v>100</v>
      </c>
    </row>
    <row r="36" spans="1:12" ht="15.6" customHeight="1" x14ac:dyDescent="0.2">
      <c r="A36" s="373"/>
      <c r="B36" s="397" t="s">
        <v>189</v>
      </c>
      <c r="C36" s="398">
        <f>+85+80+95+40+10+5+80+80+80</f>
        <v>555</v>
      </c>
      <c r="D36" s="404">
        <f>+98+88+100+47+18+2+100+44+92</f>
        <v>589</v>
      </c>
      <c r="E36" s="400">
        <f t="shared" si="0"/>
        <v>106.12612612612612</v>
      </c>
      <c r="F36" s="404">
        <f>+85+80+95+50+25+6+80+90+80</f>
        <v>591</v>
      </c>
      <c r="G36" s="404">
        <f>+98+85+100+52.05+25.63+5+82+90.32+84.09</f>
        <v>622.09</v>
      </c>
      <c r="H36" s="400">
        <f t="shared" si="1"/>
        <v>105.26057529610829</v>
      </c>
      <c r="I36" s="404">
        <f>+85+80+95+50+25+6+80+90+80</f>
        <v>591</v>
      </c>
      <c r="J36" s="404">
        <f>+97+85+100+51.72+25.63+5.71+83+90+92.06</f>
        <v>630.11999999999989</v>
      </c>
      <c r="K36" s="400">
        <f t="shared" si="2"/>
        <v>106.6192893401015</v>
      </c>
      <c r="L36" s="396">
        <f t="shared" si="3"/>
        <v>106.00199692077864</v>
      </c>
    </row>
    <row r="37" spans="1:12" ht="15.6" customHeight="1" x14ac:dyDescent="0.2">
      <c r="A37" s="373"/>
      <c r="B37" s="392" t="s">
        <v>190</v>
      </c>
      <c r="C37" s="393" t="s">
        <v>191</v>
      </c>
      <c r="D37" s="405" t="s">
        <v>191</v>
      </c>
      <c r="E37" s="395" t="s">
        <v>191</v>
      </c>
      <c r="F37" s="393">
        <f t="shared" ref="F37:G38" si="7">+100+100</f>
        <v>200</v>
      </c>
      <c r="G37" s="405">
        <f t="shared" si="7"/>
        <v>200</v>
      </c>
      <c r="H37" s="395">
        <f t="shared" si="1"/>
        <v>100</v>
      </c>
      <c r="I37" s="393">
        <f t="shared" ref="I37:J38" si="8">+100+100</f>
        <v>200</v>
      </c>
      <c r="J37" s="405">
        <f t="shared" si="8"/>
        <v>200</v>
      </c>
      <c r="K37" s="395">
        <f t="shared" si="2"/>
        <v>100</v>
      </c>
      <c r="L37" s="396">
        <f>+(H37+K37)/2</f>
        <v>100</v>
      </c>
    </row>
    <row r="38" spans="1:12" ht="15.6" customHeight="1" x14ac:dyDescent="0.2">
      <c r="A38" s="373"/>
      <c r="B38" s="397" t="s">
        <v>192</v>
      </c>
      <c r="C38" s="404">
        <f>+100+100</f>
        <v>200</v>
      </c>
      <c r="D38" s="404">
        <f>+100+100</f>
        <v>200</v>
      </c>
      <c r="E38" s="400">
        <f t="shared" ref="E38:E54" si="9">+D38*100/C38</f>
        <v>100</v>
      </c>
      <c r="F38" s="404">
        <f t="shared" si="7"/>
        <v>200</v>
      </c>
      <c r="G38" s="404">
        <f t="shared" si="7"/>
        <v>200</v>
      </c>
      <c r="H38" s="400">
        <f t="shared" si="1"/>
        <v>100</v>
      </c>
      <c r="I38" s="404">
        <f t="shared" si="8"/>
        <v>200</v>
      </c>
      <c r="J38" s="404">
        <f t="shared" si="8"/>
        <v>200</v>
      </c>
      <c r="K38" s="400">
        <f t="shared" si="2"/>
        <v>100</v>
      </c>
      <c r="L38" s="396">
        <f t="shared" ref="L38:L54" si="10">+(E38+H38+K38)/3</f>
        <v>100</v>
      </c>
    </row>
    <row r="39" spans="1:12" ht="15.6" customHeight="1" x14ac:dyDescent="0.2">
      <c r="A39" s="373"/>
      <c r="B39" s="392" t="s">
        <v>193</v>
      </c>
      <c r="C39" s="393">
        <f>+70+90+90+90+90+90+90</f>
        <v>610</v>
      </c>
      <c r="D39" s="405">
        <f>+70.37+90+90+90+89.83+91.67+90</f>
        <v>611.87</v>
      </c>
      <c r="E39" s="395">
        <f t="shared" si="9"/>
        <v>100.30655737704917</v>
      </c>
      <c r="F39" s="393">
        <f>+70+90+90+90+90+90+90</f>
        <v>610</v>
      </c>
      <c r="G39" s="405">
        <f>+71.43+90+90+90.43+90.22+90+90</f>
        <v>612.08000000000004</v>
      </c>
      <c r="H39" s="395">
        <f t="shared" si="1"/>
        <v>100.34098360655739</v>
      </c>
      <c r="I39" s="393">
        <f>+70+90+90+90+90+90+90</f>
        <v>610</v>
      </c>
      <c r="J39" s="393">
        <f>+69.81+91.48+95.38+95+94.44+90+90.77</f>
        <v>626.88</v>
      </c>
      <c r="K39" s="395">
        <f t="shared" si="2"/>
        <v>102.7672131147541</v>
      </c>
      <c r="L39" s="396">
        <f t="shared" si="10"/>
        <v>101.13825136612023</v>
      </c>
    </row>
    <row r="40" spans="1:12" ht="15.6" customHeight="1" x14ac:dyDescent="0.2">
      <c r="A40" s="373"/>
      <c r="B40" s="397" t="s">
        <v>194</v>
      </c>
      <c r="C40" s="398">
        <f t="shared" ref="C40:C42" si="11">+70+70+70+70</f>
        <v>280</v>
      </c>
      <c r="D40" s="404">
        <f>+70+74.93+71+75</f>
        <v>290.93</v>
      </c>
      <c r="E40" s="400">
        <f t="shared" si="9"/>
        <v>103.90357142857142</v>
      </c>
      <c r="F40" s="398">
        <f t="shared" ref="F40:F42" si="12">+70+70+70+70</f>
        <v>280</v>
      </c>
      <c r="G40" s="404">
        <f>+70+74.93+71+75</f>
        <v>290.93</v>
      </c>
      <c r="H40" s="400">
        <f t="shared" si="1"/>
        <v>103.90357142857142</v>
      </c>
      <c r="I40" s="398">
        <f t="shared" ref="I40:I42" si="13">+70+70+70+70</f>
        <v>280</v>
      </c>
      <c r="J40" s="404">
        <f>+290+70.33+71+87.5</f>
        <v>518.82999999999993</v>
      </c>
      <c r="K40" s="400">
        <f t="shared" si="2"/>
        <v>185.29642857142855</v>
      </c>
      <c r="L40" s="396">
        <f t="shared" si="10"/>
        <v>131.03452380952379</v>
      </c>
    </row>
    <row r="41" spans="1:12" ht="15.6" customHeight="1" x14ac:dyDescent="0.2">
      <c r="A41" s="373"/>
      <c r="B41" s="392" t="s">
        <v>195</v>
      </c>
      <c r="C41" s="405">
        <f t="shared" si="11"/>
        <v>280</v>
      </c>
      <c r="D41" s="405">
        <f>+71.43+73.71+70+75</f>
        <v>290.14</v>
      </c>
      <c r="E41" s="395">
        <f t="shared" si="9"/>
        <v>103.62142857142857</v>
      </c>
      <c r="F41" s="405">
        <f t="shared" si="12"/>
        <v>280</v>
      </c>
      <c r="G41" s="405">
        <f>+71.43+78.29+74+75</f>
        <v>298.72000000000003</v>
      </c>
      <c r="H41" s="395">
        <f t="shared" si="1"/>
        <v>106.6857142857143</v>
      </c>
      <c r="I41" s="405">
        <f t="shared" si="13"/>
        <v>280</v>
      </c>
      <c r="J41" s="405">
        <f>+71.43+70.71+72+75</f>
        <v>289.14</v>
      </c>
      <c r="K41" s="395">
        <f t="shared" si="2"/>
        <v>103.26428571428572</v>
      </c>
      <c r="L41" s="396">
        <f t="shared" si="10"/>
        <v>104.52380952380953</v>
      </c>
    </row>
    <row r="42" spans="1:12" ht="15.6" customHeight="1" x14ac:dyDescent="0.2">
      <c r="A42" s="373"/>
      <c r="B42" s="397" t="s">
        <v>196</v>
      </c>
      <c r="C42" s="398">
        <f t="shared" si="11"/>
        <v>280</v>
      </c>
      <c r="D42" s="404">
        <f>+69.88+70+70+66.67</f>
        <v>276.55</v>
      </c>
      <c r="E42" s="400">
        <f t="shared" si="9"/>
        <v>98.767857142857139</v>
      </c>
      <c r="F42" s="398">
        <f t="shared" si="12"/>
        <v>280</v>
      </c>
      <c r="G42" s="404">
        <f>+69.88+70.01+69.63+66.67</f>
        <v>276.19</v>
      </c>
      <c r="H42" s="400">
        <f t="shared" si="1"/>
        <v>98.63928571428572</v>
      </c>
      <c r="I42" s="398">
        <f t="shared" si="13"/>
        <v>280</v>
      </c>
      <c r="J42" s="404">
        <f>+75.56+70+74.44+66.67</f>
        <v>286.67</v>
      </c>
      <c r="K42" s="400">
        <f t="shared" si="2"/>
        <v>102.38214285714285</v>
      </c>
      <c r="L42" s="396">
        <f t="shared" si="10"/>
        <v>99.929761904761904</v>
      </c>
    </row>
    <row r="43" spans="1:12" ht="15.6" customHeight="1" x14ac:dyDescent="0.2">
      <c r="A43" s="373"/>
      <c r="B43" s="392" t="s">
        <v>197</v>
      </c>
      <c r="C43" s="393">
        <f>+40+80+90+40+80+90+6+20</f>
        <v>446</v>
      </c>
      <c r="D43" s="405">
        <f>+41.21+85+93.58+42+86+87.5+6.87+20</f>
        <v>462.16</v>
      </c>
      <c r="E43" s="395">
        <f t="shared" si="9"/>
        <v>103.62331838565022</v>
      </c>
      <c r="F43" s="393">
        <f>+40+80+90+40+80+90+6+40</f>
        <v>466</v>
      </c>
      <c r="G43" s="405">
        <f>+33.33+85+94.04+40+80+92+7.27+41.38</f>
        <v>473.02</v>
      </c>
      <c r="H43" s="395">
        <f t="shared" si="1"/>
        <v>101.50643776824035</v>
      </c>
      <c r="I43" s="405">
        <f>+40+80+90+40+80+90+6+40</f>
        <v>466</v>
      </c>
      <c r="J43" s="405">
        <f>+41.05+85+93.65+40+80+90+5.31+40.91</f>
        <v>475.91999999999996</v>
      </c>
      <c r="K43" s="395">
        <f t="shared" si="2"/>
        <v>102.12875536480685</v>
      </c>
      <c r="L43" s="396">
        <f t="shared" si="10"/>
        <v>102.41950383956582</v>
      </c>
    </row>
    <row r="44" spans="1:12" ht="15.6" customHeight="1" x14ac:dyDescent="0.2">
      <c r="A44" s="373"/>
      <c r="B44" s="397" t="s">
        <v>198</v>
      </c>
      <c r="C44" s="398">
        <f t="shared" ref="C44:D49" si="14">+80+70</f>
        <v>150</v>
      </c>
      <c r="D44" s="398">
        <f t="shared" si="14"/>
        <v>150</v>
      </c>
      <c r="E44" s="400">
        <f t="shared" si="9"/>
        <v>100</v>
      </c>
      <c r="F44" s="398">
        <f t="shared" ref="F44:G49" si="15">+80+70</f>
        <v>150</v>
      </c>
      <c r="G44" s="398">
        <f>+80+70</f>
        <v>150</v>
      </c>
      <c r="H44" s="400">
        <f t="shared" si="1"/>
        <v>100</v>
      </c>
      <c r="I44" s="398">
        <f t="shared" ref="I44:J49" si="16">+80+70</f>
        <v>150</v>
      </c>
      <c r="J44" s="398">
        <f>+80+70</f>
        <v>150</v>
      </c>
      <c r="K44" s="400">
        <f t="shared" si="2"/>
        <v>100</v>
      </c>
      <c r="L44" s="396">
        <f t="shared" si="10"/>
        <v>100</v>
      </c>
    </row>
    <row r="45" spans="1:12" ht="15.6" customHeight="1" x14ac:dyDescent="0.2">
      <c r="A45" s="373"/>
      <c r="B45" s="392" t="s">
        <v>199</v>
      </c>
      <c r="C45" s="393">
        <f t="shared" si="14"/>
        <v>150</v>
      </c>
      <c r="D45" s="393">
        <f t="shared" si="14"/>
        <v>150</v>
      </c>
      <c r="E45" s="395">
        <f t="shared" si="9"/>
        <v>100</v>
      </c>
      <c r="F45" s="393">
        <f t="shared" si="15"/>
        <v>150</v>
      </c>
      <c r="G45" s="393">
        <f>+78+70</f>
        <v>148</v>
      </c>
      <c r="H45" s="395">
        <f t="shared" si="1"/>
        <v>98.666666666666671</v>
      </c>
      <c r="I45" s="393">
        <f t="shared" si="16"/>
        <v>150</v>
      </c>
      <c r="J45" s="393">
        <f>+78+70</f>
        <v>148</v>
      </c>
      <c r="K45" s="395">
        <f t="shared" si="2"/>
        <v>98.666666666666671</v>
      </c>
      <c r="L45" s="396">
        <f t="shared" si="10"/>
        <v>99.111111111111128</v>
      </c>
    </row>
    <row r="46" spans="1:12" ht="15.6" customHeight="1" x14ac:dyDescent="0.2">
      <c r="A46" s="373"/>
      <c r="B46" s="397" t="s">
        <v>200</v>
      </c>
      <c r="C46" s="398">
        <f t="shared" si="14"/>
        <v>150</v>
      </c>
      <c r="D46" s="398">
        <f t="shared" si="14"/>
        <v>150</v>
      </c>
      <c r="E46" s="400">
        <f t="shared" si="9"/>
        <v>100</v>
      </c>
      <c r="F46" s="398">
        <f t="shared" si="15"/>
        <v>150</v>
      </c>
      <c r="G46" s="398">
        <f t="shared" si="15"/>
        <v>150</v>
      </c>
      <c r="H46" s="400">
        <f t="shared" si="1"/>
        <v>100</v>
      </c>
      <c r="I46" s="398">
        <f t="shared" si="16"/>
        <v>150</v>
      </c>
      <c r="J46" s="398">
        <f t="shared" si="16"/>
        <v>150</v>
      </c>
      <c r="K46" s="400">
        <f t="shared" si="2"/>
        <v>100</v>
      </c>
      <c r="L46" s="396">
        <f t="shared" si="10"/>
        <v>100</v>
      </c>
    </row>
    <row r="47" spans="1:12" ht="15.6" customHeight="1" x14ac:dyDescent="0.2">
      <c r="A47" s="373"/>
      <c r="B47" s="392" t="s">
        <v>201</v>
      </c>
      <c r="C47" s="393">
        <f t="shared" si="14"/>
        <v>150</v>
      </c>
      <c r="D47" s="393">
        <f t="shared" si="14"/>
        <v>150</v>
      </c>
      <c r="E47" s="395">
        <f t="shared" si="9"/>
        <v>100</v>
      </c>
      <c r="F47" s="393">
        <f t="shared" si="15"/>
        <v>150</v>
      </c>
      <c r="G47" s="393">
        <f t="shared" si="15"/>
        <v>150</v>
      </c>
      <c r="H47" s="395">
        <f t="shared" si="1"/>
        <v>100</v>
      </c>
      <c r="I47" s="393">
        <f t="shared" si="16"/>
        <v>150</v>
      </c>
      <c r="J47" s="393">
        <f t="shared" si="16"/>
        <v>150</v>
      </c>
      <c r="K47" s="395">
        <f t="shared" si="2"/>
        <v>100</v>
      </c>
      <c r="L47" s="396">
        <f t="shared" si="10"/>
        <v>100</v>
      </c>
    </row>
    <row r="48" spans="1:12" ht="15.6" customHeight="1" x14ac:dyDescent="0.2">
      <c r="A48" s="373"/>
      <c r="B48" s="406" t="s">
        <v>202</v>
      </c>
      <c r="C48" s="398">
        <f t="shared" si="14"/>
        <v>150</v>
      </c>
      <c r="D48" s="404">
        <f>+83+73</f>
        <v>156</v>
      </c>
      <c r="E48" s="400">
        <f t="shared" si="9"/>
        <v>104</v>
      </c>
      <c r="F48" s="398">
        <f t="shared" si="15"/>
        <v>150</v>
      </c>
      <c r="G48" s="404">
        <f>+83+73</f>
        <v>156</v>
      </c>
      <c r="H48" s="400">
        <f t="shared" si="1"/>
        <v>104</v>
      </c>
      <c r="I48" s="398">
        <f t="shared" si="16"/>
        <v>150</v>
      </c>
      <c r="J48" s="404">
        <f t="shared" si="16"/>
        <v>150</v>
      </c>
      <c r="K48" s="400">
        <f t="shared" si="2"/>
        <v>100</v>
      </c>
      <c r="L48" s="396">
        <f t="shared" si="10"/>
        <v>102.66666666666667</v>
      </c>
    </row>
    <row r="49" spans="1:12" ht="15.6" customHeight="1" x14ac:dyDescent="0.2">
      <c r="A49" s="373"/>
      <c r="B49" s="392" t="s">
        <v>203</v>
      </c>
      <c r="C49" s="393">
        <f t="shared" si="14"/>
        <v>150</v>
      </c>
      <c r="D49" s="393">
        <f>+80+70</f>
        <v>150</v>
      </c>
      <c r="E49" s="395">
        <f t="shared" si="9"/>
        <v>100</v>
      </c>
      <c r="F49" s="393">
        <f t="shared" si="15"/>
        <v>150</v>
      </c>
      <c r="G49" s="393">
        <f>+80+70</f>
        <v>150</v>
      </c>
      <c r="H49" s="395">
        <f t="shared" si="1"/>
        <v>100</v>
      </c>
      <c r="I49" s="393">
        <f t="shared" si="16"/>
        <v>150</v>
      </c>
      <c r="J49" s="393">
        <f t="shared" si="16"/>
        <v>150</v>
      </c>
      <c r="K49" s="395">
        <f t="shared" si="2"/>
        <v>100</v>
      </c>
      <c r="L49" s="396">
        <f t="shared" si="10"/>
        <v>100</v>
      </c>
    </row>
    <row r="50" spans="1:12" ht="15.6" customHeight="1" x14ac:dyDescent="0.2">
      <c r="A50" s="373"/>
      <c r="B50" s="407" t="s">
        <v>204</v>
      </c>
      <c r="C50" s="408">
        <f>+72+36+92+30+70+40</f>
        <v>340</v>
      </c>
      <c r="D50" s="408">
        <f>+69.23+33.33+98.83+32.26+74.07+36.36</f>
        <v>344.08</v>
      </c>
      <c r="E50" s="400">
        <f t="shared" si="9"/>
        <v>101.2</v>
      </c>
      <c r="F50" s="408">
        <f>+72+36+92+30+75+40</f>
        <v>345</v>
      </c>
      <c r="G50" s="408">
        <f>+71.43+36.76+97.11+25.16+69.54+37.21</f>
        <v>337.21</v>
      </c>
      <c r="H50" s="400">
        <f t="shared" si="1"/>
        <v>97.742028985507247</v>
      </c>
      <c r="I50" s="408">
        <f>+72+36+92+30+75+40</f>
        <v>345</v>
      </c>
      <c r="J50" s="408">
        <f>+68.75+35.14+97.34+31.25+78.83+41.67</f>
        <v>352.98</v>
      </c>
      <c r="K50" s="400">
        <f t="shared" si="2"/>
        <v>102.31304347826087</v>
      </c>
      <c r="L50" s="396">
        <f t="shared" si="10"/>
        <v>100.41835748792271</v>
      </c>
    </row>
    <row r="51" spans="1:12" ht="15.6" customHeight="1" x14ac:dyDescent="0.2">
      <c r="A51" s="373"/>
      <c r="B51" s="392" t="s">
        <v>205</v>
      </c>
      <c r="C51" s="393">
        <f t="shared" ref="C51:C52" si="17">+100+70+80</f>
        <v>250</v>
      </c>
      <c r="D51" s="405">
        <f>+100+74.63+78</f>
        <v>252.63</v>
      </c>
      <c r="E51" s="395">
        <f t="shared" si="9"/>
        <v>101.05200000000001</v>
      </c>
      <c r="F51" s="393">
        <f t="shared" ref="F51:F52" si="18">+100+70+80</f>
        <v>250</v>
      </c>
      <c r="G51" s="405">
        <f>+100+73.95+74.14</f>
        <v>248.08999999999997</v>
      </c>
      <c r="H51" s="395">
        <f t="shared" si="1"/>
        <v>99.23599999999999</v>
      </c>
      <c r="I51" s="393">
        <f t="shared" ref="I51:I52" si="19">+100+70+80</f>
        <v>250</v>
      </c>
      <c r="J51" s="405">
        <f>+100+65.31+81.82</f>
        <v>247.13</v>
      </c>
      <c r="K51" s="395">
        <f t="shared" si="2"/>
        <v>98.852000000000004</v>
      </c>
      <c r="L51" s="396">
        <f t="shared" si="10"/>
        <v>99.713333333333324</v>
      </c>
    </row>
    <row r="52" spans="1:12" ht="15.6" customHeight="1" x14ac:dyDescent="0.2">
      <c r="A52" s="373"/>
      <c r="B52" s="407" t="s">
        <v>206</v>
      </c>
      <c r="C52" s="398">
        <f t="shared" si="17"/>
        <v>250</v>
      </c>
      <c r="D52" s="408">
        <f>+100+71.88+86.67</f>
        <v>258.55</v>
      </c>
      <c r="E52" s="400">
        <f t="shared" si="9"/>
        <v>103.42</v>
      </c>
      <c r="F52" s="398">
        <f t="shared" si="18"/>
        <v>250</v>
      </c>
      <c r="G52" s="408">
        <f>+100+65.59+82.61</f>
        <v>248.2</v>
      </c>
      <c r="H52" s="400">
        <f t="shared" si="1"/>
        <v>99.28</v>
      </c>
      <c r="I52" s="398">
        <f t="shared" si="19"/>
        <v>250</v>
      </c>
      <c r="J52" s="408">
        <f>+100+65.85+77.14</f>
        <v>242.99</v>
      </c>
      <c r="K52" s="400">
        <f t="shared" si="2"/>
        <v>97.195999999999998</v>
      </c>
      <c r="L52" s="396">
        <f t="shared" si="10"/>
        <v>99.965333333333319</v>
      </c>
    </row>
    <row r="53" spans="1:12" ht="15.6" customHeight="1" x14ac:dyDescent="0.2">
      <c r="A53" s="373"/>
      <c r="B53" s="392" t="s">
        <v>207</v>
      </c>
      <c r="C53" s="393">
        <f>+59+19+45+25+92+92</f>
        <v>332</v>
      </c>
      <c r="D53" s="405">
        <f>+59.81+19.13+45.54+25.53+92.31+92.61</f>
        <v>334.93</v>
      </c>
      <c r="E53" s="395">
        <f t="shared" si="9"/>
        <v>100.88253012048193</v>
      </c>
      <c r="F53" s="393">
        <f>+59+19+45+25+92+92</f>
        <v>332</v>
      </c>
      <c r="G53" s="405">
        <f>+60.24+19.08+46.08+26.04+92.42+92.47</f>
        <v>336.33000000000004</v>
      </c>
      <c r="H53" s="395">
        <f t="shared" si="1"/>
        <v>101.3042168674699</v>
      </c>
      <c r="I53" s="405">
        <f>+59+19+45+25+92+92</f>
        <v>332</v>
      </c>
      <c r="J53" s="405">
        <f>+62.07+19.64+45.41+25.49+93.94+92.93</f>
        <v>339.48</v>
      </c>
      <c r="K53" s="395">
        <f t="shared" si="2"/>
        <v>102.25301204819277</v>
      </c>
      <c r="L53" s="396">
        <f t="shared" si="10"/>
        <v>101.47991967871486</v>
      </c>
    </row>
    <row r="54" spans="1:12" ht="15.6" customHeight="1" x14ac:dyDescent="0.2">
      <c r="A54" s="373"/>
      <c r="B54" s="407" t="s">
        <v>208</v>
      </c>
      <c r="C54" s="409">
        <f>+37.58+32.71+15.51+19.42+56.39+20+10.53+100+100+100+60</f>
        <v>552.14</v>
      </c>
      <c r="D54" s="410">
        <f>+37.44+32.32+13.79+17.69+59.02+9.98+10.53+100+100+0+66.66</f>
        <v>447.42999999999995</v>
      </c>
      <c r="E54" s="400">
        <f t="shared" si="9"/>
        <v>81.0356069112906</v>
      </c>
      <c r="F54" s="410">
        <f>+38.7+34.15+14.09+18.18+61.9+20+18.95+100+100+100+100+60</f>
        <v>665.97</v>
      </c>
      <c r="G54" s="410">
        <f>+38.03+33.06+12.24+16.13+62.29+19.12+18.95+100+100+100+100+63.63</f>
        <v>663.44999999999993</v>
      </c>
      <c r="H54" s="400">
        <f t="shared" si="1"/>
        <v>99.62160457678273</v>
      </c>
      <c r="I54" s="410">
        <f>+39.89+35.72+12.68+16.93+110+20+29.47+100+100+100+100+60</f>
        <v>724.69</v>
      </c>
      <c r="J54" s="410">
        <f>+38.88+34.07+10.27+14.31+116.79+14.16+28.42+100+100+100+100+60</f>
        <v>716.9</v>
      </c>
      <c r="K54" s="400">
        <f t="shared" si="2"/>
        <v>98.925057610840483</v>
      </c>
      <c r="L54" s="396">
        <f t="shared" si="10"/>
        <v>93.194089699637928</v>
      </c>
    </row>
    <row r="55" spans="1:12" ht="15.6" customHeight="1" x14ac:dyDescent="0.2">
      <c r="A55" s="373"/>
      <c r="B55" s="411"/>
      <c r="C55" s="412"/>
      <c r="D55" s="412"/>
      <c r="E55" s="412"/>
      <c r="F55" s="412"/>
      <c r="G55" s="412"/>
      <c r="H55" s="412"/>
      <c r="I55" s="412"/>
      <c r="J55" s="412"/>
      <c r="K55" s="412"/>
      <c r="L55" s="371"/>
    </row>
    <row r="56" spans="1:12" ht="19.899999999999999" customHeight="1" x14ac:dyDescent="0.2">
      <c r="A56" s="385"/>
      <c r="B56" s="413" t="s">
        <v>209</v>
      </c>
      <c r="C56" s="414"/>
      <c r="D56" s="415"/>
      <c r="E56" s="415"/>
      <c r="F56" s="415"/>
      <c r="G56" s="415"/>
      <c r="H56" s="415"/>
      <c r="I56" s="415"/>
      <c r="J56" s="415"/>
      <c r="K56" s="415"/>
      <c r="L56" s="391"/>
    </row>
    <row r="57" spans="1:12" ht="15.6" customHeight="1" x14ac:dyDescent="0.2">
      <c r="A57" s="373"/>
      <c r="B57" s="411"/>
      <c r="C57" s="412"/>
      <c r="D57" s="412"/>
      <c r="E57" s="412"/>
      <c r="F57" s="412"/>
      <c r="G57" s="412"/>
      <c r="H57" s="412"/>
      <c r="I57" s="412"/>
      <c r="J57" s="412"/>
      <c r="K57" s="412"/>
      <c r="L57" s="371"/>
    </row>
    <row r="58" spans="1:12" ht="15.6" customHeight="1" x14ac:dyDescent="0.2">
      <c r="A58" s="373"/>
      <c r="B58" s="392" t="s">
        <v>210</v>
      </c>
      <c r="C58" s="393">
        <f>+68+76+60</f>
        <v>204</v>
      </c>
      <c r="D58" s="402">
        <f>+62+80+65</f>
        <v>207</v>
      </c>
      <c r="E58" s="395">
        <f t="shared" ref="E58:E68" si="20">+D58*100/C58</f>
        <v>101.47058823529412</v>
      </c>
      <c r="F58" s="402">
        <f>+76+76+60</f>
        <v>212</v>
      </c>
      <c r="G58" s="402">
        <f>+76+76+60</f>
        <v>212</v>
      </c>
      <c r="H58" s="395">
        <f t="shared" ref="H58:H68" si="21">+G58*100/F58</f>
        <v>100</v>
      </c>
      <c r="I58" s="402">
        <f>+80+80+76</f>
        <v>236</v>
      </c>
      <c r="J58" s="402">
        <f>+84+80+79</f>
        <v>243</v>
      </c>
      <c r="K58" s="395">
        <f t="shared" ref="K58:K68" si="22">+J58*100/I58</f>
        <v>102.96610169491525</v>
      </c>
      <c r="L58" s="396">
        <f t="shared" ref="L58:L68" si="23">+(E58+H58+K58)/3</f>
        <v>101.47889664340312</v>
      </c>
    </row>
    <row r="59" spans="1:12" ht="15.6" customHeight="1" x14ac:dyDescent="0.2">
      <c r="A59" s="373"/>
      <c r="B59" s="406" t="s">
        <v>211</v>
      </c>
      <c r="C59" s="416">
        <f>+80+80+80</f>
        <v>240</v>
      </c>
      <c r="D59" s="404">
        <f>+82+82+82</f>
        <v>246</v>
      </c>
      <c r="E59" s="400">
        <f t="shared" si="20"/>
        <v>102.5</v>
      </c>
      <c r="F59" s="404">
        <f>+80+80+80</f>
        <v>240</v>
      </c>
      <c r="G59" s="404">
        <f>+82+85+85</f>
        <v>252</v>
      </c>
      <c r="H59" s="400">
        <f t="shared" si="21"/>
        <v>105</v>
      </c>
      <c r="I59" s="404">
        <f>+85+90+85</f>
        <v>260</v>
      </c>
      <c r="J59" s="404">
        <f>+84+90+90</f>
        <v>264</v>
      </c>
      <c r="K59" s="400">
        <f t="shared" si="22"/>
        <v>101.53846153846153</v>
      </c>
      <c r="L59" s="396">
        <f t="shared" si="23"/>
        <v>103.01282051282051</v>
      </c>
    </row>
    <row r="60" spans="1:12" ht="15.6" customHeight="1" x14ac:dyDescent="0.2">
      <c r="A60" s="373"/>
      <c r="B60" s="392" t="s">
        <v>212</v>
      </c>
      <c r="C60" s="393">
        <f>+92+85+85+80+85+90</f>
        <v>517</v>
      </c>
      <c r="D60" s="402">
        <f>+90.62+92.03+100+80.45+91.67+0</f>
        <v>454.77</v>
      </c>
      <c r="E60" s="395">
        <f t="shared" si="20"/>
        <v>87.96324951644101</v>
      </c>
      <c r="F60" s="402">
        <f>+92+85+85+80+85+90</f>
        <v>517</v>
      </c>
      <c r="G60" s="402">
        <f>+90+89.04+100+84.84+91.03+83.33</f>
        <v>538.24</v>
      </c>
      <c r="H60" s="395">
        <f t="shared" si="21"/>
        <v>104.10831721470019</v>
      </c>
      <c r="I60" s="402">
        <f>+92+85+90+85+80+85</f>
        <v>517</v>
      </c>
      <c r="J60" s="402">
        <f>+61.29+90.37+90+81.08+85.13+84.61</f>
        <v>492.48</v>
      </c>
      <c r="K60" s="395">
        <f t="shared" si="22"/>
        <v>95.257253384912957</v>
      </c>
      <c r="L60" s="396">
        <f t="shared" si="23"/>
        <v>95.776273372018068</v>
      </c>
    </row>
    <row r="61" spans="1:12" ht="15.6" customHeight="1" x14ac:dyDescent="0.2">
      <c r="A61" s="373"/>
      <c r="B61" s="406" t="s">
        <v>213</v>
      </c>
      <c r="C61" s="416">
        <f>+95+95+95+95+95+95</f>
        <v>570</v>
      </c>
      <c r="D61" s="403">
        <f>+95+95+97.8+100+100+100</f>
        <v>587.79999999999995</v>
      </c>
      <c r="E61" s="400">
        <f t="shared" si="20"/>
        <v>103.12280701754385</v>
      </c>
      <c r="F61" s="403">
        <f>+95+95+95+95+95+95</f>
        <v>570</v>
      </c>
      <c r="G61" s="403">
        <f>+96+95+100+100+100+100</f>
        <v>591</v>
      </c>
      <c r="H61" s="400">
        <f t="shared" si="21"/>
        <v>103.68421052631579</v>
      </c>
      <c r="I61" s="403">
        <f>+95+95+95+95+95+90</f>
        <v>565</v>
      </c>
      <c r="J61" s="403">
        <f>+96+100+99.9+100+100+100</f>
        <v>595.9</v>
      </c>
      <c r="K61" s="400">
        <f t="shared" si="22"/>
        <v>105.46902654867256</v>
      </c>
      <c r="L61" s="396">
        <f t="shared" si="23"/>
        <v>104.09201469751072</v>
      </c>
    </row>
    <row r="62" spans="1:12" ht="15.6" customHeight="1" x14ac:dyDescent="0.2">
      <c r="A62" s="373"/>
      <c r="B62" s="392" t="s">
        <v>214</v>
      </c>
      <c r="C62" s="393">
        <f>+90+75+90+90+100+95+100+100+95+90+90+90+90</f>
        <v>1195</v>
      </c>
      <c r="D62" s="402">
        <f>+90+69+95+64+100+100+100+100+90+90+94+92+96</f>
        <v>1180</v>
      </c>
      <c r="E62" s="395">
        <f t="shared" si="20"/>
        <v>98.744769874476987</v>
      </c>
      <c r="F62" s="402">
        <f>+90+75+90+90+100+95+100+100+95+90+90+90+90</f>
        <v>1195</v>
      </c>
      <c r="G62" s="402">
        <f>+95+75+95+64+100+90+100+100+100+90+85+96+92</f>
        <v>1182</v>
      </c>
      <c r="H62" s="395">
        <f t="shared" si="21"/>
        <v>98.912133891213387</v>
      </c>
      <c r="I62" s="402">
        <f>+90+75+90+90+100+95+100+100+95+90+90+90+90</f>
        <v>1195</v>
      </c>
      <c r="J62" s="402">
        <f>+95+71+93+56+100+99+100+100+89+93+97+96+94</f>
        <v>1183</v>
      </c>
      <c r="K62" s="395">
        <f t="shared" si="22"/>
        <v>98.995815899581586</v>
      </c>
      <c r="L62" s="396">
        <f t="shared" si="23"/>
        <v>98.884239888423977</v>
      </c>
    </row>
    <row r="63" spans="1:12" ht="15.6" customHeight="1" x14ac:dyDescent="0.2">
      <c r="A63" s="373"/>
      <c r="B63" s="406" t="s">
        <v>197</v>
      </c>
      <c r="C63" s="416">
        <f>+50+86+83+90+88</f>
        <v>397</v>
      </c>
      <c r="D63" s="403">
        <f>+52+91+86+94+113</f>
        <v>436</v>
      </c>
      <c r="E63" s="400">
        <f t="shared" si="20"/>
        <v>109.82367758186398</v>
      </c>
      <c r="F63" s="403">
        <f>+77+89+88+90+80</f>
        <v>424</v>
      </c>
      <c r="G63" s="403">
        <f>+80+94+94+91+87</f>
        <v>446</v>
      </c>
      <c r="H63" s="400">
        <f t="shared" si="21"/>
        <v>105.18867924528301</v>
      </c>
      <c r="I63" s="403">
        <f>+75+80+79+88+83</f>
        <v>405</v>
      </c>
      <c r="J63" s="403">
        <f>+71+85+86+91+96</f>
        <v>429</v>
      </c>
      <c r="K63" s="400">
        <f t="shared" si="22"/>
        <v>105.92592592592592</v>
      </c>
      <c r="L63" s="396">
        <f t="shared" si="23"/>
        <v>106.97942758435765</v>
      </c>
    </row>
    <row r="64" spans="1:12" ht="15.6" customHeight="1" x14ac:dyDescent="0.2">
      <c r="A64" s="373"/>
      <c r="B64" s="392" t="s">
        <v>215</v>
      </c>
      <c r="C64" s="393">
        <f>+90+90+90</f>
        <v>270</v>
      </c>
      <c r="D64" s="402">
        <f>+94+100+96</f>
        <v>290</v>
      </c>
      <c r="E64" s="395">
        <f t="shared" si="20"/>
        <v>107.4074074074074</v>
      </c>
      <c r="F64" s="402">
        <f>+90+90+90</f>
        <v>270</v>
      </c>
      <c r="G64" s="402">
        <f>+91+91+94</f>
        <v>276</v>
      </c>
      <c r="H64" s="395">
        <f t="shared" si="21"/>
        <v>102.22222222222223</v>
      </c>
      <c r="I64" s="402">
        <f>+90+90+90</f>
        <v>270</v>
      </c>
      <c r="J64" s="402">
        <f>+89+92+96</f>
        <v>277</v>
      </c>
      <c r="K64" s="395">
        <f t="shared" si="22"/>
        <v>102.5925925925926</v>
      </c>
      <c r="L64" s="396">
        <f t="shared" si="23"/>
        <v>104.07407407407408</v>
      </c>
    </row>
    <row r="65" spans="1:15" ht="15.6" customHeight="1" x14ac:dyDescent="0.2">
      <c r="A65" s="373"/>
      <c r="B65" s="406" t="s">
        <v>216</v>
      </c>
      <c r="C65" s="416">
        <f>+95+90+50</f>
        <v>235</v>
      </c>
      <c r="D65" s="403">
        <f>+95+90+50</f>
        <v>235</v>
      </c>
      <c r="E65" s="400">
        <f t="shared" si="20"/>
        <v>100</v>
      </c>
      <c r="F65" s="403">
        <f>+95+95+50</f>
        <v>240</v>
      </c>
      <c r="G65" s="403">
        <f>+100+100+50</f>
        <v>250</v>
      </c>
      <c r="H65" s="400">
        <f t="shared" si="21"/>
        <v>104.16666666666667</v>
      </c>
      <c r="I65" s="403">
        <f>+95+95+50</f>
        <v>240</v>
      </c>
      <c r="J65" s="403">
        <f>+100+100+50</f>
        <v>250</v>
      </c>
      <c r="K65" s="400">
        <f t="shared" si="22"/>
        <v>104.16666666666667</v>
      </c>
      <c r="L65" s="396">
        <f t="shared" si="23"/>
        <v>102.77777777777779</v>
      </c>
    </row>
    <row r="66" spans="1:15" ht="15.6" customHeight="1" x14ac:dyDescent="0.2">
      <c r="A66" s="373"/>
      <c r="B66" s="392" t="s">
        <v>217</v>
      </c>
      <c r="C66" s="393">
        <f>+80+50+50+80+50+80</f>
        <v>390</v>
      </c>
      <c r="D66" s="402">
        <f>+83+50+50+84+57+81</f>
        <v>405</v>
      </c>
      <c r="E66" s="395">
        <f t="shared" si="20"/>
        <v>103.84615384615384</v>
      </c>
      <c r="F66" s="402">
        <f>+80+50+50+80+50+80</f>
        <v>390</v>
      </c>
      <c r="G66" s="402">
        <f>+83+50+50+81+55+82</f>
        <v>401</v>
      </c>
      <c r="H66" s="395">
        <f t="shared" si="21"/>
        <v>102.82051282051282</v>
      </c>
      <c r="I66" s="402">
        <f>+87+50+67+80+50+90</f>
        <v>424</v>
      </c>
      <c r="J66" s="402">
        <f>+87+50+73+81+55+90</f>
        <v>436</v>
      </c>
      <c r="K66" s="395">
        <f t="shared" si="22"/>
        <v>102.83018867924528</v>
      </c>
      <c r="L66" s="396">
        <f t="shared" si="23"/>
        <v>103.16561844863732</v>
      </c>
    </row>
    <row r="67" spans="1:15" ht="15.6" customHeight="1" x14ac:dyDescent="0.2">
      <c r="A67" s="373"/>
      <c r="B67" s="406" t="s">
        <v>218</v>
      </c>
      <c r="C67" s="416">
        <f>+0+50+50+50</f>
        <v>150</v>
      </c>
      <c r="D67" s="403">
        <f>+0+100+0+0</f>
        <v>100</v>
      </c>
      <c r="E67" s="400">
        <f t="shared" si="20"/>
        <v>66.666666666666671</v>
      </c>
      <c r="F67" s="403">
        <f>+100+50+50+50</f>
        <v>250</v>
      </c>
      <c r="G67" s="403">
        <f>+100+50+50+50</f>
        <v>250</v>
      </c>
      <c r="H67" s="400">
        <f t="shared" si="21"/>
        <v>100</v>
      </c>
      <c r="I67" s="403">
        <f>+0+50+50+50</f>
        <v>150</v>
      </c>
      <c r="J67" s="403">
        <f>+0+50+50+50</f>
        <v>150</v>
      </c>
      <c r="K67" s="400">
        <f t="shared" si="22"/>
        <v>100</v>
      </c>
      <c r="L67" s="396">
        <f t="shared" si="23"/>
        <v>88.8888888888889</v>
      </c>
    </row>
    <row r="68" spans="1:15" ht="15.6" customHeight="1" x14ac:dyDescent="0.2">
      <c r="B68" s="392" t="s">
        <v>219</v>
      </c>
      <c r="C68" s="393">
        <f>+90+90</f>
        <v>180</v>
      </c>
      <c r="D68" s="402">
        <f>+90+94</f>
        <v>184</v>
      </c>
      <c r="E68" s="395">
        <f t="shared" si="20"/>
        <v>102.22222222222223</v>
      </c>
      <c r="F68" s="402">
        <f>+90+90</f>
        <v>180</v>
      </c>
      <c r="G68" s="402">
        <f>+93+92</f>
        <v>185</v>
      </c>
      <c r="H68" s="395">
        <f t="shared" si="21"/>
        <v>102.77777777777777</v>
      </c>
      <c r="I68" s="402">
        <f>+90+90</f>
        <v>180</v>
      </c>
      <c r="J68" s="402">
        <f>+92+92</f>
        <v>184</v>
      </c>
      <c r="K68" s="395">
        <f t="shared" si="22"/>
        <v>102.22222222222223</v>
      </c>
      <c r="L68" s="396">
        <f t="shared" si="23"/>
        <v>102.4074074074074</v>
      </c>
    </row>
    <row r="69" spans="1:15" ht="15.6" customHeight="1" x14ac:dyDescent="0.2">
      <c r="A69" s="373"/>
      <c r="B69" s="417"/>
      <c r="C69" s="418"/>
      <c r="D69" s="419"/>
      <c r="E69" s="419"/>
      <c r="F69" s="419"/>
      <c r="G69" s="419"/>
      <c r="H69" s="419"/>
      <c r="I69" s="419"/>
      <c r="J69" s="419"/>
      <c r="K69" s="419"/>
      <c r="L69" s="371"/>
    </row>
    <row r="70" spans="1:15" ht="19.899999999999999" customHeight="1" x14ac:dyDescent="0.2">
      <c r="A70" s="373"/>
      <c r="B70" s="413" t="s">
        <v>220</v>
      </c>
      <c r="C70" s="414"/>
      <c r="D70" s="415"/>
      <c r="E70" s="415"/>
      <c r="F70" s="415"/>
      <c r="G70" s="415"/>
      <c r="H70" s="415"/>
      <c r="I70" s="415"/>
      <c r="J70" s="415"/>
      <c r="K70" s="415"/>
      <c r="L70" s="391"/>
    </row>
    <row r="71" spans="1:15" ht="15.6" customHeight="1" x14ac:dyDescent="0.2">
      <c r="A71" s="373"/>
      <c r="B71" s="417"/>
      <c r="C71" s="418"/>
      <c r="D71" s="420"/>
      <c r="E71" s="420"/>
      <c r="F71" s="420"/>
      <c r="G71" s="420"/>
      <c r="H71" s="420"/>
      <c r="I71" s="420"/>
      <c r="J71" s="420"/>
      <c r="K71" s="420"/>
      <c r="L71" s="371"/>
    </row>
    <row r="72" spans="1:15" x14ac:dyDescent="0.2">
      <c r="A72" s="373"/>
      <c r="B72" s="406" t="s">
        <v>221</v>
      </c>
      <c r="C72" s="416">
        <f>+100+89+100</f>
        <v>289</v>
      </c>
      <c r="D72" s="403">
        <f>+100+89+100</f>
        <v>289</v>
      </c>
      <c r="E72" s="400">
        <f t="shared" ref="E72:E73" si="24">+D72*100/C72</f>
        <v>100</v>
      </c>
      <c r="F72" s="403">
        <f>+100+89+100</f>
        <v>289</v>
      </c>
      <c r="G72" s="403">
        <f>+100+89+100</f>
        <v>289</v>
      </c>
      <c r="H72" s="400">
        <f t="shared" ref="H72:H73" si="25">+G72*100/F72</f>
        <v>100</v>
      </c>
      <c r="I72" s="403">
        <f>+100+89+100</f>
        <v>289</v>
      </c>
      <c r="J72" s="403">
        <f>+100+89+100</f>
        <v>289</v>
      </c>
      <c r="K72" s="400">
        <f t="shared" ref="K72:K73" si="26">+J72*100/I72</f>
        <v>100</v>
      </c>
      <c r="L72" s="396">
        <f t="shared" ref="L72:L73" si="27">+(E72+H72+K72)/3</f>
        <v>100</v>
      </c>
    </row>
    <row r="73" spans="1:15" x14ac:dyDescent="0.2">
      <c r="A73" s="373"/>
      <c r="B73" s="392" t="s">
        <v>222</v>
      </c>
      <c r="C73" s="393">
        <f>+80+100+98</f>
        <v>278</v>
      </c>
      <c r="D73" s="402">
        <f>+78.94+100+99.6</f>
        <v>278.53999999999996</v>
      </c>
      <c r="E73" s="395">
        <f t="shared" si="24"/>
        <v>100.19424460431654</v>
      </c>
      <c r="F73" s="402">
        <f>+80+100+98</f>
        <v>278</v>
      </c>
      <c r="G73" s="402">
        <f>+78.94+100+98.73</f>
        <v>277.67</v>
      </c>
      <c r="H73" s="395">
        <f t="shared" si="25"/>
        <v>99.881294964028783</v>
      </c>
      <c r="I73" s="402">
        <f>+80+100+98</f>
        <v>278</v>
      </c>
      <c r="J73" s="402">
        <f>+78.9+100+98.92</f>
        <v>277.82</v>
      </c>
      <c r="K73" s="395">
        <f t="shared" si="26"/>
        <v>99.935251798561154</v>
      </c>
      <c r="L73" s="396">
        <f t="shared" si="27"/>
        <v>100.00359712230215</v>
      </c>
    </row>
    <row r="74" spans="1:15" ht="15.6" customHeight="1" x14ac:dyDescent="0.2">
      <c r="A74" s="373"/>
      <c r="B74" s="373"/>
      <c r="C74" s="421"/>
      <c r="D74" s="421"/>
      <c r="E74" s="373"/>
      <c r="F74" s="373"/>
      <c r="G74" s="373"/>
      <c r="H74" s="373"/>
      <c r="I74" s="373"/>
      <c r="J74" s="373"/>
      <c r="K74" s="373"/>
      <c r="L74" s="373"/>
      <c r="M74" s="373"/>
      <c r="N74" s="373"/>
      <c r="O74" s="373"/>
    </row>
    <row r="75" spans="1:15" ht="19.899999999999999" customHeight="1" x14ac:dyDescent="0.2">
      <c r="A75" s="373"/>
      <c r="B75" s="422" t="s">
        <v>223</v>
      </c>
      <c r="C75" s="423"/>
      <c r="D75" s="424"/>
      <c r="E75" s="424"/>
      <c r="F75" s="424"/>
      <c r="G75" s="424"/>
      <c r="H75" s="424"/>
      <c r="I75" s="424"/>
      <c r="J75" s="424"/>
      <c r="K75" s="424"/>
      <c r="L75" s="391"/>
    </row>
    <row r="76" spans="1:15" ht="15.6" customHeight="1" x14ac:dyDescent="0.2">
      <c r="A76" s="373"/>
      <c r="B76" s="425"/>
      <c r="C76" s="426"/>
      <c r="D76" s="419"/>
      <c r="E76" s="419"/>
      <c r="F76" s="419"/>
      <c r="G76" s="419"/>
      <c r="H76" s="419"/>
      <c r="I76" s="419"/>
      <c r="J76" s="419"/>
      <c r="K76" s="419"/>
      <c r="L76" s="371"/>
    </row>
    <row r="77" spans="1:15" ht="15.6" customHeight="1" x14ac:dyDescent="0.2">
      <c r="A77" s="373"/>
      <c r="B77" s="406" t="s">
        <v>224</v>
      </c>
      <c r="C77" s="416">
        <f>+90+100+100</f>
        <v>290</v>
      </c>
      <c r="D77" s="403">
        <f>+91+100+100</f>
        <v>291</v>
      </c>
      <c r="E77" s="400">
        <f t="shared" ref="E77:E81" si="28">+D77*100/C77</f>
        <v>100.34482758620689</v>
      </c>
      <c r="F77" s="403">
        <f>+80+100+100</f>
        <v>280</v>
      </c>
      <c r="G77" s="403">
        <f>+73.08+100+100</f>
        <v>273.08</v>
      </c>
      <c r="H77" s="400">
        <f t="shared" ref="H77:H81" si="29">+G77*100/F77</f>
        <v>97.528571428571425</v>
      </c>
      <c r="I77" s="403">
        <f>+90+100+100</f>
        <v>290</v>
      </c>
      <c r="J77" s="403">
        <f>+90.08+100+100</f>
        <v>290.08</v>
      </c>
      <c r="K77" s="400">
        <f t="shared" ref="K77:K81" si="30">+J77*100/I77</f>
        <v>100.02758620689656</v>
      </c>
      <c r="L77" s="396">
        <f t="shared" ref="L77:L81" si="31">+(E77+H77+K77)/3</f>
        <v>99.300328407224967</v>
      </c>
    </row>
    <row r="78" spans="1:15" ht="15.6" customHeight="1" x14ac:dyDescent="0.2">
      <c r="A78" s="373"/>
      <c r="B78" s="392" t="s">
        <v>225</v>
      </c>
      <c r="C78" s="393">
        <f>+100+88+90</f>
        <v>278</v>
      </c>
      <c r="D78" s="402">
        <f>+100+90.37+92.37</f>
        <v>282.74</v>
      </c>
      <c r="E78" s="395">
        <f t="shared" si="28"/>
        <v>101.70503597122303</v>
      </c>
      <c r="F78" s="402">
        <f>+100+88+90</f>
        <v>278</v>
      </c>
      <c r="G78" s="402">
        <f>+100+83.08+94.68</f>
        <v>277.76</v>
      </c>
      <c r="H78" s="395">
        <f t="shared" si="29"/>
        <v>99.913669064748206</v>
      </c>
      <c r="I78" s="402">
        <f>+100+88+90</f>
        <v>278</v>
      </c>
      <c r="J78" s="402">
        <f>+100+88.76+93.83</f>
        <v>282.58999999999997</v>
      </c>
      <c r="K78" s="395">
        <f t="shared" si="30"/>
        <v>101.65107913669064</v>
      </c>
      <c r="L78" s="396">
        <f t="shared" si="31"/>
        <v>101.08992805755395</v>
      </c>
    </row>
    <row r="79" spans="1:15" ht="15.6" customHeight="1" x14ac:dyDescent="0.2">
      <c r="A79" s="373"/>
      <c r="B79" s="406" t="s">
        <v>226</v>
      </c>
      <c r="C79" s="416">
        <f>+70+70+70+80</f>
        <v>290</v>
      </c>
      <c r="D79" s="403">
        <f>+100+50+72+83</f>
        <v>305</v>
      </c>
      <c r="E79" s="400">
        <f t="shared" si="28"/>
        <v>105.17241379310344</v>
      </c>
      <c r="F79" s="403">
        <f>+70+70+70+80</f>
        <v>290</v>
      </c>
      <c r="G79" s="403">
        <f>+100+100+76+85</f>
        <v>361</v>
      </c>
      <c r="H79" s="400">
        <f t="shared" si="29"/>
        <v>124.48275862068965</v>
      </c>
      <c r="I79" s="403">
        <f>+70+70+70+80</f>
        <v>290</v>
      </c>
      <c r="J79" s="403">
        <f>+0+0+74+85</f>
        <v>159</v>
      </c>
      <c r="K79" s="400">
        <f t="shared" si="30"/>
        <v>54.827586206896555</v>
      </c>
      <c r="L79" s="396">
        <f t="shared" si="31"/>
        <v>94.827586206896555</v>
      </c>
    </row>
    <row r="80" spans="1:15" ht="15.6" customHeight="1" x14ac:dyDescent="0.2">
      <c r="A80" s="373"/>
      <c r="B80" s="392" t="s">
        <v>227</v>
      </c>
      <c r="C80" s="393">
        <f>+100+5+0</f>
        <v>105</v>
      </c>
      <c r="D80" s="402">
        <f>+100+5+0</f>
        <v>105</v>
      </c>
      <c r="E80" s="395">
        <f t="shared" si="28"/>
        <v>100</v>
      </c>
      <c r="F80" s="402">
        <f>+100+5+11</f>
        <v>116</v>
      </c>
      <c r="G80" s="402">
        <f>+100+5+11</f>
        <v>116</v>
      </c>
      <c r="H80" s="395">
        <f t="shared" si="29"/>
        <v>100</v>
      </c>
      <c r="I80" s="402">
        <f>+100+7+11</f>
        <v>118</v>
      </c>
      <c r="J80" s="402">
        <f>+100+7+11</f>
        <v>118</v>
      </c>
      <c r="K80" s="395">
        <f t="shared" si="30"/>
        <v>100</v>
      </c>
      <c r="L80" s="396">
        <f t="shared" si="31"/>
        <v>100</v>
      </c>
    </row>
    <row r="81" spans="1:12" ht="15.6" customHeight="1" x14ac:dyDescent="0.2">
      <c r="A81" s="373"/>
      <c r="B81" s="427" t="s">
        <v>228</v>
      </c>
      <c r="C81" s="428">
        <f>+100+100+100+80</f>
        <v>380</v>
      </c>
      <c r="D81" s="404">
        <f>+100+100+100+81</f>
        <v>381</v>
      </c>
      <c r="E81" s="400">
        <f t="shared" si="28"/>
        <v>100.26315789473684</v>
      </c>
      <c r="F81" s="404">
        <f>+100+100+100+40</f>
        <v>340</v>
      </c>
      <c r="G81" s="404">
        <f>+100+100+100+40</f>
        <v>340</v>
      </c>
      <c r="H81" s="400">
        <f t="shared" si="29"/>
        <v>100</v>
      </c>
      <c r="I81" s="428">
        <f>+100+100+100+80</f>
        <v>380</v>
      </c>
      <c r="J81" s="404">
        <f>+100+100+100+80</f>
        <v>380</v>
      </c>
      <c r="K81" s="400">
        <f t="shared" si="30"/>
        <v>100</v>
      </c>
      <c r="L81" s="396">
        <f t="shared" si="31"/>
        <v>100.0877192982456</v>
      </c>
    </row>
    <row r="82" spans="1:12" ht="15.6" customHeight="1" x14ac:dyDescent="0.2">
      <c r="A82" s="373"/>
      <c r="B82" s="417"/>
      <c r="C82" s="418"/>
      <c r="D82" s="419"/>
      <c r="E82" s="419"/>
      <c r="F82" s="419"/>
      <c r="G82" s="419"/>
      <c r="H82" s="419"/>
      <c r="I82" s="419"/>
      <c r="J82" s="419"/>
      <c r="K82" s="419"/>
      <c r="L82" s="371"/>
    </row>
    <row r="83" spans="1:12" ht="19.899999999999999" customHeight="1" x14ac:dyDescent="0.2">
      <c r="A83" s="373"/>
      <c r="B83" s="422" t="s">
        <v>229</v>
      </c>
      <c r="C83" s="423"/>
      <c r="D83" s="429"/>
      <c r="E83" s="429"/>
      <c r="F83" s="429"/>
      <c r="G83" s="429"/>
      <c r="H83" s="429"/>
      <c r="I83" s="429"/>
      <c r="J83" s="429"/>
      <c r="K83" s="429"/>
      <c r="L83" s="391"/>
    </row>
    <row r="84" spans="1:12" ht="15.6" customHeight="1" x14ac:dyDescent="0.2">
      <c r="A84" s="373"/>
      <c r="B84" s="411"/>
      <c r="C84" s="412"/>
      <c r="D84" s="419"/>
      <c r="E84" s="419"/>
      <c r="F84" s="419"/>
      <c r="G84" s="419"/>
      <c r="H84" s="419"/>
      <c r="I84" s="419"/>
      <c r="J84" s="419"/>
      <c r="K84" s="419"/>
      <c r="L84" s="371"/>
    </row>
    <row r="85" spans="1:12" ht="15.6" customHeight="1" x14ac:dyDescent="0.2">
      <c r="A85" s="373"/>
      <c r="B85" s="392" t="s">
        <v>230</v>
      </c>
      <c r="C85" s="393">
        <f>+50+0</f>
        <v>50</v>
      </c>
      <c r="D85" s="402">
        <f>+53.42+0</f>
        <v>53.42</v>
      </c>
      <c r="E85" s="395">
        <f t="shared" ref="E85:E89" si="32">+D85*100/C85</f>
        <v>106.84</v>
      </c>
      <c r="F85" s="402">
        <f>+10+0</f>
        <v>10</v>
      </c>
      <c r="G85" s="402">
        <f>+10+0</f>
        <v>10</v>
      </c>
      <c r="H85" s="395">
        <f t="shared" ref="H85:H89" si="33">+G85*100/F85</f>
        <v>100</v>
      </c>
      <c r="I85" s="402">
        <f>+10+100</f>
        <v>110</v>
      </c>
      <c r="J85" s="402">
        <f>+10.23+100</f>
        <v>110.23</v>
      </c>
      <c r="K85" s="395">
        <f t="shared" ref="K85:K89" si="34">+J85*100/I85</f>
        <v>100.2090909090909</v>
      </c>
      <c r="L85" s="396">
        <f t="shared" ref="L85:L89" si="35">+(E85+H85+K85)/3</f>
        <v>102.34969696969698</v>
      </c>
    </row>
    <row r="86" spans="1:12" ht="15.6" customHeight="1" x14ac:dyDescent="0.2">
      <c r="A86" s="373"/>
      <c r="B86" s="406" t="s">
        <v>231</v>
      </c>
      <c r="C86" s="416">
        <f>+33+0+0</f>
        <v>33</v>
      </c>
      <c r="D86" s="403">
        <f>+37.39+0+0</f>
        <v>37.39</v>
      </c>
      <c r="E86" s="400">
        <f t="shared" si="32"/>
        <v>113.3030303030303</v>
      </c>
      <c r="F86" s="403">
        <f>+7+20+100</f>
        <v>127</v>
      </c>
      <c r="G86" s="403">
        <f>+8.33+15.66+100</f>
        <v>123.99000000000001</v>
      </c>
      <c r="H86" s="400">
        <f t="shared" si="33"/>
        <v>97.629921259842519</v>
      </c>
      <c r="I86" s="403">
        <f>+7+20+100</f>
        <v>127</v>
      </c>
      <c r="J86" s="403">
        <f>+20.21+13.82+100</f>
        <v>134.03</v>
      </c>
      <c r="K86" s="400">
        <f t="shared" si="34"/>
        <v>105.53543307086615</v>
      </c>
      <c r="L86" s="396">
        <f t="shared" si="35"/>
        <v>105.48946154457964</v>
      </c>
    </row>
    <row r="87" spans="1:12" ht="15.6" customHeight="1" x14ac:dyDescent="0.2">
      <c r="A87" s="430"/>
      <c r="B87" s="392" t="s">
        <v>232</v>
      </c>
      <c r="C87" s="393">
        <f>+0+0+50+100+0</f>
        <v>150</v>
      </c>
      <c r="D87" s="402">
        <f>+0+0+67.8+100+0</f>
        <v>167.8</v>
      </c>
      <c r="E87" s="395">
        <f t="shared" si="32"/>
        <v>111.86666666666666</v>
      </c>
      <c r="F87" s="402">
        <f>+100+100+110+0+1.5</f>
        <v>311.5</v>
      </c>
      <c r="G87" s="402">
        <f>+100+105.56+104.01+0+1.51</f>
        <v>311.08</v>
      </c>
      <c r="H87" s="395">
        <f t="shared" si="33"/>
        <v>99.865168539325836</v>
      </c>
      <c r="I87" s="402">
        <f>+100+100+110+100+1.5</f>
        <v>411.5</v>
      </c>
      <c r="J87" s="402">
        <f>+100+100+106.32+100+1.51</f>
        <v>407.83</v>
      </c>
      <c r="K87" s="395">
        <f t="shared" si="34"/>
        <v>99.108140947752133</v>
      </c>
      <c r="L87" s="396">
        <f t="shared" si="35"/>
        <v>103.61332538458153</v>
      </c>
    </row>
    <row r="88" spans="1:12" s="431" customFormat="1" ht="15.6" customHeight="1" x14ac:dyDescent="0.2">
      <c r="A88" s="430"/>
      <c r="B88" s="406" t="s">
        <v>233</v>
      </c>
      <c r="C88" s="416">
        <f>+90+0+0</f>
        <v>90</v>
      </c>
      <c r="D88" s="403">
        <f>+88.88+0+0</f>
        <v>88.88</v>
      </c>
      <c r="E88" s="400">
        <f t="shared" si="32"/>
        <v>98.75555555555556</v>
      </c>
      <c r="F88" s="403">
        <f>+92+90+0</f>
        <v>182</v>
      </c>
      <c r="G88" s="403">
        <f>+100+84.62+0</f>
        <v>184.62</v>
      </c>
      <c r="H88" s="400">
        <f t="shared" si="33"/>
        <v>101.43956043956044</v>
      </c>
      <c r="I88" s="403">
        <f>+95+92+80</f>
        <v>267</v>
      </c>
      <c r="J88" s="403">
        <f>+100+85.71+100</f>
        <v>285.70999999999998</v>
      </c>
      <c r="K88" s="400">
        <f t="shared" si="34"/>
        <v>107.00749063670411</v>
      </c>
      <c r="L88" s="396">
        <f t="shared" si="35"/>
        <v>102.40086887727337</v>
      </c>
    </row>
    <row r="89" spans="1:12" ht="15.6" customHeight="1" x14ac:dyDescent="0.2">
      <c r="A89" s="430"/>
      <c r="B89" s="392" t="s">
        <v>234</v>
      </c>
      <c r="C89" s="393">
        <f>+100+0</f>
        <v>100</v>
      </c>
      <c r="D89" s="402">
        <f>+98.9+0</f>
        <v>98.9</v>
      </c>
      <c r="E89" s="395">
        <f t="shared" si="32"/>
        <v>98.9</v>
      </c>
      <c r="F89" s="402">
        <f>+100+100</f>
        <v>200</v>
      </c>
      <c r="G89" s="402">
        <f>+95.23+100</f>
        <v>195.23000000000002</v>
      </c>
      <c r="H89" s="395">
        <f t="shared" si="33"/>
        <v>97.614999999999995</v>
      </c>
      <c r="I89" s="402">
        <f>+0+90</f>
        <v>90</v>
      </c>
      <c r="J89" s="402">
        <f>+0+90</f>
        <v>90</v>
      </c>
      <c r="K89" s="395">
        <f t="shared" si="34"/>
        <v>100</v>
      </c>
      <c r="L89" s="396">
        <f t="shared" si="35"/>
        <v>98.838333333333324</v>
      </c>
    </row>
    <row r="90" spans="1:12" ht="15.6" customHeight="1" x14ac:dyDescent="0.2">
      <c r="A90" s="373"/>
      <c r="B90" s="432"/>
      <c r="C90" s="433"/>
      <c r="D90" s="434"/>
      <c r="E90" s="434"/>
      <c r="F90" s="434"/>
      <c r="G90" s="434"/>
      <c r="H90" s="434"/>
      <c r="I90" s="434"/>
      <c r="J90" s="434"/>
      <c r="K90" s="434"/>
      <c r="L90" s="371"/>
    </row>
    <row r="91" spans="1:12" ht="19.899999999999999" customHeight="1" x14ac:dyDescent="0.2">
      <c r="A91" s="373"/>
      <c r="B91" s="422" t="s">
        <v>235</v>
      </c>
      <c r="C91" s="423"/>
      <c r="D91" s="429"/>
      <c r="E91" s="429"/>
      <c r="F91" s="429"/>
      <c r="G91" s="429"/>
      <c r="H91" s="429"/>
      <c r="I91" s="429"/>
      <c r="J91" s="429"/>
      <c r="K91" s="429"/>
      <c r="L91" s="391"/>
    </row>
    <row r="92" spans="1:12" ht="15.6" customHeight="1" x14ac:dyDescent="0.2">
      <c r="A92" s="373"/>
      <c r="B92" s="411"/>
      <c r="C92" s="412"/>
      <c r="D92" s="419"/>
      <c r="E92" s="419"/>
      <c r="F92" s="419"/>
      <c r="G92" s="419"/>
      <c r="H92" s="419"/>
      <c r="I92" s="419"/>
      <c r="J92" s="419"/>
      <c r="K92" s="419"/>
      <c r="L92" s="371"/>
    </row>
    <row r="93" spans="1:12" ht="15.6" customHeight="1" x14ac:dyDescent="0.2">
      <c r="A93" s="373"/>
      <c r="B93" s="406" t="s">
        <v>236</v>
      </c>
      <c r="C93" s="416">
        <f>+96+90+96</f>
        <v>282</v>
      </c>
      <c r="D93" s="403">
        <f>+100+100+100</f>
        <v>300</v>
      </c>
      <c r="E93" s="400">
        <f t="shared" ref="E93:E95" si="36">+D93*100/C93</f>
        <v>106.38297872340425</v>
      </c>
      <c r="F93" s="403">
        <f>+96+90+96</f>
        <v>282</v>
      </c>
      <c r="G93" s="403">
        <f>+100+96.36+100</f>
        <v>296.36</v>
      </c>
      <c r="H93" s="400">
        <f t="shared" ref="H93:H95" si="37">+G93*100/F93</f>
        <v>105.09219858156028</v>
      </c>
      <c r="I93" s="403">
        <f>+96+90+96</f>
        <v>282</v>
      </c>
      <c r="J93" s="403">
        <f>+100+94.37+100</f>
        <v>294.37</v>
      </c>
      <c r="K93" s="400">
        <f t="shared" ref="K93:K95" si="38">+J93*100/I93</f>
        <v>104.38652482269504</v>
      </c>
      <c r="L93" s="396">
        <f t="shared" ref="L93:L95" si="39">+(E93+H93+K93)/3</f>
        <v>105.28723404255318</v>
      </c>
    </row>
    <row r="94" spans="1:12" ht="15.6" customHeight="1" x14ac:dyDescent="0.2">
      <c r="A94" s="373"/>
      <c r="B94" s="392" t="s">
        <v>237</v>
      </c>
      <c r="C94" s="393">
        <f>+30+40+90+0+0+80+0+50+75</f>
        <v>365</v>
      </c>
      <c r="D94" s="402">
        <f>+0+67.3+100+0+0+88+0+50+100</f>
        <v>405.3</v>
      </c>
      <c r="E94" s="395">
        <f t="shared" si="36"/>
        <v>111.04109589041096</v>
      </c>
      <c r="F94" s="402">
        <f>+35+50+90+20+0+80+0+60+75</f>
        <v>410</v>
      </c>
      <c r="G94" s="402">
        <f>+0+69.5+92+0+0+88+0+61.5+100</f>
        <v>411</v>
      </c>
      <c r="H94" s="395">
        <f t="shared" si="37"/>
        <v>100.2439024390244</v>
      </c>
      <c r="I94" s="402">
        <f>+40+60+90+40+50+80+50+70+75</f>
        <v>555</v>
      </c>
      <c r="J94" s="402">
        <f>+100+69.5+94+0+0+80+0+61.5+85</f>
        <v>490</v>
      </c>
      <c r="K94" s="395">
        <f t="shared" si="38"/>
        <v>88.288288288288285</v>
      </c>
      <c r="L94" s="396">
        <f t="shared" si="39"/>
        <v>99.857762205907875</v>
      </c>
    </row>
    <row r="95" spans="1:12" s="431" customFormat="1" ht="15.6" customHeight="1" x14ac:dyDescent="0.2">
      <c r="A95" s="373"/>
      <c r="B95" s="406" t="s">
        <v>238</v>
      </c>
      <c r="C95" s="416">
        <f>+100+70</f>
        <v>170</v>
      </c>
      <c r="D95" s="403">
        <f>+95+69.9</f>
        <v>164.9</v>
      </c>
      <c r="E95" s="400">
        <f t="shared" si="36"/>
        <v>97</v>
      </c>
      <c r="F95" s="403">
        <f>+100+72</f>
        <v>172</v>
      </c>
      <c r="G95" s="403">
        <f>+96.67+72.38</f>
        <v>169.05</v>
      </c>
      <c r="H95" s="400">
        <f t="shared" si="37"/>
        <v>98.284883720930239</v>
      </c>
      <c r="I95" s="403">
        <f>+100+74</f>
        <v>174</v>
      </c>
      <c r="J95" s="403">
        <f>+102.92+71.53</f>
        <v>174.45</v>
      </c>
      <c r="K95" s="400">
        <f t="shared" si="38"/>
        <v>100.25862068965517</v>
      </c>
      <c r="L95" s="396">
        <f t="shared" si="39"/>
        <v>98.514501470195128</v>
      </c>
    </row>
    <row r="96" spans="1:12" ht="15.6" customHeight="1" x14ac:dyDescent="0.2">
      <c r="A96" s="373"/>
      <c r="B96" s="373"/>
      <c r="C96" s="421"/>
      <c r="D96" s="421"/>
      <c r="E96" s="373"/>
      <c r="F96" s="373"/>
      <c r="G96" s="373"/>
      <c r="H96" s="373"/>
      <c r="I96" s="373"/>
      <c r="J96" s="373"/>
      <c r="K96" s="373"/>
      <c r="L96" s="371"/>
    </row>
    <row r="97" spans="1:13" ht="19.899999999999999" customHeight="1" x14ac:dyDescent="0.2">
      <c r="A97" s="373"/>
      <c r="B97" s="422" t="s">
        <v>239</v>
      </c>
      <c r="C97" s="423"/>
      <c r="D97" s="429"/>
      <c r="E97" s="429"/>
      <c r="F97" s="429"/>
      <c r="G97" s="429"/>
      <c r="H97" s="429"/>
      <c r="I97" s="429"/>
      <c r="J97" s="429"/>
      <c r="K97" s="429"/>
      <c r="L97" s="391"/>
    </row>
    <row r="98" spans="1:13" ht="15.6" customHeight="1" x14ac:dyDescent="0.2">
      <c r="A98" s="373"/>
      <c r="B98" s="425"/>
      <c r="C98" s="426"/>
      <c r="D98" s="419"/>
      <c r="E98" s="419"/>
      <c r="F98" s="419"/>
      <c r="G98" s="419"/>
      <c r="H98" s="419"/>
      <c r="I98" s="419"/>
      <c r="J98" s="419"/>
      <c r="K98" s="419"/>
      <c r="L98" s="371"/>
    </row>
    <row r="99" spans="1:13" ht="15.6" customHeight="1" x14ac:dyDescent="0.2">
      <c r="A99" s="373"/>
      <c r="B99" s="392" t="s">
        <v>240</v>
      </c>
      <c r="C99" s="393">
        <f>+20+0+0+100+100</f>
        <v>220</v>
      </c>
      <c r="D99" s="402">
        <f>+21.4+92+0+100+100</f>
        <v>313.39999999999998</v>
      </c>
      <c r="E99" s="395">
        <f t="shared" ref="E99:E101" si="40">+D99*100/C99</f>
        <v>142.45454545454544</v>
      </c>
      <c r="F99" s="402">
        <f>+90+80+75+0+100</f>
        <v>345</v>
      </c>
      <c r="G99" s="402">
        <f>+85+85+0+0+100</f>
        <v>270</v>
      </c>
      <c r="H99" s="395">
        <f t="shared" ref="H99:H101" si="41">+G99*100/F99</f>
        <v>78.260869565217391</v>
      </c>
      <c r="I99" s="402">
        <f>+90+80+75+0+100</f>
        <v>345</v>
      </c>
      <c r="J99" s="402">
        <f>+90+85+0+0+100</f>
        <v>275</v>
      </c>
      <c r="K99" s="395">
        <f t="shared" ref="K99:K101" si="42">+J99*100/I99</f>
        <v>79.710144927536234</v>
      </c>
      <c r="L99" s="396">
        <f t="shared" ref="L99:L101" si="43">+(E99+H99+K99)/3</f>
        <v>100.14185331576635</v>
      </c>
    </row>
    <row r="100" spans="1:13" s="431" customFormat="1" ht="15.6" customHeight="1" x14ac:dyDescent="0.2">
      <c r="A100" s="373"/>
      <c r="B100" s="406" t="s">
        <v>241</v>
      </c>
      <c r="C100" s="416">
        <f>+100+100+100+100+100</f>
        <v>500</v>
      </c>
      <c r="D100" s="416">
        <f>+100+100+100+100+100</f>
        <v>500</v>
      </c>
      <c r="E100" s="400">
        <f t="shared" si="40"/>
        <v>100</v>
      </c>
      <c r="F100" s="403">
        <f>+100+100+100+0+100</f>
        <v>400</v>
      </c>
      <c r="G100" s="403">
        <f>+100+100+100+0+100</f>
        <v>400</v>
      </c>
      <c r="H100" s="400">
        <f t="shared" si="41"/>
        <v>100</v>
      </c>
      <c r="I100" s="403">
        <f>+100+0+100+0+100</f>
        <v>300</v>
      </c>
      <c r="J100" s="403">
        <f>+100+0+100+0+100</f>
        <v>300</v>
      </c>
      <c r="K100" s="400">
        <f t="shared" si="42"/>
        <v>100</v>
      </c>
      <c r="L100" s="396">
        <f t="shared" si="43"/>
        <v>100</v>
      </c>
    </row>
    <row r="101" spans="1:13" ht="15.6" customHeight="1" x14ac:dyDescent="0.2">
      <c r="A101" s="373"/>
      <c r="B101" s="392" t="s">
        <v>242</v>
      </c>
      <c r="C101" s="393">
        <v>100</v>
      </c>
      <c r="D101" s="402">
        <v>60</v>
      </c>
      <c r="E101" s="395">
        <f t="shared" si="40"/>
        <v>60</v>
      </c>
      <c r="F101" s="402">
        <v>100</v>
      </c>
      <c r="G101" s="402">
        <v>80</v>
      </c>
      <c r="H101" s="395">
        <f t="shared" si="41"/>
        <v>80</v>
      </c>
      <c r="I101" s="402">
        <v>100</v>
      </c>
      <c r="J101" s="402">
        <v>100</v>
      </c>
      <c r="K101" s="395">
        <f t="shared" si="42"/>
        <v>100</v>
      </c>
      <c r="L101" s="396">
        <f t="shared" si="43"/>
        <v>80</v>
      </c>
    </row>
    <row r="102" spans="1:13" ht="15.6" customHeight="1" x14ac:dyDescent="0.2">
      <c r="A102" s="373"/>
      <c r="B102" s="411"/>
      <c r="C102" s="412"/>
      <c r="D102" s="419"/>
      <c r="E102" s="419"/>
      <c r="F102" s="419"/>
      <c r="G102" s="419"/>
      <c r="H102" s="419"/>
      <c r="I102" s="419"/>
      <c r="J102" s="419"/>
      <c r="K102" s="419"/>
      <c r="L102" s="371"/>
    </row>
    <row r="103" spans="1:13" ht="30" x14ac:dyDescent="0.2">
      <c r="A103" s="373"/>
      <c r="B103" s="422" t="s">
        <v>243</v>
      </c>
      <c r="C103" s="423"/>
      <c r="D103" s="429"/>
      <c r="E103" s="429"/>
      <c r="F103" s="429"/>
      <c r="G103" s="429"/>
      <c r="H103" s="429"/>
      <c r="I103" s="429"/>
      <c r="J103" s="429"/>
      <c r="K103" s="429"/>
      <c r="L103" s="391"/>
    </row>
    <row r="104" spans="1:13" ht="15.6" customHeight="1" x14ac:dyDescent="0.2">
      <c r="A104" s="373"/>
      <c r="B104" s="417"/>
      <c r="C104" s="418"/>
      <c r="D104" s="419"/>
      <c r="E104" s="419"/>
      <c r="F104" s="419"/>
      <c r="G104" s="419"/>
      <c r="H104" s="419"/>
      <c r="I104" s="419"/>
      <c r="J104" s="419"/>
      <c r="K104" s="419"/>
      <c r="L104" s="371"/>
    </row>
    <row r="105" spans="1:13" s="431" customFormat="1" ht="15.6" customHeight="1" x14ac:dyDescent="0.2">
      <c r="A105" s="373"/>
      <c r="B105" s="406" t="s">
        <v>221</v>
      </c>
      <c r="C105" s="416" t="s">
        <v>191</v>
      </c>
      <c r="D105" s="403" t="s">
        <v>191</v>
      </c>
      <c r="E105" s="400" t="s">
        <v>191</v>
      </c>
      <c r="F105" s="403" t="s">
        <v>191</v>
      </c>
      <c r="G105" s="403" t="s">
        <v>191</v>
      </c>
      <c r="H105" s="400" t="s">
        <v>191</v>
      </c>
      <c r="I105" s="403">
        <f>+50+33</f>
        <v>83</v>
      </c>
      <c r="J105" s="403">
        <f>+50+33</f>
        <v>83</v>
      </c>
      <c r="K105" s="400">
        <f t="shared" ref="K105:K107" si="44">+J105*100/I105</f>
        <v>100</v>
      </c>
      <c r="L105" s="396">
        <f>+(K105)/1</f>
        <v>100</v>
      </c>
    </row>
    <row r="106" spans="1:13" ht="15.6" customHeight="1" x14ac:dyDescent="0.2">
      <c r="A106" s="373"/>
      <c r="B106" s="392" t="s">
        <v>244</v>
      </c>
      <c r="C106" s="393">
        <f>+80+100+100+100+100+100+100+100</f>
        <v>780</v>
      </c>
      <c r="D106" s="402">
        <f>+84.61+100.02+100+100+100+100+100+100</f>
        <v>784.63</v>
      </c>
      <c r="E106" s="395">
        <f t="shared" ref="E106:E107" si="45">+D106*100/C106</f>
        <v>100.59358974358975</v>
      </c>
      <c r="F106" s="402">
        <f>+80+100+100+100+100+100+100</f>
        <v>680</v>
      </c>
      <c r="G106" s="402">
        <f>+83.33+100+100+100+100+100+100</f>
        <v>683.32999999999993</v>
      </c>
      <c r="H106" s="395">
        <f t="shared" ref="H106:H107" si="46">+G106*100/F106</f>
        <v>100.48970588235294</v>
      </c>
      <c r="I106" s="402">
        <f>+80+100+100+100+100+100</f>
        <v>580</v>
      </c>
      <c r="J106" s="402">
        <f>+83.33+100+100+100+100+100</f>
        <v>583.32999999999993</v>
      </c>
      <c r="K106" s="395">
        <f t="shared" si="44"/>
        <v>100.57413793103447</v>
      </c>
      <c r="L106" s="396">
        <f t="shared" ref="L106:L107" si="47">+(E106+H106+K106)/3</f>
        <v>100.55247785232571</v>
      </c>
    </row>
    <row r="107" spans="1:13" ht="15.6" customHeight="1" x14ac:dyDescent="0.2">
      <c r="A107" s="373"/>
      <c r="B107" s="406" t="s">
        <v>245</v>
      </c>
      <c r="C107" s="416">
        <f>+70+40+40+100+40</f>
        <v>290</v>
      </c>
      <c r="D107" s="403">
        <f>+69.44+55.59+41.76+100+42.51</f>
        <v>309.29999999999995</v>
      </c>
      <c r="E107" s="400">
        <f t="shared" si="45"/>
        <v>106.6551724137931</v>
      </c>
      <c r="F107" s="403">
        <f>+70+40+40+100+40</f>
        <v>290</v>
      </c>
      <c r="G107" s="403">
        <f>+69.44+40.42+42.31+100+48.03</f>
        <v>300.20000000000005</v>
      </c>
      <c r="H107" s="400">
        <f t="shared" si="46"/>
        <v>103.51724137931036</v>
      </c>
      <c r="I107" s="403">
        <f>+70+40+40+100+40</f>
        <v>290</v>
      </c>
      <c r="J107" s="403">
        <f>+72.22+41.5+40.53+100+40.36</f>
        <v>294.61</v>
      </c>
      <c r="K107" s="400">
        <f t="shared" si="44"/>
        <v>101.5896551724138</v>
      </c>
      <c r="L107" s="396">
        <f t="shared" si="47"/>
        <v>103.92068965517241</v>
      </c>
    </row>
    <row r="108" spans="1:13" ht="15.6" customHeight="1" x14ac:dyDescent="0.2">
      <c r="A108" s="373"/>
      <c r="B108" s="417"/>
      <c r="C108" s="418"/>
      <c r="D108" s="419"/>
      <c r="E108" s="419"/>
      <c r="F108" s="419"/>
      <c r="G108" s="419"/>
      <c r="H108" s="419"/>
      <c r="I108" s="419"/>
      <c r="J108" s="419"/>
      <c r="K108" s="419"/>
      <c r="L108" s="371"/>
    </row>
    <row r="109" spans="1:13" ht="19.899999999999999" customHeight="1" x14ac:dyDescent="0.2">
      <c r="A109" s="373"/>
      <c r="B109" s="422" t="s">
        <v>246</v>
      </c>
      <c r="C109" s="423"/>
      <c r="D109" s="429"/>
      <c r="E109" s="429"/>
      <c r="F109" s="429"/>
      <c r="G109" s="429"/>
      <c r="H109" s="429"/>
      <c r="I109" s="429"/>
      <c r="J109" s="429"/>
      <c r="K109" s="429"/>
      <c r="L109" s="391"/>
    </row>
    <row r="110" spans="1:13" ht="15.6" customHeight="1" x14ac:dyDescent="0.2">
      <c r="A110" s="373"/>
      <c r="B110" s="435"/>
      <c r="C110" s="436"/>
      <c r="D110" s="419"/>
      <c r="E110" s="419"/>
      <c r="F110" s="419"/>
      <c r="G110" s="419"/>
      <c r="H110" s="419"/>
      <c r="I110" s="419"/>
      <c r="J110" s="419"/>
      <c r="K110" s="419"/>
      <c r="L110" s="371"/>
    </row>
    <row r="111" spans="1:13" ht="15.6" customHeight="1" x14ac:dyDescent="0.2">
      <c r="A111" s="373"/>
      <c r="B111" s="392" t="s">
        <v>247</v>
      </c>
      <c r="C111" s="393">
        <f>+10+4+9+3+20</f>
        <v>46</v>
      </c>
      <c r="D111" s="402">
        <f>+6.45+0.11+9.11+0+20.69</f>
        <v>36.36</v>
      </c>
      <c r="E111" s="395">
        <f>+D111*100/C111</f>
        <v>79.043478260869563</v>
      </c>
      <c r="F111" s="402">
        <f>+9+3+8+3+18</f>
        <v>41</v>
      </c>
      <c r="G111" s="402">
        <f>+2.5+0.64+4.68+0+10.04</f>
        <v>17.86</v>
      </c>
      <c r="H111" s="395">
        <f>+G111*100/F111</f>
        <v>43.560975609756099</v>
      </c>
      <c r="I111" s="402">
        <f>+9+3+8+3+16</f>
        <v>39</v>
      </c>
      <c r="J111" s="402">
        <f>+5.22+0.59+3.44+0.55+7.81</f>
        <v>17.61</v>
      </c>
      <c r="K111" s="395">
        <f>+J111*100/I111</f>
        <v>45.153846153846153</v>
      </c>
      <c r="L111" s="396">
        <f>+(E111+H111+K111)/3</f>
        <v>55.91943334149061</v>
      </c>
    </row>
    <row r="112" spans="1:13" ht="15.6" customHeight="1" x14ac:dyDescent="0.2">
      <c r="A112" s="373"/>
      <c r="B112" s="373"/>
      <c r="C112" s="373"/>
      <c r="D112" s="373"/>
      <c r="E112" s="373"/>
      <c r="F112" s="373"/>
      <c r="G112" s="373"/>
      <c r="H112" s="373"/>
      <c r="I112" s="373"/>
      <c r="J112" s="373"/>
      <c r="K112" s="373"/>
      <c r="L112" s="373"/>
      <c r="M112" s="373"/>
    </row>
    <row r="113" spans="1:12" s="431" customFormat="1" ht="15.6" customHeight="1" x14ac:dyDescent="0.2">
      <c r="A113" s="373"/>
      <c r="B113" s="406" t="s">
        <v>248</v>
      </c>
      <c r="C113" s="403" t="s">
        <v>191</v>
      </c>
      <c r="D113" s="403" t="s">
        <v>191</v>
      </c>
      <c r="E113" s="400" t="s">
        <v>191</v>
      </c>
      <c r="F113" s="403" t="s">
        <v>191</v>
      </c>
      <c r="G113" s="403" t="s">
        <v>191</v>
      </c>
      <c r="H113" s="400" t="s">
        <v>191</v>
      </c>
      <c r="I113" s="403" t="s">
        <v>191</v>
      </c>
      <c r="J113" s="403" t="s">
        <v>191</v>
      </c>
      <c r="K113" s="400" t="s">
        <v>191</v>
      </c>
      <c r="L113" s="437" t="s">
        <v>191</v>
      </c>
    </row>
    <row r="114" spans="1:12" ht="15.6" customHeight="1" x14ac:dyDescent="0.2">
      <c r="A114" s="373"/>
      <c r="B114" s="435"/>
      <c r="C114" s="436"/>
      <c r="D114" s="419"/>
      <c r="E114" s="419"/>
      <c r="F114" s="419"/>
      <c r="G114" s="419"/>
      <c r="H114" s="419"/>
      <c r="I114" s="419"/>
      <c r="J114" s="419"/>
      <c r="K114" s="419"/>
      <c r="L114" s="371"/>
    </row>
    <row r="115" spans="1:12" ht="15.6" customHeight="1" x14ac:dyDescent="0.2">
      <c r="A115" s="373"/>
      <c r="B115" s="392" t="s">
        <v>249</v>
      </c>
      <c r="C115" s="393">
        <f>+80+75+85+0+30+80+0</f>
        <v>350</v>
      </c>
      <c r="D115" s="402">
        <f>+84.75+75+87.5+0+0+82+0</f>
        <v>329.25</v>
      </c>
      <c r="E115" s="395">
        <f>+D115*100/C115</f>
        <v>94.071428571428569</v>
      </c>
      <c r="F115" s="438">
        <f>+80+75+85+0+30+80+100</f>
        <v>450</v>
      </c>
      <c r="G115" s="402">
        <f>+80+75+83.3+0+6.4+82+0</f>
        <v>326.70000000000005</v>
      </c>
      <c r="H115" s="395">
        <f>+G115*100/F115</f>
        <v>72.600000000000009</v>
      </c>
      <c r="I115" s="438">
        <f>+80+75+85+50+30+80+100</f>
        <v>500</v>
      </c>
      <c r="J115" s="402">
        <f>+81.25+75+88.8+50+28.8+84.94+100</f>
        <v>508.79</v>
      </c>
      <c r="K115" s="395">
        <f>+J115*100/I115</f>
        <v>101.758</v>
      </c>
      <c r="L115" s="396">
        <f>+(E115+H115+K115)/3</f>
        <v>89.476476190476191</v>
      </c>
    </row>
    <row r="116" spans="1:12" ht="15.6" customHeight="1" x14ac:dyDescent="0.2">
      <c r="A116" s="373"/>
      <c r="B116" s="435"/>
      <c r="C116" s="436"/>
      <c r="D116" s="419"/>
      <c r="E116" s="419"/>
      <c r="F116" s="419"/>
      <c r="G116" s="419"/>
      <c r="H116" s="419"/>
      <c r="I116" s="419"/>
      <c r="J116" s="419"/>
      <c r="K116" s="419"/>
      <c r="L116" s="371"/>
    </row>
    <row r="117" spans="1:12" ht="15.6" customHeight="1" x14ac:dyDescent="0.2">
      <c r="A117" s="373"/>
      <c r="B117" s="406" t="s">
        <v>250</v>
      </c>
      <c r="C117" s="416">
        <f>+100+100+100+100+100+100</f>
        <v>600</v>
      </c>
      <c r="D117" s="416">
        <f>+100+100+100+100+100+100</f>
        <v>600</v>
      </c>
      <c r="E117" s="400">
        <f>+D117*100/C117</f>
        <v>100</v>
      </c>
      <c r="F117" s="439" t="s">
        <v>191</v>
      </c>
      <c r="G117" s="403" t="s">
        <v>191</v>
      </c>
      <c r="H117" s="400" t="s">
        <v>191</v>
      </c>
      <c r="I117" s="439">
        <f>+100+100+100+100+100+100+100</f>
        <v>700</v>
      </c>
      <c r="J117" s="439">
        <f>+100+100+100+100+100+100+100</f>
        <v>700</v>
      </c>
      <c r="K117" s="400">
        <f>+J117*100/I117</f>
        <v>100</v>
      </c>
      <c r="L117" s="396">
        <f>+(E117+K117)/2</f>
        <v>100</v>
      </c>
    </row>
    <row r="118" spans="1:12" ht="15.6" customHeight="1" x14ac:dyDescent="0.2">
      <c r="A118" s="373"/>
      <c r="B118" s="425"/>
      <c r="C118" s="426"/>
      <c r="D118" s="426"/>
      <c r="E118" s="375"/>
      <c r="F118" s="375"/>
      <c r="G118" s="375"/>
      <c r="H118" s="375"/>
      <c r="I118" s="375"/>
      <c r="J118" s="375"/>
      <c r="K118" s="375"/>
      <c r="L118" s="371"/>
    </row>
    <row r="119" spans="1:12" ht="19.899999999999999" customHeight="1" x14ac:dyDescent="0.2">
      <c r="A119" s="440"/>
      <c r="B119" s="422" t="s">
        <v>251</v>
      </c>
      <c r="C119" s="423"/>
      <c r="D119" s="429"/>
      <c r="E119" s="429"/>
      <c r="F119" s="429"/>
      <c r="G119" s="429"/>
      <c r="H119" s="429"/>
      <c r="I119" s="429"/>
      <c r="J119" s="429"/>
      <c r="K119" s="429"/>
      <c r="L119" s="391"/>
    </row>
    <row r="120" spans="1:12" ht="15.6" customHeight="1" x14ac:dyDescent="0.2">
      <c r="A120" s="373"/>
      <c r="B120" s="425"/>
      <c r="C120" s="426"/>
      <c r="D120" s="426"/>
      <c r="E120" s="375"/>
      <c r="F120" s="375"/>
      <c r="G120" s="375"/>
      <c r="H120" s="375"/>
      <c r="I120" s="375"/>
      <c r="J120" s="375"/>
      <c r="K120" s="375"/>
      <c r="L120" s="371"/>
    </row>
    <row r="121" spans="1:12" ht="15.6" customHeight="1" x14ac:dyDescent="0.2">
      <c r="B121" s="392" t="s">
        <v>252</v>
      </c>
      <c r="C121" s="393">
        <f>+100+100+100+100</f>
        <v>400</v>
      </c>
      <c r="D121" s="402">
        <f>+100+100+144.59+44.07</f>
        <v>388.66</v>
      </c>
      <c r="E121" s="395">
        <f>+D121*100/C121</f>
        <v>97.165000000000006</v>
      </c>
      <c r="F121" s="393">
        <f>+100+100+100+100</f>
        <v>400</v>
      </c>
      <c r="G121" s="402">
        <f>+51.79+100+83.33+15.38</f>
        <v>250.5</v>
      </c>
      <c r="H121" s="395">
        <f>+G121*100/F121</f>
        <v>62.625</v>
      </c>
      <c r="I121" s="438">
        <f>+100+100+100+100</f>
        <v>400</v>
      </c>
      <c r="J121" s="402">
        <f>+15.38+100+15.38+100</f>
        <v>230.76</v>
      </c>
      <c r="K121" s="395">
        <f>+J121*100/I121</f>
        <v>57.69</v>
      </c>
      <c r="L121" s="396">
        <f>+(E121+H121+K121)/3</f>
        <v>72.493333333333339</v>
      </c>
    </row>
    <row r="122" spans="1:12" ht="15.6" customHeight="1" x14ac:dyDescent="0.2">
      <c r="B122" s="441"/>
      <c r="C122" s="442"/>
      <c r="D122" s="442"/>
      <c r="E122" s="371"/>
      <c r="F122" s="371"/>
      <c r="G122" s="371"/>
      <c r="H122" s="371"/>
      <c r="I122" s="371"/>
      <c r="J122" s="371"/>
      <c r="K122" s="371"/>
      <c r="L122" s="371"/>
    </row>
    <row r="123" spans="1:12" s="431" customFormat="1" ht="15.6" customHeight="1" x14ac:dyDescent="0.2">
      <c r="A123" s="373"/>
      <c r="B123" s="406" t="s">
        <v>253</v>
      </c>
      <c r="C123" s="416">
        <f>+90+100+100+0</f>
        <v>290</v>
      </c>
      <c r="D123" s="403">
        <f>+100+100+100+0</f>
        <v>300</v>
      </c>
      <c r="E123" s="400">
        <f>+D123*100/C123</f>
        <v>103.44827586206897</v>
      </c>
      <c r="F123" s="439">
        <f>+90+100+100+100</f>
        <v>390</v>
      </c>
      <c r="G123" s="403">
        <f>+75+100+100+100</f>
        <v>375</v>
      </c>
      <c r="H123" s="400">
        <f>+G123*100/F123</f>
        <v>96.15384615384616</v>
      </c>
      <c r="I123" s="403">
        <f>+90+100+100+100</f>
        <v>390</v>
      </c>
      <c r="J123" s="403">
        <f>+90+100+100+100</f>
        <v>390</v>
      </c>
      <c r="K123" s="400">
        <f>+J123*100/I123</f>
        <v>100</v>
      </c>
      <c r="L123" s="396">
        <f>+(E123+H123+K123)/3</f>
        <v>99.867374005305052</v>
      </c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57013888888888886" right="0.45" top="0.4597222222222222" bottom="1" header="0.51180555555555551" footer="0"/>
  <pageSetup paperSize="9" firstPageNumber="0" orientation="landscape" horizontalDpi="300" verticalDpi="300"/>
  <headerFooter alignWithMargins="0"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'10610'!Área_de_impresión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2017-05-15T15:30:04Z</cp:lastPrinted>
  <dcterms:created xsi:type="dcterms:W3CDTF">2005-11-28T14:59:09Z</dcterms:created>
  <dcterms:modified xsi:type="dcterms:W3CDTF">2017-05-15T17:43:11Z</dcterms:modified>
</cp:coreProperties>
</file>