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X:\AAA TABLERO DEUDA\NUEVO TABLERO\ACH\Informe trimestral de deuda\Informes anteriores\"/>
    </mc:Choice>
  </mc:AlternateContent>
  <xr:revisionPtr revIDLastSave="0" documentId="13_ncr:1_{F385FCAC-A512-42E4-8D52-C022BD7EEA37}" xr6:coauthVersionLast="47" xr6:coauthVersionMax="47" xr10:uidLastSave="{00000000-0000-0000-0000-000000000000}"/>
  <bookViews>
    <workbookView xWindow="-120" yWindow="-120" windowWidth="20640" windowHeight="11160" tabRatio="873" xr2:uid="{00000000-000D-0000-FFFF-FFFF00000000}"/>
  </bookViews>
  <sheets>
    <sheet name="Servicios Deuda Anual" sheetId="4" r:id="rId1"/>
    <sheet name="Perfil Amort Mensual" sheetId="2" r:id="rId2"/>
    <sheet name="Perfil Int Mensual" sheetId="3" r:id="rId3"/>
    <sheet name="Gráficos" sheetId="9" r:id="rId4"/>
    <sheet name="Base Graf" sheetId="7" state="hidden" r:id="rId5"/>
    <sheet name="Ratios 2023" sheetId="5" r:id="rId6"/>
    <sheet name="Avales" sheetId="12" r:id="rId7"/>
    <sheet name="Evolución Deuda Total" sheetId="6" r:id="rId8"/>
    <sheet name="PBG" sheetId="11" state="hidden" r:id="rId9"/>
    <sheet name="IPC" sheetId="10" state="hidden" r:id="rId10"/>
  </sheets>
  <externalReferences>
    <externalReference r:id="rId11"/>
  </externalReferences>
  <definedNames>
    <definedName name="_Fill" localSheetId="7" hidden="1">#REF!</definedName>
    <definedName name="_Fill" localSheetId="2" hidden="1">#REF!</definedName>
    <definedName name="_Fill" localSheetId="5" hidden="1">#REF!</definedName>
    <definedName name="_Fill" hidden="1">#REF!</definedName>
    <definedName name="_xlnm._FilterDatabase" localSheetId="0" hidden="1">'Servicios Deuda Anual'!$A$10:$CT$17</definedName>
    <definedName name="_Key1" localSheetId="7" hidden="1">#REF!</definedName>
    <definedName name="_Key1" localSheetId="2" hidden="1">#REF!</definedName>
    <definedName name="_Key1" localSheetId="5" hidden="1">#REF!</definedName>
    <definedName name="_Key1" hidden="1">#REF!</definedName>
    <definedName name="_Order1" hidden="1">255</definedName>
    <definedName name="_Parse_In" localSheetId="7" hidden="1">#REF!</definedName>
    <definedName name="_Parse_In" localSheetId="2" hidden="1">#REF!</definedName>
    <definedName name="_Parse_In" localSheetId="5" hidden="1">#REF!</definedName>
    <definedName name="_Parse_In" hidden="1">#REF!</definedName>
    <definedName name="_Parse_Out" localSheetId="7" hidden="1">#REF!</definedName>
    <definedName name="_Parse_Out" localSheetId="2" hidden="1">#REF!</definedName>
    <definedName name="_Parse_Out" localSheetId="5" hidden="1">#REF!</definedName>
    <definedName name="_Parse_Out" hidden="1">#REF!</definedName>
    <definedName name="_Sort" localSheetId="7" hidden="1">#REF!</definedName>
    <definedName name="_Sort" localSheetId="2" hidden="1">#REF!</definedName>
    <definedName name="_Sort" localSheetId="5" hidden="1">#REF!</definedName>
    <definedName name="_Sort" hidden="1">#REF!</definedName>
    <definedName name="Acreedor_pesos">'Base Graf'!$BN$148:$BN$164</definedName>
    <definedName name="Acreedor_USD">'Base Graf'!$BN$167:$BN$183</definedName>
    <definedName name="Acreedor_UVA">'Base Graf'!$BN$186:$BN$202</definedName>
    <definedName name="ACwvu.PLA1." localSheetId="7" hidden="1">'[1]COP FED'!#REF!</definedName>
    <definedName name="ACwvu.PLA1." localSheetId="2" hidden="1">'[1]COP FED'!#REF!</definedName>
    <definedName name="ACwvu.PLA1." localSheetId="5" hidden="1">'[1]COP FED'!#REF!</definedName>
    <definedName name="ACwvu.PLA1." hidden="1">'[1]COP FED'!#REF!</definedName>
    <definedName name="ACwvu.PLA2." hidden="1">'[1]COP FED'!$A$1:$N$49</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grafacreedor">CHOOSE(Gráficos!$K$64,Acreedor_pesos,Acreedor_USD,Acreedor_UVA)</definedName>
    <definedName name="grafcomp">CHOOSE(Gráficos!$K$6,Por_tasa_int,Por_moneda)</definedName>
    <definedName name="grafserv">CHOOSE(Gráficos!$K$44,Servicio_pesos,Servicio_USD,Servicio_UVA)</definedName>
    <definedName name="grafvto">CHOOSE(Gráficos!$K$25,Vto_en_pesos,Vto_en_USD,Vto_en_UVA)</definedName>
    <definedName name="LL" localSheetId="7"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nu" localSheetId="7" hidden="1">'[1]COP FED'!#REF!</definedName>
    <definedName name="nu" localSheetId="2" hidden="1">'[1]COP FED'!#REF!</definedName>
    <definedName name="nu" localSheetId="5" hidden="1">'[1]COP FED'!#REF!</definedName>
    <definedName name="nu" hidden="1">'[1]COP FED'!#REF!</definedName>
    <definedName name="Por_moneda">'Base Graf'!$BN$20:$BN$36</definedName>
    <definedName name="Por_tasa_int">'Base Graf'!$BN$3:$BN$18</definedName>
    <definedName name="Rwvu.PLA2." localSheetId="7" hidden="1">'[1]COP FED'!#REF!</definedName>
    <definedName name="Rwvu.PLA2." localSheetId="2" hidden="1">'[1]COP FED'!#REF!</definedName>
    <definedName name="Rwvu.PLA2." localSheetId="5" hidden="1">'[1]COP FED'!#REF!</definedName>
    <definedName name="Rwvu.PLA2." hidden="1">'[1]COP FED'!#REF!</definedName>
    <definedName name="Servicio_pesos">'Base Graf'!$BN$93:$BN$109</definedName>
    <definedName name="Servicio_USD">'Base Graf'!$BN$111:$BN$127</definedName>
    <definedName name="Servicio_UVA">'Base Graf'!$BN$130:$BN$146</definedName>
    <definedName name="Swvu.PLA1." localSheetId="7" hidden="1">'[1]COP FED'!#REF!</definedName>
    <definedName name="Swvu.PLA1." localSheetId="2" hidden="1">'[1]COP FED'!#REF!</definedName>
    <definedName name="Swvu.PLA1." localSheetId="5" hidden="1">'[1]COP FED'!#REF!</definedName>
    <definedName name="Swvu.PLA1." hidden="1">'[1]COP FED'!#REF!</definedName>
    <definedName name="Swvu.PLA2." hidden="1">'[1]COP FED'!$A$1:$N$49</definedName>
    <definedName name="Vto_en_pesos">'Base Graf'!$BN$39:$BN$55</definedName>
    <definedName name="Vto_en_USD">'Base Graf'!$BN$57:$BN$73</definedName>
    <definedName name="Vto_en_UVA">'Base Graf'!$BN$75:$BN$91</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1" l="1"/>
  <c r="D3" i="11"/>
  <c r="D6" i="11" s="1"/>
  <c r="E3" i="11"/>
  <c r="F3" i="11"/>
  <c r="G3" i="11"/>
  <c r="H3" i="11"/>
  <c r="H6" i="11" s="1"/>
  <c r="I3" i="11"/>
  <c r="J3" i="11"/>
  <c r="K3" i="11"/>
  <c r="L3" i="11"/>
  <c r="L6" i="11" s="1"/>
  <c r="M3" i="11"/>
  <c r="N3" i="11"/>
  <c r="O3" i="11"/>
  <c r="P3" i="11"/>
  <c r="P6" i="11" s="1"/>
  <c r="Q3" i="11"/>
  <c r="R3" i="11"/>
  <c r="S3" i="11"/>
  <c r="T3" i="11"/>
  <c r="T6" i="11" s="1"/>
  <c r="U3" i="11"/>
  <c r="V3" i="11"/>
  <c r="W3" i="11"/>
  <c r="X3" i="11"/>
  <c r="X6" i="11" s="1"/>
  <c r="Y3" i="11"/>
  <c r="Z3" i="11"/>
  <c r="AA3" i="11"/>
  <c r="AB3" i="11"/>
  <c r="AB6" i="11" s="1"/>
  <c r="AC3" i="11"/>
  <c r="AD3" i="11"/>
  <c r="AE3" i="11"/>
  <c r="AF3" i="11"/>
  <c r="AF6" i="11" s="1"/>
  <c r="AG3" i="11"/>
  <c r="AH3" i="11"/>
  <c r="AI3" i="11"/>
  <c r="AJ3" i="11"/>
  <c r="AJ6" i="11" s="1"/>
  <c r="AK3" i="11"/>
  <c r="AL3" i="11"/>
  <c r="AM3" i="11"/>
  <c r="B3" i="11"/>
  <c r="AK6" i="11"/>
  <c r="AI6" i="11"/>
  <c r="AH6" i="11"/>
  <c r="AG6" i="11"/>
  <c r="AE6" i="11"/>
  <c r="AD6" i="11"/>
  <c r="AC6" i="11"/>
  <c r="AA6" i="11"/>
  <c r="Z6" i="11"/>
  <c r="Y6" i="11"/>
  <c r="W6" i="11"/>
  <c r="V6" i="11"/>
  <c r="U6" i="11"/>
  <c r="S6" i="11"/>
  <c r="R6" i="11"/>
  <c r="Q6" i="11"/>
  <c r="O6" i="11"/>
  <c r="N6" i="11"/>
  <c r="M6" i="11"/>
  <c r="K6" i="11"/>
  <c r="J6" i="11"/>
  <c r="I6" i="11"/>
  <c r="G6" i="11"/>
  <c r="F6" i="11"/>
  <c r="E6" i="11"/>
  <c r="C6" i="11"/>
  <c r="B6" i="11"/>
  <c r="BQ115" i="7"/>
  <c r="BQ116" i="7"/>
  <c r="BQ117" i="7"/>
  <c r="BQ118" i="7"/>
  <c r="BQ119" i="7"/>
  <c r="BQ120" i="7"/>
  <c r="BQ121" i="7"/>
  <c r="BQ114" i="7"/>
  <c r="L7" i="7"/>
  <c r="L8" i="7"/>
  <c r="L9" i="7"/>
  <c r="L10" i="7"/>
  <c r="L11" i="7"/>
  <c r="L12" i="7"/>
  <c r="L13" i="7"/>
  <c r="L14" i="7"/>
  <c r="K8" i="7"/>
  <c r="K9" i="7"/>
  <c r="K10" i="7"/>
  <c r="K11" i="7"/>
  <c r="K12" i="7"/>
  <c r="K13" i="7"/>
  <c r="K14" i="7"/>
  <c r="K7" i="7"/>
  <c r="I14" i="7"/>
  <c r="I13" i="7"/>
  <c r="I12" i="7"/>
  <c r="I11" i="7"/>
  <c r="I10" i="7"/>
  <c r="I9" i="7"/>
  <c r="I8" i="7"/>
  <c r="I7" i="7"/>
  <c r="H14" i="7"/>
  <c r="H13" i="7"/>
  <c r="H12" i="7"/>
  <c r="H11" i="7"/>
  <c r="H10" i="7"/>
  <c r="H9" i="7"/>
  <c r="H8" i="7"/>
  <c r="H7" i="7"/>
  <c r="AE35" i="4"/>
  <c r="AC35" i="4"/>
  <c r="AA35" i="4"/>
  <c r="U35" i="4"/>
  <c r="S35" i="4"/>
  <c r="W35" i="4"/>
  <c r="Q35" i="4"/>
  <c r="AX5" i="7"/>
  <c r="Q50" i="2"/>
  <c r="P50" i="2"/>
  <c r="O50" i="2"/>
  <c r="N50" i="2"/>
  <c r="M50" i="2"/>
  <c r="L50" i="2"/>
  <c r="K50" i="2"/>
  <c r="J50" i="2"/>
  <c r="I50" i="2"/>
  <c r="H50" i="2"/>
  <c r="G50" i="2"/>
  <c r="AE45" i="4"/>
  <c r="AD45" i="4"/>
  <c r="AC45" i="4"/>
  <c r="AB45" i="4"/>
  <c r="AA45" i="4"/>
  <c r="Z45" i="4"/>
  <c r="Y45" i="4"/>
  <c r="X45" i="4"/>
  <c r="W45" i="4"/>
  <c r="V45" i="4"/>
  <c r="U45" i="4"/>
  <c r="T45" i="4"/>
  <c r="S45" i="4"/>
  <c r="R45" i="4"/>
  <c r="Q45" i="4"/>
  <c r="P45" i="4"/>
  <c r="AE44" i="4"/>
  <c r="AD44" i="4"/>
  <c r="AC44" i="4"/>
  <c r="AB44" i="4"/>
  <c r="AA44" i="4"/>
  <c r="Z44" i="4"/>
  <c r="Y44" i="4"/>
  <c r="X44" i="4"/>
  <c r="W44" i="4"/>
  <c r="V44" i="4"/>
  <c r="U44" i="4"/>
  <c r="T44" i="4"/>
  <c r="S44" i="4"/>
  <c r="R44" i="4"/>
  <c r="Q44" i="4"/>
  <c r="P44" i="4"/>
  <c r="AE43" i="4"/>
  <c r="AD43" i="4"/>
  <c r="AC43" i="4"/>
  <c r="AB43" i="4"/>
  <c r="AA43" i="4"/>
  <c r="Z43" i="4"/>
  <c r="Y43" i="4"/>
  <c r="X43" i="4"/>
  <c r="W43" i="4"/>
  <c r="V43" i="4"/>
  <c r="U43" i="4"/>
  <c r="T43" i="4"/>
  <c r="S43" i="4"/>
  <c r="R43" i="4"/>
  <c r="Q43" i="4"/>
  <c r="P43" i="4"/>
  <c r="AE42" i="4"/>
  <c r="AD42" i="4"/>
  <c r="AC42" i="4"/>
  <c r="AB42" i="4"/>
  <c r="AA42" i="4"/>
  <c r="Z42" i="4"/>
  <c r="Y42" i="4"/>
  <c r="X42" i="4"/>
  <c r="W42" i="4"/>
  <c r="V42" i="4"/>
  <c r="U42" i="4"/>
  <c r="T42" i="4"/>
  <c r="S42" i="4"/>
  <c r="R42" i="4"/>
  <c r="Q42" i="4"/>
  <c r="P42" i="4"/>
  <c r="AE41" i="4"/>
  <c r="AD41" i="4"/>
  <c r="AC41" i="4"/>
  <c r="AB41" i="4"/>
  <c r="AA41" i="4"/>
  <c r="Z41" i="4"/>
  <c r="Y41" i="4"/>
  <c r="X41" i="4"/>
  <c r="W41" i="4"/>
  <c r="V41" i="4"/>
  <c r="U41" i="4"/>
  <c r="T41" i="4"/>
  <c r="S41" i="4"/>
  <c r="R41" i="4"/>
  <c r="Q41" i="4"/>
  <c r="P41" i="4"/>
  <c r="AE40" i="4"/>
  <c r="AD40" i="4"/>
  <c r="AC40" i="4"/>
  <c r="AB40" i="4"/>
  <c r="AA40" i="4"/>
  <c r="Z40" i="4"/>
  <c r="Y40" i="4"/>
  <c r="X40" i="4"/>
  <c r="W40" i="4"/>
  <c r="V40" i="4"/>
  <c r="U40" i="4"/>
  <c r="T40" i="4"/>
  <c r="S40" i="4"/>
  <c r="R40" i="4"/>
  <c r="Q40" i="4"/>
  <c r="P40" i="4"/>
  <c r="AE39" i="4"/>
  <c r="AD39" i="4"/>
  <c r="AC39" i="4"/>
  <c r="AB39" i="4"/>
  <c r="AA39" i="4"/>
  <c r="Z39" i="4"/>
  <c r="Y39" i="4"/>
  <c r="X39" i="4"/>
  <c r="W39" i="4"/>
  <c r="V39" i="4"/>
  <c r="U39" i="4"/>
  <c r="T39" i="4"/>
  <c r="S39" i="4"/>
  <c r="R39" i="4"/>
  <c r="Q39" i="4"/>
  <c r="P39" i="4"/>
  <c r="AE38" i="4"/>
  <c r="AD38" i="4"/>
  <c r="AC38" i="4"/>
  <c r="AB38" i="4"/>
  <c r="AA38" i="4"/>
  <c r="Z38" i="4"/>
  <c r="Y38" i="4"/>
  <c r="X38" i="4"/>
  <c r="W38" i="4"/>
  <c r="V38" i="4"/>
  <c r="U38" i="4"/>
  <c r="T38" i="4"/>
  <c r="S38" i="4"/>
  <c r="R38" i="4"/>
  <c r="Q38" i="4"/>
  <c r="P38" i="4"/>
  <c r="AE36" i="4"/>
  <c r="AD36" i="4"/>
  <c r="AC36" i="4"/>
  <c r="AB36" i="4"/>
  <c r="AA36" i="4"/>
  <c r="Z36" i="4"/>
  <c r="Y36" i="4"/>
  <c r="X36" i="4"/>
  <c r="W36" i="4"/>
  <c r="V36" i="4"/>
  <c r="U36" i="4"/>
  <c r="T36" i="4"/>
  <c r="S36" i="4"/>
  <c r="R36" i="4"/>
  <c r="Q36" i="4"/>
  <c r="P36" i="4"/>
  <c r="AD35" i="4"/>
  <c r="AB35" i="4"/>
  <c r="Z35" i="4"/>
  <c r="Y35" i="4"/>
  <c r="X35" i="4"/>
  <c r="V35" i="4"/>
  <c r="T35" i="4"/>
  <c r="R35" i="4"/>
  <c r="P35" i="4"/>
  <c r="AE34" i="4"/>
  <c r="AD34" i="4"/>
  <c r="AC34" i="4"/>
  <c r="AB34" i="4"/>
  <c r="AA34" i="4"/>
  <c r="Z34" i="4"/>
  <c r="Y34" i="4"/>
  <c r="X34" i="4"/>
  <c r="W34" i="4"/>
  <c r="V34" i="4"/>
  <c r="U34" i="4"/>
  <c r="T34" i="4"/>
  <c r="S34" i="4"/>
  <c r="R34" i="4"/>
  <c r="Q34" i="4"/>
  <c r="P34" i="4"/>
  <c r="AE32" i="4"/>
  <c r="AD32" i="4"/>
  <c r="AC32" i="4"/>
  <c r="AB32" i="4"/>
  <c r="AA32" i="4"/>
  <c r="Z32" i="4"/>
  <c r="Y32" i="4"/>
  <c r="X32" i="4"/>
  <c r="W32" i="4"/>
  <c r="V32" i="4"/>
  <c r="U32" i="4"/>
  <c r="T32" i="4"/>
  <c r="S32" i="4"/>
  <c r="R32" i="4"/>
  <c r="Q32" i="4"/>
  <c r="P32" i="4"/>
  <c r="AE31" i="4"/>
  <c r="AD31" i="4"/>
  <c r="AC31" i="4"/>
  <c r="AB31" i="4"/>
  <c r="AA31" i="4"/>
  <c r="Z31" i="4"/>
  <c r="Y31" i="4"/>
  <c r="X31" i="4"/>
  <c r="W31" i="4"/>
  <c r="V31" i="4"/>
  <c r="U31" i="4"/>
  <c r="T31" i="4"/>
  <c r="S31" i="4"/>
  <c r="R31" i="4"/>
  <c r="Q31" i="4"/>
  <c r="P31" i="4"/>
  <c r="AE30" i="4"/>
  <c r="AD30" i="4"/>
  <c r="AC30" i="4"/>
  <c r="AB30" i="4"/>
  <c r="AA30" i="4"/>
  <c r="Z30" i="4"/>
  <c r="Y30" i="4"/>
  <c r="X30" i="4"/>
  <c r="W30" i="4"/>
  <c r="V30" i="4"/>
  <c r="U30" i="4"/>
  <c r="T30" i="4"/>
  <c r="S30" i="4"/>
  <c r="R30" i="4"/>
  <c r="Q30" i="4"/>
  <c r="P30" i="4"/>
  <c r="AE29" i="4"/>
  <c r="AD29" i="4"/>
  <c r="AC29" i="4"/>
  <c r="AB29" i="4"/>
  <c r="AA29" i="4"/>
  <c r="Z29" i="4"/>
  <c r="Y29" i="4"/>
  <c r="X29" i="4"/>
  <c r="W29" i="4"/>
  <c r="V29" i="4"/>
  <c r="U29" i="4"/>
  <c r="T29" i="4"/>
  <c r="S29" i="4"/>
  <c r="R29" i="4"/>
  <c r="Q29" i="4"/>
  <c r="P29" i="4"/>
  <c r="AE28" i="4"/>
  <c r="AD28" i="4"/>
  <c r="AC28" i="4"/>
  <c r="AB28" i="4"/>
  <c r="AA28" i="4"/>
  <c r="Z28" i="4"/>
  <c r="Y28" i="4"/>
  <c r="X28" i="4"/>
  <c r="W28" i="4"/>
  <c r="V28" i="4"/>
  <c r="U28" i="4"/>
  <c r="T28" i="4"/>
  <c r="S28" i="4"/>
  <c r="R28" i="4"/>
  <c r="Q28" i="4"/>
  <c r="P28" i="4"/>
  <c r="AE27" i="4"/>
  <c r="AD27" i="4"/>
  <c r="AC27" i="4"/>
  <c r="AB27" i="4"/>
  <c r="AA27" i="4"/>
  <c r="Z27" i="4"/>
  <c r="Y27" i="4"/>
  <c r="X27" i="4"/>
  <c r="W27" i="4"/>
  <c r="V27" i="4"/>
  <c r="U27" i="4"/>
  <c r="T27" i="4"/>
  <c r="S27" i="4"/>
  <c r="R27" i="4"/>
  <c r="Q27" i="4"/>
  <c r="P27" i="4"/>
  <c r="AE26" i="4"/>
  <c r="AD26" i="4"/>
  <c r="AC26" i="4"/>
  <c r="AB26" i="4"/>
  <c r="AA26" i="4"/>
  <c r="Z26" i="4"/>
  <c r="Y26" i="4"/>
  <c r="X26" i="4"/>
  <c r="W26" i="4"/>
  <c r="V26" i="4"/>
  <c r="U26" i="4"/>
  <c r="T26" i="4"/>
  <c r="S26" i="4"/>
  <c r="R26" i="4"/>
  <c r="Q26" i="4"/>
  <c r="P26" i="4"/>
  <c r="AE25" i="4"/>
  <c r="AD25" i="4"/>
  <c r="AC25" i="4"/>
  <c r="AB25" i="4"/>
  <c r="AA25" i="4"/>
  <c r="Z25" i="4"/>
  <c r="Y25" i="4"/>
  <c r="X25" i="4"/>
  <c r="W25" i="4"/>
  <c r="V25" i="4"/>
  <c r="U25" i="4"/>
  <c r="T25" i="4"/>
  <c r="S25" i="4"/>
  <c r="R25" i="4"/>
  <c r="Q25" i="4"/>
  <c r="P25" i="4"/>
  <c r="AE24" i="4"/>
  <c r="AD24" i="4"/>
  <c r="AC24" i="4"/>
  <c r="AB24" i="4"/>
  <c r="AA24" i="4"/>
  <c r="Z24" i="4"/>
  <c r="Y24" i="4"/>
  <c r="X24" i="4"/>
  <c r="W24" i="4"/>
  <c r="V24" i="4"/>
  <c r="U24" i="4"/>
  <c r="T24" i="4"/>
  <c r="S24" i="4"/>
  <c r="R24" i="4"/>
  <c r="Q24" i="4"/>
  <c r="P24" i="4"/>
  <c r="AE23" i="4"/>
  <c r="AD23" i="4"/>
  <c r="AC23" i="4"/>
  <c r="AB23" i="4"/>
  <c r="AA23" i="4"/>
  <c r="Z23" i="4"/>
  <c r="Y23" i="4"/>
  <c r="X23" i="4"/>
  <c r="W23" i="4"/>
  <c r="V23" i="4"/>
  <c r="U23" i="4"/>
  <c r="T23" i="4"/>
  <c r="S23" i="4"/>
  <c r="R23" i="4"/>
  <c r="Q23" i="4"/>
  <c r="P23" i="4"/>
  <c r="AE22" i="4"/>
  <c r="AD22" i="4"/>
  <c r="AC22" i="4"/>
  <c r="AB22" i="4"/>
  <c r="AA22" i="4"/>
  <c r="Z22" i="4"/>
  <c r="Y22" i="4"/>
  <c r="X22" i="4"/>
  <c r="W22" i="4"/>
  <c r="V22" i="4"/>
  <c r="U22" i="4"/>
  <c r="T22" i="4"/>
  <c r="S22" i="4"/>
  <c r="R22" i="4"/>
  <c r="Q22" i="4"/>
  <c r="P22" i="4"/>
  <c r="AE19" i="4"/>
  <c r="AD19" i="4"/>
  <c r="AC19" i="4"/>
  <c r="AB19" i="4"/>
  <c r="AA19" i="4"/>
  <c r="Z19" i="4"/>
  <c r="Y19" i="4"/>
  <c r="X19" i="4"/>
  <c r="W19" i="4"/>
  <c r="V19" i="4"/>
  <c r="U19" i="4"/>
  <c r="T19" i="4"/>
  <c r="S19" i="4"/>
  <c r="R19" i="4"/>
  <c r="Q19" i="4"/>
  <c r="P19" i="4"/>
  <c r="AE17" i="4"/>
  <c r="AD17" i="4"/>
  <c r="AC17" i="4"/>
  <c r="AB17" i="4"/>
  <c r="AA17" i="4"/>
  <c r="Z17" i="4"/>
  <c r="Y17" i="4"/>
  <c r="X17" i="4"/>
  <c r="W17" i="4"/>
  <c r="V17" i="4"/>
  <c r="U17" i="4"/>
  <c r="T17" i="4"/>
  <c r="S17" i="4"/>
  <c r="R17" i="4"/>
  <c r="Q17" i="4"/>
  <c r="P17" i="4"/>
  <c r="AE16" i="4"/>
  <c r="AD16" i="4"/>
  <c r="AC16" i="4"/>
  <c r="AB16" i="4"/>
  <c r="AA16" i="4"/>
  <c r="Z16" i="4"/>
  <c r="Y16" i="4"/>
  <c r="X16" i="4"/>
  <c r="W16" i="4"/>
  <c r="V16" i="4"/>
  <c r="U16" i="4"/>
  <c r="T16" i="4"/>
  <c r="S16" i="4"/>
  <c r="R16" i="4"/>
  <c r="Q16" i="4"/>
  <c r="P16" i="4"/>
  <c r="AE15" i="4"/>
  <c r="AD15" i="4"/>
  <c r="AC15" i="4"/>
  <c r="AB15" i="4"/>
  <c r="AA15" i="4"/>
  <c r="Z15" i="4"/>
  <c r="Y15" i="4"/>
  <c r="X15" i="4"/>
  <c r="W15" i="4"/>
  <c r="V15" i="4"/>
  <c r="U15" i="4"/>
  <c r="T15" i="4"/>
  <c r="S15" i="4"/>
  <c r="R15" i="4"/>
  <c r="Q15" i="4"/>
  <c r="P15" i="4"/>
  <c r="AE14" i="4"/>
  <c r="AD14" i="4"/>
  <c r="AC14" i="4"/>
  <c r="AB14" i="4"/>
  <c r="AA14" i="4"/>
  <c r="Z14" i="4"/>
  <c r="Y14" i="4"/>
  <c r="X14" i="4"/>
  <c r="W14" i="4"/>
  <c r="V14" i="4"/>
  <c r="U14" i="4"/>
  <c r="T14" i="4"/>
  <c r="S14" i="4"/>
  <c r="R14" i="4"/>
  <c r="Q14" i="4"/>
  <c r="P14" i="4"/>
  <c r="AE13" i="4"/>
  <c r="AD13" i="4"/>
  <c r="AC13" i="4"/>
  <c r="AB13" i="4"/>
  <c r="AA13" i="4"/>
  <c r="Z13" i="4"/>
  <c r="Y13" i="4"/>
  <c r="X13" i="4"/>
  <c r="W13" i="4"/>
  <c r="V13" i="4"/>
  <c r="U13" i="4"/>
  <c r="T13" i="4"/>
  <c r="S13" i="4"/>
  <c r="R13" i="4"/>
  <c r="Q13" i="4"/>
  <c r="P13" i="4"/>
  <c r="AE12" i="4"/>
  <c r="AD12" i="4"/>
  <c r="AC12" i="4"/>
  <c r="AB12" i="4"/>
  <c r="AA12" i="4"/>
  <c r="Z12" i="4"/>
  <c r="Y12" i="4"/>
  <c r="X12" i="4"/>
  <c r="W12" i="4"/>
  <c r="V12" i="4"/>
  <c r="U12" i="4"/>
  <c r="T12" i="4"/>
  <c r="S12" i="4"/>
  <c r="R12" i="4"/>
  <c r="Q12" i="4"/>
  <c r="P12" i="4"/>
  <c r="AE11" i="4"/>
  <c r="AD11" i="4"/>
  <c r="AC11" i="4"/>
  <c r="AB11" i="4"/>
  <c r="AA11" i="4"/>
  <c r="Z11" i="4"/>
  <c r="Y11" i="4"/>
  <c r="X11" i="4"/>
  <c r="W11" i="4"/>
  <c r="V11" i="4"/>
  <c r="U11" i="4"/>
  <c r="T11" i="4"/>
  <c r="S11" i="4"/>
  <c r="R11" i="4"/>
  <c r="Q11" i="4"/>
  <c r="P11" i="4"/>
  <c r="P10" i="4"/>
  <c r="N39" i="10" l="1"/>
  <c r="N38" i="10"/>
  <c r="N37" i="10"/>
  <c r="N36" i="10"/>
  <c r="N35" i="10"/>
  <c r="N34" i="10"/>
  <c r="N33" i="10"/>
  <c r="N32" i="10"/>
  <c r="N31" i="10"/>
  <c r="N30" i="10"/>
  <c r="N29" i="10"/>
  <c r="N28" i="10"/>
  <c r="N27" i="10"/>
  <c r="N26" i="10"/>
  <c r="N25" i="10"/>
  <c r="N24" i="10"/>
  <c r="N23" i="10"/>
  <c r="N22" i="10"/>
  <c r="N21" i="10"/>
  <c r="N20" i="10"/>
  <c r="N19" i="10"/>
  <c r="N18" i="10"/>
  <c r="N17" i="10"/>
  <c r="N16" i="10"/>
  <c r="N15" i="10"/>
  <c r="N14" i="10"/>
  <c r="N13" i="10"/>
  <c r="N12" i="10"/>
  <c r="N11" i="10"/>
  <c r="N10" i="10"/>
  <c r="N9" i="10"/>
  <c r="N8" i="10"/>
  <c r="N7" i="10"/>
  <c r="N6" i="10"/>
  <c r="N5" i="10"/>
  <c r="N4" i="10"/>
  <c r="N3" i="10"/>
  <c r="N40" i="10"/>
  <c r="M39" i="10"/>
  <c r="M38" i="10"/>
  <c r="M37" i="10"/>
  <c r="M36" i="10"/>
  <c r="M35" i="10"/>
  <c r="M34" i="10"/>
  <c r="M33" i="10"/>
  <c r="M32" i="10"/>
  <c r="M31" i="10"/>
  <c r="M30" i="10"/>
  <c r="M29" i="10"/>
  <c r="M28" i="10"/>
  <c r="M27" i="10"/>
  <c r="M26" i="10"/>
  <c r="M25" i="10"/>
  <c r="M24" i="10"/>
  <c r="M23" i="10"/>
  <c r="M22" i="10"/>
  <c r="M21" i="10"/>
  <c r="M20" i="10"/>
  <c r="M19" i="10"/>
  <c r="M18" i="10"/>
  <c r="M17" i="10"/>
  <c r="M16" i="10"/>
  <c r="M15" i="10"/>
  <c r="M14" i="10"/>
  <c r="M13" i="10"/>
  <c r="M12" i="10"/>
  <c r="M11" i="10"/>
  <c r="M10" i="10"/>
  <c r="M9" i="10"/>
  <c r="M8" i="10"/>
  <c r="M7" i="10"/>
  <c r="M6" i="10"/>
  <c r="M5" i="10"/>
  <c r="M4" i="10"/>
  <c r="M3" i="10"/>
  <c r="M40" i="10"/>
  <c r="K5" i="10"/>
  <c r="K6" i="10"/>
  <c r="K7" i="10"/>
  <c r="K8" i="10"/>
  <c r="K9" i="10"/>
  <c r="K10" i="10"/>
  <c r="K11" i="10"/>
  <c r="K12"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I5" i="10"/>
  <c r="I6" i="10"/>
  <c r="I7" i="10"/>
  <c r="I8" i="10"/>
  <c r="I9" i="10"/>
  <c r="I10" i="10"/>
  <c r="I11" i="10"/>
  <c r="I12" i="10"/>
  <c r="I13" i="10"/>
  <c r="I14" i="10"/>
  <c r="I15" i="10"/>
  <c r="I16" i="10"/>
  <c r="I17" i="10"/>
  <c r="I18" i="10"/>
  <c r="I19" i="10"/>
  <c r="I20" i="10"/>
  <c r="I21" i="10"/>
  <c r="I22" i="10"/>
  <c r="I23" i="10"/>
  <c r="I24" i="10"/>
  <c r="I25" i="10"/>
  <c r="I26" i="10"/>
  <c r="I27" i="10"/>
  <c r="I28" i="10"/>
  <c r="I29" i="10"/>
  <c r="I30" i="10"/>
  <c r="I31" i="10"/>
  <c r="I32" i="10"/>
  <c r="I33" i="10"/>
  <c r="I34" i="10"/>
  <c r="I35" i="10"/>
  <c r="I36" i="10"/>
  <c r="I37" i="10"/>
  <c r="I38" i="10"/>
  <c r="I39" i="10"/>
  <c r="I40" i="10"/>
  <c r="I4" i="10"/>
  <c r="K4" i="10"/>
  <c r="H3" i="10"/>
  <c r="H4" i="10"/>
  <c r="H5" i="10"/>
  <c r="H6" i="10"/>
  <c r="H7" i="10"/>
  <c r="H8" i="10"/>
  <c r="H9" i="10"/>
  <c r="H10" i="10"/>
  <c r="H11" i="10"/>
  <c r="H12" i="10"/>
  <c r="H13" i="10"/>
  <c r="H14" i="10"/>
  <c r="H15" i="10"/>
  <c r="H16" i="10"/>
  <c r="H17" i="10"/>
  <c r="H18" i="10"/>
  <c r="H19" i="10"/>
  <c r="H20" i="10"/>
  <c r="H21" i="10"/>
  <c r="H22" i="10"/>
  <c r="H23" i="10"/>
  <c r="H24" i="10"/>
  <c r="H25" i="10"/>
  <c r="H26" i="10"/>
  <c r="H27" i="10"/>
  <c r="H28" i="10"/>
  <c r="H29" i="10"/>
  <c r="H30" i="10"/>
  <c r="H31" i="10"/>
  <c r="H33" i="10"/>
  <c r="H34" i="10"/>
  <c r="H32" i="10"/>
  <c r="H35" i="10"/>
  <c r="H36" i="10"/>
  <c r="H37" i="10"/>
  <c r="H38" i="10"/>
  <c r="H39" i="10"/>
  <c r="H40" i="10"/>
  <c r="E41" i="10"/>
  <c r="E42" i="10" s="1"/>
  <c r="E43" i="10" s="1"/>
  <c r="E44" i="10" s="1"/>
  <c r="E45" i="10" s="1"/>
  <c r="E46" i="10" s="1"/>
  <c r="E47" i="10" s="1"/>
  <c r="E48" i="10" s="1"/>
  <c r="E49" i="10" s="1"/>
  <c r="E50" i="10" s="1"/>
  <c r="E51" i="10" s="1"/>
  <c r="E52" i="10" s="1"/>
  <c r="E53" i="10" s="1"/>
  <c r="E54" i="10" s="1"/>
  <c r="E55" i="10" s="1"/>
  <c r="E56" i="10" s="1"/>
  <c r="E57" i="10" s="1"/>
  <c r="E58" i="10" s="1"/>
  <c r="E59" i="10" s="1"/>
  <c r="E60" i="10" s="1"/>
  <c r="E61" i="10" s="1"/>
  <c r="E62" i="10" s="1"/>
  <c r="E63" i="10" s="1"/>
  <c r="E64" i="10" s="1"/>
  <c r="E65" i="10" s="1"/>
  <c r="E66" i="10" s="1"/>
  <c r="E67" i="10" s="1"/>
  <c r="E68" i="10" s="1"/>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40" i="10"/>
  <c r="E4"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3" i="10"/>
  <c r="G33" i="10"/>
  <c r="G34" i="10" s="1"/>
  <c r="G35" i="10" s="1"/>
  <c r="G36" i="10" s="1"/>
  <c r="G37" i="10" s="1"/>
  <c r="G38" i="10" s="1"/>
  <c r="G39" i="10" s="1"/>
  <c r="G40" i="10" s="1"/>
  <c r="G19" i="10"/>
  <c r="G20" i="10" s="1"/>
  <c r="G21" i="10" s="1"/>
  <c r="G22" i="10" s="1"/>
  <c r="G23" i="10" s="1"/>
  <c r="G24" i="10" s="1"/>
  <c r="G25" i="10" s="1"/>
  <c r="G26" i="10" s="1"/>
  <c r="G27" i="10" s="1"/>
  <c r="G28" i="10" s="1"/>
  <c r="G29" i="10" s="1"/>
  <c r="G30" i="10" s="1"/>
  <c r="G31" i="10" s="1"/>
  <c r="G32" i="10" s="1"/>
  <c r="G5" i="10"/>
  <c r="G6" i="10" s="1"/>
  <c r="G7" i="10" s="1"/>
  <c r="G8" i="10" s="1"/>
  <c r="G9" i="10" s="1"/>
  <c r="G10" i="10" s="1"/>
  <c r="G11" i="10" s="1"/>
  <c r="G12" i="10" s="1"/>
  <c r="G13" i="10" s="1"/>
  <c r="G14" i="10" s="1"/>
  <c r="G15" i="10" s="1"/>
  <c r="G16" i="10" s="1"/>
  <c r="G17" i="10" s="1"/>
  <c r="G18" i="10" s="1"/>
  <c r="G4" i="10"/>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4" i="10"/>
  <c r="A4" i="10"/>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L7" i="6"/>
  <c r="AL9" i="6" s="1"/>
  <c r="AL13" i="6" l="1"/>
  <c r="AL11" i="6"/>
  <c r="D14" i="5" l="1"/>
  <c r="AT14" i="7"/>
  <c r="AT13" i="7"/>
  <c r="AT12" i="7"/>
  <c r="AT11" i="7"/>
  <c r="AT10" i="7"/>
  <c r="AT9" i="7"/>
  <c r="AT8" i="7"/>
  <c r="AT7" i="7"/>
  <c r="AT6" i="7"/>
  <c r="AT5" i="7"/>
  <c r="AT4" i="7"/>
  <c r="AS14" i="7"/>
  <c r="AS13" i="7"/>
  <c r="AS12" i="7"/>
  <c r="AS11" i="7"/>
  <c r="AS10" i="7"/>
  <c r="AS9" i="7"/>
  <c r="AS8" i="7"/>
  <c r="AS7" i="7"/>
  <c r="AS6" i="7"/>
  <c r="AS5" i="7"/>
  <c r="AS4" i="7"/>
  <c r="AR14" i="7"/>
  <c r="AR13" i="7"/>
  <c r="AR12" i="7"/>
  <c r="AR11" i="7"/>
  <c r="AR10" i="7"/>
  <c r="AR9" i="7"/>
  <c r="AR8" i="7"/>
  <c r="AR7" i="7"/>
  <c r="AR6" i="7"/>
  <c r="AR5" i="7"/>
  <c r="AR4" i="7"/>
  <c r="V6" i="7"/>
  <c r="V5" i="7"/>
  <c r="V4" i="7"/>
  <c r="S5" i="7"/>
  <c r="S6" i="7"/>
  <c r="S4" i="7"/>
  <c r="U5" i="7"/>
  <c r="U6" i="7"/>
  <c r="U4" i="7"/>
  <c r="R6" i="7"/>
  <c r="R5" i="7"/>
  <c r="R4" i="7"/>
  <c r="T5" i="7"/>
  <c r="T6" i="7"/>
  <c r="T4" i="7"/>
  <c r="Q5" i="7"/>
  <c r="Q6" i="7"/>
  <c r="Q4" i="7"/>
  <c r="N4" i="7"/>
  <c r="O4" i="7"/>
  <c r="P4" i="7"/>
  <c r="N5" i="7"/>
  <c r="O5" i="7"/>
  <c r="P5" i="7"/>
  <c r="N6" i="7"/>
  <c r="O6" i="7"/>
  <c r="P6" i="7"/>
  <c r="N7" i="7"/>
  <c r="T7" i="7" s="1"/>
  <c r="O7" i="7"/>
  <c r="U7" i="7" s="1"/>
  <c r="P7" i="7"/>
  <c r="N8" i="7"/>
  <c r="T8" i="7" s="1"/>
  <c r="O8" i="7"/>
  <c r="U8" i="7" s="1"/>
  <c r="P8" i="7"/>
  <c r="N9" i="7"/>
  <c r="T9" i="7" s="1"/>
  <c r="O9" i="7"/>
  <c r="R9" i="7" s="1"/>
  <c r="P9" i="7"/>
  <c r="N10" i="7"/>
  <c r="T10" i="7" s="1"/>
  <c r="O10" i="7"/>
  <c r="R10" i="7" s="1"/>
  <c r="P10" i="7"/>
  <c r="N11" i="7"/>
  <c r="T11" i="7" s="1"/>
  <c r="O11" i="7"/>
  <c r="U11" i="7" s="1"/>
  <c r="P11" i="7"/>
  <c r="N12" i="7"/>
  <c r="T12" i="7" s="1"/>
  <c r="O12" i="7"/>
  <c r="U12" i="7" s="1"/>
  <c r="P12" i="7"/>
  <c r="N13" i="7"/>
  <c r="T13" i="7" s="1"/>
  <c r="O13" i="7"/>
  <c r="U13" i="7" s="1"/>
  <c r="P13" i="7"/>
  <c r="N14" i="7"/>
  <c r="T14" i="7" s="1"/>
  <c r="O14" i="7"/>
  <c r="R14" i="7" s="1"/>
  <c r="P14" i="7"/>
  <c r="AE10" i="4"/>
  <c r="AD10" i="4"/>
  <c r="AC10" i="4"/>
  <c r="AB10" i="4"/>
  <c r="AA10" i="4"/>
  <c r="Z10" i="4"/>
  <c r="Y10" i="4"/>
  <c r="X10" i="4"/>
  <c r="W10" i="4"/>
  <c r="V10" i="4"/>
  <c r="U10" i="4"/>
  <c r="T10" i="4"/>
  <c r="S10" i="4"/>
  <c r="R10" i="4"/>
  <c r="Q10" i="4"/>
  <c r="Q13" i="7" l="1"/>
  <c r="Q14" i="7"/>
  <c r="Q12" i="7"/>
  <c r="Q11" i="7"/>
  <c r="Q10" i="7"/>
  <c r="Q9" i="7"/>
  <c r="Q8" i="7"/>
  <c r="Q7" i="7"/>
  <c r="R13" i="7"/>
  <c r="U14" i="7"/>
  <c r="R12" i="7"/>
  <c r="R11" i="7"/>
  <c r="U10" i="7"/>
  <c r="U9" i="7"/>
  <c r="R8" i="7"/>
  <c r="R7" i="7"/>
  <c r="AD9" i="4"/>
  <c r="AC9" i="4"/>
  <c r="AB9" i="4"/>
  <c r="AA9" i="4"/>
  <c r="Z9" i="4"/>
  <c r="Y9" i="4"/>
  <c r="X9" i="4"/>
  <c r="W9" i="4"/>
  <c r="V9" i="4"/>
  <c r="U9" i="4"/>
  <c r="T9" i="4"/>
  <c r="S9" i="4"/>
  <c r="R9" i="4"/>
  <c r="Q9" i="4"/>
  <c r="P9" i="4"/>
  <c r="AE9" i="4"/>
  <c r="AE18" i="4"/>
  <c r="AD18" i="4"/>
  <c r="AC18" i="4"/>
  <c r="AB18" i="4"/>
  <c r="AA18" i="4"/>
  <c r="Z18" i="4"/>
  <c r="Y18" i="4"/>
  <c r="X18" i="4"/>
  <c r="W18" i="4"/>
  <c r="V18" i="4"/>
  <c r="U18" i="4"/>
  <c r="T18" i="4"/>
  <c r="S18" i="4"/>
  <c r="R18" i="4"/>
  <c r="Q18" i="4"/>
  <c r="P18" i="4"/>
  <c r="AD21" i="4"/>
  <c r="AC21" i="4"/>
  <c r="AB21" i="4"/>
  <c r="AA21" i="4"/>
  <c r="Z21" i="4"/>
  <c r="Y21" i="4"/>
  <c r="X21" i="4"/>
  <c r="W21" i="4"/>
  <c r="V21" i="4"/>
  <c r="U21" i="4"/>
  <c r="T21" i="4"/>
  <c r="S21" i="4"/>
  <c r="R21" i="4"/>
  <c r="Q21" i="4"/>
  <c r="P21" i="4"/>
  <c r="AD33" i="4"/>
  <c r="AC33" i="4"/>
  <c r="AB33" i="4"/>
  <c r="AA33" i="4"/>
  <c r="Z33" i="4"/>
  <c r="Y33" i="4"/>
  <c r="X33" i="4"/>
  <c r="W33" i="4"/>
  <c r="V33" i="4"/>
  <c r="U33" i="4"/>
  <c r="T33" i="4"/>
  <c r="S33" i="4"/>
  <c r="R33" i="4"/>
  <c r="Q33" i="4"/>
  <c r="Q37" i="4"/>
  <c r="R37" i="4"/>
  <c r="S37" i="4"/>
  <c r="T37" i="4"/>
  <c r="U37" i="4"/>
  <c r="V37" i="4"/>
  <c r="W37" i="4"/>
  <c r="X37" i="4"/>
  <c r="Y37" i="4"/>
  <c r="Z37" i="4"/>
  <c r="AA37" i="4"/>
  <c r="AB37" i="4"/>
  <c r="AC37" i="4"/>
  <c r="AD37" i="4"/>
  <c r="AE37" i="4"/>
  <c r="P37" i="4"/>
  <c r="P33" i="4" s="1"/>
  <c r="W20" i="4" l="1"/>
  <c r="AA20" i="4"/>
  <c r="AE33" i="4"/>
  <c r="P20" i="4"/>
  <c r="X20" i="4"/>
  <c r="AE21" i="4"/>
  <c r="R20" i="4"/>
  <c r="V20" i="4"/>
  <c r="Z20" i="4"/>
  <c r="AD20" i="4"/>
  <c r="S20" i="4"/>
  <c r="T20" i="4"/>
  <c r="AB20" i="4"/>
  <c r="Q20" i="4"/>
  <c r="U20" i="4"/>
  <c r="Y20" i="4"/>
  <c r="AC20" i="4"/>
  <c r="AE20" i="4" l="1"/>
  <c r="G126" i="4"/>
  <c r="H126" i="4"/>
  <c r="I126" i="4"/>
  <c r="J126" i="4"/>
  <c r="K126" i="4"/>
  <c r="L126" i="4"/>
  <c r="M126" i="4"/>
  <c r="N126" i="4"/>
  <c r="O126" i="4"/>
  <c r="P126" i="4"/>
  <c r="Q126" i="4"/>
  <c r="R126" i="4"/>
  <c r="S126" i="4"/>
  <c r="T126" i="4"/>
  <c r="U126" i="4"/>
  <c r="F126" i="4"/>
  <c r="F138" i="4"/>
  <c r="G138" i="4"/>
  <c r="H138" i="4"/>
  <c r="I138" i="4"/>
  <c r="J138" i="4"/>
  <c r="K138" i="4"/>
  <c r="L138" i="4"/>
  <c r="M138" i="4"/>
  <c r="N138" i="4"/>
  <c r="O138" i="4"/>
  <c r="P138" i="4"/>
  <c r="Q138" i="4"/>
  <c r="R138" i="4"/>
  <c r="S138" i="4"/>
  <c r="T138" i="4"/>
  <c r="U138" i="4"/>
  <c r="G142" i="4"/>
  <c r="H142" i="4"/>
  <c r="I142" i="4"/>
  <c r="J142" i="4"/>
  <c r="K142" i="4"/>
  <c r="L142" i="4"/>
  <c r="M142" i="4"/>
  <c r="N142" i="4"/>
  <c r="O142" i="4"/>
  <c r="P142" i="4"/>
  <c r="Q142" i="4"/>
  <c r="R142" i="4"/>
  <c r="S142" i="4"/>
  <c r="T142" i="4"/>
  <c r="U142" i="4"/>
  <c r="F142" i="4"/>
  <c r="G91" i="4"/>
  <c r="H91" i="4"/>
  <c r="I91" i="4"/>
  <c r="J91" i="4"/>
  <c r="K91" i="4"/>
  <c r="L91" i="4"/>
  <c r="M91" i="4"/>
  <c r="M78" i="4" s="1"/>
  <c r="N91" i="4"/>
  <c r="O91" i="4"/>
  <c r="O78" i="4" s="1"/>
  <c r="P91" i="4"/>
  <c r="Q91" i="4"/>
  <c r="Q78" i="4" s="1"/>
  <c r="R91" i="4"/>
  <c r="S91" i="4"/>
  <c r="T91" i="4"/>
  <c r="U91" i="4"/>
  <c r="F91" i="4"/>
  <c r="G79" i="4"/>
  <c r="H79" i="4"/>
  <c r="I79" i="4"/>
  <c r="J79" i="4"/>
  <c r="K79" i="4"/>
  <c r="L79" i="4"/>
  <c r="M79" i="4"/>
  <c r="N79" i="4"/>
  <c r="O79" i="4"/>
  <c r="P79" i="4"/>
  <c r="Q79" i="4"/>
  <c r="R79" i="4"/>
  <c r="S79" i="4"/>
  <c r="T79" i="4"/>
  <c r="U79" i="4"/>
  <c r="F79" i="4"/>
  <c r="F78" i="4" s="1"/>
  <c r="G78" i="4"/>
  <c r="H78" i="4"/>
  <c r="I78" i="4"/>
  <c r="J78" i="4"/>
  <c r="K78" i="4"/>
  <c r="L78" i="4"/>
  <c r="N78" i="4"/>
  <c r="P78" i="4"/>
  <c r="R78" i="4"/>
  <c r="S78" i="4"/>
  <c r="T78" i="4"/>
  <c r="G95" i="4"/>
  <c r="H95" i="4"/>
  <c r="I95" i="4"/>
  <c r="J95" i="4"/>
  <c r="K95" i="4"/>
  <c r="L95" i="4"/>
  <c r="M95" i="4"/>
  <c r="N95" i="4"/>
  <c r="O95" i="4"/>
  <c r="P95" i="4"/>
  <c r="Q95" i="4"/>
  <c r="R95" i="4"/>
  <c r="S95" i="4"/>
  <c r="T95" i="4"/>
  <c r="U95" i="4"/>
  <c r="F95" i="4"/>
  <c r="U78" i="4" l="1"/>
  <c r="U125" i="4"/>
  <c r="Q125" i="4"/>
  <c r="M125" i="4"/>
  <c r="I125" i="4"/>
  <c r="T125" i="4"/>
  <c r="P125" i="4"/>
  <c r="L125" i="4"/>
  <c r="H125" i="4"/>
  <c r="S125" i="4"/>
  <c r="O125" i="4"/>
  <c r="K125" i="4"/>
  <c r="G125" i="4"/>
  <c r="F125" i="4"/>
  <c r="R125" i="4"/>
  <c r="N125" i="4"/>
  <c r="J125" i="4"/>
  <c r="U123" i="4" l="1"/>
  <c r="T123" i="4"/>
  <c r="S123" i="4"/>
  <c r="R123" i="4"/>
  <c r="Q123" i="4"/>
  <c r="P123" i="4"/>
  <c r="O123" i="4"/>
  <c r="N123" i="4"/>
  <c r="M123" i="4"/>
  <c r="L123" i="4"/>
  <c r="K123" i="4"/>
  <c r="J123" i="4"/>
  <c r="I123" i="4"/>
  <c r="H123" i="4"/>
  <c r="G123" i="4"/>
  <c r="F123" i="4"/>
  <c r="S114" i="4"/>
  <c r="O114" i="4"/>
  <c r="K114" i="4"/>
  <c r="K152" i="4" s="1"/>
  <c r="G114" i="4"/>
  <c r="U76" i="4"/>
  <c r="T76" i="4"/>
  <c r="S76" i="4"/>
  <c r="R76" i="4"/>
  <c r="Q76" i="4"/>
  <c r="P76" i="4"/>
  <c r="O76" i="4"/>
  <c r="N76" i="4"/>
  <c r="M76" i="4"/>
  <c r="L76" i="4"/>
  <c r="K76" i="4"/>
  <c r="J76" i="4"/>
  <c r="I76" i="4"/>
  <c r="H76" i="4"/>
  <c r="G76" i="4"/>
  <c r="F76" i="4"/>
  <c r="R67" i="4"/>
  <c r="N67" i="4"/>
  <c r="J67" i="4"/>
  <c r="R114" i="4"/>
  <c r="R152" i="4" s="1"/>
  <c r="Q114" i="4"/>
  <c r="Q152" i="4" s="1"/>
  <c r="P114" i="4"/>
  <c r="P152" i="4" s="1"/>
  <c r="N114" i="4"/>
  <c r="M114" i="4"/>
  <c r="M152" i="4" s="1"/>
  <c r="L114" i="4"/>
  <c r="L152" i="4" s="1"/>
  <c r="J114" i="4"/>
  <c r="I114" i="4"/>
  <c r="I152" i="4" s="1"/>
  <c r="H114" i="4"/>
  <c r="H152" i="4" s="1"/>
  <c r="U114" i="4"/>
  <c r="U152" i="4" s="1"/>
  <c r="T114" i="4"/>
  <c r="T152" i="4" s="1"/>
  <c r="U67" i="4"/>
  <c r="T67" i="4"/>
  <c r="S67" i="4"/>
  <c r="Q67" i="4"/>
  <c r="P67" i="4"/>
  <c r="O67" i="4"/>
  <c r="M67" i="4"/>
  <c r="L67" i="4"/>
  <c r="K67" i="4"/>
  <c r="I67" i="4"/>
  <c r="H67" i="4"/>
  <c r="G67" i="4"/>
  <c r="F114" i="4"/>
  <c r="F67" i="4"/>
  <c r="F35" i="4"/>
  <c r="F152" i="4" l="1"/>
  <c r="N152" i="4"/>
  <c r="J152" i="4"/>
  <c r="O152" i="4"/>
  <c r="S152" i="4"/>
  <c r="G152" i="4"/>
  <c r="G105" i="4"/>
  <c r="K105" i="4"/>
  <c r="O105" i="4"/>
  <c r="S105" i="4"/>
  <c r="H105" i="4"/>
  <c r="L105" i="4"/>
  <c r="P105" i="4"/>
  <c r="T105" i="4"/>
  <c r="I105" i="4"/>
  <c r="M105" i="4"/>
  <c r="Q105" i="4"/>
  <c r="U105" i="4"/>
  <c r="F105" i="4"/>
  <c r="J105" i="4"/>
  <c r="N105" i="4"/>
  <c r="R105" i="4"/>
  <c r="F42" i="4"/>
  <c r="F41" i="4"/>
  <c r="P47" i="4" l="1"/>
  <c r="AD47" i="4"/>
  <c r="S47" i="4"/>
  <c r="AE47" i="4"/>
  <c r="T47" i="4"/>
  <c r="X47" i="4"/>
  <c r="AB47" i="4"/>
  <c r="Q47" i="4"/>
  <c r="U47" i="4"/>
  <c r="Y47" i="4"/>
  <c r="AC47" i="4"/>
  <c r="R47" i="4"/>
  <c r="V47" i="4"/>
  <c r="Z47" i="4"/>
  <c r="W47" i="4"/>
  <c r="AA47" i="4"/>
  <c r="F10" i="4"/>
  <c r="D90" i="4"/>
  <c r="AI12" i="6" l="1"/>
  <c r="F29" i="4" l="1"/>
  <c r="D77" i="4" l="1"/>
  <c r="D124" i="4" l="1"/>
  <c r="AG7" i="6" l="1"/>
  <c r="AG13" i="6" s="1"/>
  <c r="AF7" i="6"/>
  <c r="AF13" i="6" s="1"/>
  <c r="AE7" i="6"/>
  <c r="AE13" i="6" s="1"/>
  <c r="AD7" i="6"/>
  <c r="AD13" i="6" s="1"/>
  <c r="AC7" i="6"/>
  <c r="AC13" i="6" s="1"/>
  <c r="AB7" i="6"/>
  <c r="AB13" i="6" s="1"/>
  <c r="AA7" i="6"/>
  <c r="AA13" i="6" s="1"/>
  <c r="Z7" i="6"/>
  <c r="Z13" i="6" s="1"/>
  <c r="Y7" i="6"/>
  <c r="Y13" i="6" s="1"/>
  <c r="X7" i="6"/>
  <c r="X13" i="6" s="1"/>
  <c r="W7" i="6"/>
  <c r="W13" i="6" s="1"/>
  <c r="V7" i="6"/>
  <c r="V13" i="6" s="1"/>
  <c r="U7" i="6"/>
  <c r="U13" i="6" s="1"/>
  <c r="T7" i="6"/>
  <c r="T13" i="6" s="1"/>
  <c r="S7" i="6"/>
  <c r="S13" i="6" s="1"/>
  <c r="R7" i="6"/>
  <c r="R13" i="6" s="1"/>
  <c r="Q7" i="6"/>
  <c r="Q13" i="6" s="1"/>
  <c r="P7" i="6"/>
  <c r="P13" i="6" s="1"/>
  <c r="O7" i="6"/>
  <c r="O13" i="6" s="1"/>
  <c r="N7" i="6"/>
  <c r="N13" i="6" s="1"/>
  <c r="M7" i="6"/>
  <c r="M13" i="6" s="1"/>
  <c r="L7" i="6"/>
  <c r="L13" i="6" s="1"/>
  <c r="K7" i="6"/>
  <c r="K13" i="6" s="1"/>
  <c r="J7" i="6"/>
  <c r="J13" i="6" s="1"/>
  <c r="I7" i="6"/>
  <c r="I13" i="6" s="1"/>
  <c r="H7" i="6"/>
  <c r="H13" i="6" s="1"/>
  <c r="G7" i="6"/>
  <c r="G13" i="6" s="1"/>
  <c r="F7" i="6"/>
  <c r="F13" i="6" s="1"/>
  <c r="E7" i="6"/>
  <c r="E13" i="6" s="1"/>
  <c r="D7" i="6"/>
  <c r="D13" i="6" s="1"/>
  <c r="C7" i="6"/>
  <c r="C13" i="6" s="1"/>
  <c r="B7" i="6"/>
  <c r="B13" i="6" s="1"/>
  <c r="B9" i="6" l="1"/>
  <c r="F9" i="6"/>
  <c r="J9" i="6"/>
  <c r="N9" i="6"/>
  <c r="R9" i="6"/>
  <c r="V9" i="6"/>
  <c r="Z9" i="6"/>
  <c r="AD9" i="6"/>
  <c r="B11" i="6"/>
  <c r="F11" i="6"/>
  <c r="J11" i="6"/>
  <c r="N11" i="6"/>
  <c r="R11" i="6"/>
  <c r="V11" i="6"/>
  <c r="Z11" i="6"/>
  <c r="AD11" i="6"/>
  <c r="C9" i="6"/>
  <c r="G9" i="6"/>
  <c r="K9" i="6"/>
  <c r="O9" i="6"/>
  <c r="S9" i="6"/>
  <c r="W9" i="6"/>
  <c r="AA9" i="6"/>
  <c r="AE9" i="6"/>
  <c r="C11" i="6"/>
  <c r="G11" i="6"/>
  <c r="K11" i="6"/>
  <c r="O11" i="6"/>
  <c r="S11" i="6"/>
  <c r="W11" i="6"/>
  <c r="AA11" i="6"/>
  <c r="AE11" i="6"/>
  <c r="D9" i="6"/>
  <c r="H9" i="6"/>
  <c r="L9" i="6"/>
  <c r="P9" i="6"/>
  <c r="T9" i="6"/>
  <c r="X9" i="6"/>
  <c r="AB9" i="6"/>
  <c r="AF9" i="6"/>
  <c r="D11" i="6"/>
  <c r="H11" i="6"/>
  <c r="L11" i="6"/>
  <c r="P11" i="6"/>
  <c r="T11" i="6"/>
  <c r="X11" i="6"/>
  <c r="AB11" i="6"/>
  <c r="AF11" i="6"/>
  <c r="E9" i="6"/>
  <c r="I9" i="6"/>
  <c r="M9" i="6"/>
  <c r="Q9" i="6"/>
  <c r="U9" i="6"/>
  <c r="Y9" i="6"/>
  <c r="AC9" i="6"/>
  <c r="AG9" i="6"/>
  <c r="E11" i="6"/>
  <c r="I11" i="6"/>
  <c r="M11" i="6"/>
  <c r="Q11" i="6"/>
  <c r="U11" i="6"/>
  <c r="Y11" i="6"/>
  <c r="AC11" i="6"/>
  <c r="AG11" i="6"/>
  <c r="D144" i="4" l="1"/>
  <c r="D121" i="4"/>
  <c r="D119" i="4"/>
  <c r="D118" i="4"/>
  <c r="D117" i="4"/>
  <c r="D97" i="4"/>
  <c r="D70" i="4"/>
  <c r="D71" i="4"/>
  <c r="D72" i="4"/>
  <c r="D74" i="4"/>
  <c r="C17" i="5" l="1"/>
  <c r="C14" i="5"/>
  <c r="C11" i="5"/>
  <c r="C8" i="5"/>
  <c r="C5" i="5"/>
  <c r="AM10" i="6" l="1"/>
  <c r="F19" i="4" l="1"/>
  <c r="F45" i="4"/>
  <c r="F40" i="4"/>
  <c r="F38" i="4"/>
  <c r="BG5" i="7" s="1"/>
  <c r="D143" i="4"/>
  <c r="D96" i="4"/>
  <c r="F34" i="4"/>
  <c r="D139" i="4"/>
  <c r="D92" i="4"/>
  <c r="D128" i="4"/>
  <c r="D81" i="4"/>
  <c r="D132" i="4"/>
  <c r="D85" i="4"/>
  <c r="D135" i="4"/>
  <c r="D88" i="4"/>
  <c r="D75" i="4"/>
  <c r="D122" i="4"/>
  <c r="D131" i="4"/>
  <c r="D84" i="4"/>
  <c r="D133" i="4"/>
  <c r="D86" i="4"/>
  <c r="D136" i="4"/>
  <c r="D89" i="4"/>
  <c r="F43" i="4"/>
  <c r="D127" i="4"/>
  <c r="D80" i="4"/>
  <c r="D137" i="4"/>
  <c r="F44" i="4"/>
  <c r="D129" i="4"/>
  <c r="D82" i="4"/>
  <c r="D130" i="4"/>
  <c r="D83" i="4"/>
  <c r="D120" i="4"/>
  <c r="D73" i="4"/>
  <c r="F25" i="4" l="1"/>
  <c r="F31" i="4" l="1"/>
  <c r="F27" i="4"/>
  <c r="F28" i="4"/>
  <c r="F22" i="4"/>
  <c r="F26" i="4"/>
  <c r="F24" i="4"/>
  <c r="F23" i="4"/>
  <c r="F16" i="4"/>
  <c r="F14" i="4"/>
  <c r="F13" i="4"/>
  <c r="F12" i="4"/>
  <c r="F17" i="4"/>
  <c r="F11" i="4"/>
  <c r="BJ5" i="7" l="1"/>
  <c r="F18" i="4"/>
  <c r="F8" i="4" l="1"/>
  <c r="AB5" i="7" l="1"/>
  <c r="AB6" i="7" s="1"/>
  <c r="AB7" i="7" s="1"/>
  <c r="AB8" i="7" s="1"/>
  <c r="AB9" i="7" s="1"/>
  <c r="AB10" i="7" s="1"/>
  <c r="AB11" i="7" s="1"/>
  <c r="AB12" i="7" s="1"/>
  <c r="AB13" i="7" s="1"/>
  <c r="G5" i="7"/>
  <c r="A5" i="7"/>
  <c r="G6" i="7" l="1"/>
  <c r="A6" i="7"/>
  <c r="G7" i="7" l="1"/>
  <c r="A7" i="7"/>
  <c r="G8" i="7" l="1"/>
  <c r="A8" i="7"/>
  <c r="G9" i="7" l="1"/>
  <c r="A9" i="7"/>
  <c r="G10" i="7" l="1"/>
  <c r="A10" i="7"/>
  <c r="G11" i="7" l="1"/>
  <c r="A11" i="7"/>
  <c r="G12" i="7" l="1"/>
  <c r="A12" i="7"/>
  <c r="G13" i="7" l="1"/>
  <c r="A13" i="7"/>
  <c r="G34" i="3" l="1"/>
  <c r="G6" i="3"/>
  <c r="H6" i="3" l="1"/>
  <c r="H34" i="3"/>
  <c r="G33" i="2"/>
  <c r="G6" i="2"/>
  <c r="I34" i="3" l="1"/>
  <c r="J34" i="3" s="1"/>
  <c r="I6" i="3"/>
  <c r="J6" i="3" s="1"/>
  <c r="H6" i="2"/>
  <c r="H33" i="2"/>
  <c r="K6" i="3" l="1"/>
  <c r="K34" i="3"/>
  <c r="I33" i="2"/>
  <c r="I6" i="2"/>
  <c r="L34" i="3" l="1"/>
  <c r="L6" i="3"/>
  <c r="J6" i="2"/>
  <c r="J33" i="2"/>
  <c r="M6" i="3" l="1"/>
  <c r="M34" i="3"/>
  <c r="K33" i="2"/>
  <c r="K6" i="2"/>
  <c r="N34" i="3" l="1"/>
  <c r="N6" i="3"/>
  <c r="L6" i="2"/>
  <c r="L33" i="2"/>
  <c r="O6" i="3" l="1"/>
  <c r="O34" i="3"/>
  <c r="M33" i="2"/>
  <c r="M6" i="2"/>
  <c r="P6" i="3" l="1"/>
  <c r="P34" i="3"/>
  <c r="N33" i="2"/>
  <c r="N6" i="2"/>
  <c r="Q6" i="3" l="1"/>
  <c r="Q34" i="3"/>
  <c r="O6" i="2"/>
  <c r="O33" i="2"/>
  <c r="P6" i="2" l="1"/>
  <c r="P33" i="2"/>
  <c r="Q6" i="2" l="1"/>
  <c r="Q33" i="2"/>
  <c r="F32" i="4" l="1"/>
  <c r="F30" i="4" l="1"/>
  <c r="F21" i="4" s="1"/>
  <c r="F15" i="4" l="1"/>
  <c r="BH5" i="7" s="1"/>
  <c r="F9" i="4" l="1"/>
  <c r="AH7" i="6" l="1"/>
  <c r="AH9" i="6" l="1"/>
  <c r="AH13" i="6"/>
  <c r="AH11" i="6"/>
  <c r="AI7" i="6" l="1"/>
  <c r="AI9" i="6" l="1"/>
  <c r="AI13" i="6"/>
  <c r="AI11" i="6"/>
  <c r="F36" i="4" l="1"/>
  <c r="F33" i="4" l="1"/>
  <c r="BI5" i="7"/>
  <c r="F20" i="4"/>
  <c r="AY5" i="7" s="1"/>
  <c r="BA5" i="7" l="1"/>
  <c r="AY4" i="7"/>
  <c r="G51" i="3"/>
  <c r="M51" i="3"/>
  <c r="L51" i="3"/>
  <c r="O51" i="3"/>
  <c r="J51" i="3"/>
  <c r="N51" i="3"/>
  <c r="P51" i="3"/>
  <c r="Q51" i="3"/>
  <c r="F51" i="3"/>
  <c r="I51" i="3"/>
  <c r="H51" i="3"/>
  <c r="K51" i="3"/>
  <c r="F50" i="2"/>
  <c r="BA4" i="7" l="1"/>
  <c r="AX4" i="7"/>
  <c r="AZ4" i="7"/>
  <c r="AJ7" i="6"/>
  <c r="AJ13" i="6" l="1"/>
  <c r="AJ11" i="6"/>
  <c r="AJ9" i="6"/>
  <c r="AK7" i="6" l="1"/>
  <c r="AK13" i="6" l="1"/>
  <c r="AK11" i="6"/>
  <c r="AK9" i="6"/>
  <c r="F39" i="4"/>
  <c r="BE5" i="7" s="1"/>
  <c r="BK5" i="7" l="1"/>
  <c r="BE4" i="7" s="1"/>
  <c r="F37" i="4"/>
  <c r="F47" i="4" s="1"/>
  <c r="BK4" i="7" l="1"/>
  <c r="BJ4" i="7"/>
  <c r="BH4" i="7"/>
  <c r="BF4" i="7"/>
  <c r="BG4" i="7"/>
  <c r="BI4" i="7"/>
  <c r="G37" i="4"/>
  <c r="AM5" i="6" l="1"/>
  <c r="AM7" i="6" s="1"/>
  <c r="AM13" i="6" s="1"/>
  <c r="G18" i="4"/>
  <c r="G9" i="4"/>
  <c r="G20" i="4"/>
  <c r="BK7" i="7"/>
  <c r="BA7" i="7"/>
  <c r="AM9" i="6" l="1"/>
  <c r="AM11" i="6"/>
  <c r="F24" i="3" l="1"/>
  <c r="H24" i="2" l="1"/>
  <c r="H24" i="3"/>
  <c r="J24" i="2"/>
  <c r="J24" i="3"/>
  <c r="N24" i="2"/>
  <c r="N24" i="3"/>
  <c r="K24" i="2"/>
  <c r="K24" i="3"/>
  <c r="O24" i="2"/>
  <c r="O24" i="3"/>
  <c r="Q24" i="2"/>
  <c r="Q24" i="3"/>
  <c r="M24" i="2"/>
  <c r="M24" i="3"/>
  <c r="G24" i="2"/>
  <c r="G24" i="3"/>
  <c r="I24" i="2"/>
  <c r="I24" i="3"/>
  <c r="P24" i="2"/>
  <c r="P24" i="3"/>
  <c r="L24" i="2"/>
  <c r="L24" i="3"/>
  <c r="F24" i="2" l="1"/>
  <c r="D11" i="5" l="1"/>
  <c r="D5" i="5"/>
  <c r="D17" i="5"/>
  <c r="D8"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VF</author>
  </authors>
  <commentList>
    <comment ref="A6" authorId="0" shapeId="0" xr:uid="{00000000-0006-0000-0600-000001000000}">
      <text>
        <r>
          <rPr>
            <sz val="9"/>
            <color indexed="81"/>
            <rFont val="Tahoma"/>
            <family val="2"/>
          </rPr>
          <t>La información sobre DEUDA FLOTANTE se encuentra disponible en la página web del Ministerio de Hacienda - Responsabilidad Fiscal (Anexo 6)</t>
        </r>
      </text>
    </comment>
    <comment ref="A12" authorId="0" shapeId="0" xr:uid="{00000000-0006-0000-0600-000002000000}">
      <text>
        <r>
          <rPr>
            <sz val="9"/>
            <color indexed="81"/>
            <rFont val="Tahoma"/>
            <family val="2"/>
          </rPr>
          <t>La información sobre DEUDA FLOTANTE se encuentra disponible en la página web del Ministerio de Hacienda - Responsabilidad Fiscal (Anexo 6)</t>
        </r>
      </text>
    </comment>
  </commentList>
</comments>
</file>

<file path=xl/sharedStrings.xml><?xml version="1.0" encoding="utf-8"?>
<sst xmlns="http://schemas.openxmlformats.org/spreadsheetml/2006/main" count="974" uniqueCount="243">
  <si>
    <t>Acreedor/Creditor</t>
  </si>
  <si>
    <t>ID</t>
  </si>
  <si>
    <t>Pesos</t>
  </si>
  <si>
    <t>Refinanciación 2019 FFDP</t>
  </si>
  <si>
    <t>FFDPO23</t>
  </si>
  <si>
    <t>ANSES 3% 2019</t>
  </si>
  <si>
    <t>ANSE23</t>
  </si>
  <si>
    <t>FFFIR Ley 8530</t>
  </si>
  <si>
    <t>FFFIRO24</t>
  </si>
  <si>
    <t>FFFIR Ley 8930 - $416 MM</t>
  </si>
  <si>
    <t>FFFIRF26</t>
  </si>
  <si>
    <t>ANSES - Fideicomiso IPV VDF</t>
  </si>
  <si>
    <t>IPVO26</t>
  </si>
  <si>
    <t>FFFIR Ley 8066 Ampliación</t>
  </si>
  <si>
    <t>FFFIRE26</t>
  </si>
  <si>
    <t>Multilateral</t>
  </si>
  <si>
    <t>1.1. B.I.D.</t>
  </si>
  <si>
    <t>2573 BID-PROSAP</t>
  </si>
  <si>
    <t>BIDD36</t>
  </si>
  <si>
    <t>1956 BID-PROSAP</t>
  </si>
  <si>
    <t>BIDA33</t>
  </si>
  <si>
    <t>1640 BID-Programa Mendoza Productiva</t>
  </si>
  <si>
    <t>BIDG25</t>
  </si>
  <si>
    <t>3169-BID-Programa-Mendoza-Tecnológica</t>
  </si>
  <si>
    <t>BIDF40</t>
  </si>
  <si>
    <t>1855 BID - MUNICIPIOS</t>
  </si>
  <si>
    <t>BIDN32</t>
  </si>
  <si>
    <t>3806 BID-PROSAP</t>
  </si>
  <si>
    <t>BIDY42</t>
  </si>
  <si>
    <t>1134 BID - PROMEBA</t>
  </si>
  <si>
    <t>BIDO24</t>
  </si>
  <si>
    <t>1895 BID - PROAS ENOHSA Los Barriales</t>
  </si>
  <si>
    <t>BIDS34</t>
  </si>
  <si>
    <t>1895 BID - PROAS ENOHSA PMG EPAS</t>
  </si>
  <si>
    <t>BIDS23</t>
  </si>
  <si>
    <t>1.2. B.I.R.F.</t>
  </si>
  <si>
    <t>7597 BIRF - PROSAP</t>
  </si>
  <si>
    <t>BIRS38</t>
  </si>
  <si>
    <t>BONO DE INTERESES</t>
  </si>
  <si>
    <t>PMG25</t>
  </si>
  <si>
    <t>TOTAL</t>
  </si>
  <si>
    <t>TOTAL AMORTIZACIONES EN PESOS</t>
  </si>
  <si>
    <t>PERFIL DE AMORTIZACIONES MENSUAL POR TIPO DE MONEDA</t>
  </si>
  <si>
    <t>PERFIL DE INTERESES MENSUAL POR TIPO DE MONEDA</t>
  </si>
  <si>
    <t>Dólar</t>
  </si>
  <si>
    <t>UVA</t>
  </si>
  <si>
    <t>PERFIL DE AMORTIZACIONES ANUAL POR TIPO DE MONEDA</t>
  </si>
  <si>
    <t>PERFIL DE INTERESES ANUAL POR TIPO DE MONEDA</t>
  </si>
  <si>
    <t>Servicios Deuda = Amort. + Int</t>
  </si>
  <si>
    <t>PERFIL SERVICIOS DE LA DEUDA ANUAL POR TIPO DE MONEDA</t>
  </si>
  <si>
    <t>En Millones Especie</t>
  </si>
  <si>
    <t>%</t>
  </si>
  <si>
    <t>TOTAL DEUDA CONSOLIDADA</t>
  </si>
  <si>
    <t>BADLAR (Fin de Período)</t>
  </si>
  <si>
    <t>Tipo de Cambio Nominal ARS / USD (Fin de Período)</t>
  </si>
  <si>
    <t>Cupón / Cupon</t>
  </si>
  <si>
    <t>Fecha inicio / Issue date</t>
  </si>
  <si>
    <t>Garantizado por / Secured by</t>
  </si>
  <si>
    <t>Duración (Meses) / Maturity (Months)</t>
  </si>
  <si>
    <t>Frecuencia / Frequency</t>
  </si>
  <si>
    <t>Fecha vto. / Maturity Date</t>
  </si>
  <si>
    <t>Forma de pago / Payment method</t>
  </si>
  <si>
    <t>1er Trimestre</t>
  </si>
  <si>
    <t>Art. 21 Ley de Responsabilidad Fiscal</t>
  </si>
  <si>
    <t xml:space="preserve">SERVICIOS DEUDA </t>
  </si>
  <si>
    <t>RECURSOS CORRIENTES
(Netos de Copart. a Municipios)</t>
  </si>
  <si>
    <t>SS DEUDA / REC. CTES. "&lt; 15%"</t>
  </si>
  <si>
    <t>COVENANTS BONOS</t>
  </si>
  <si>
    <t>SERVICIOS DEUDA GARANTIZADA CON COPARTICIPACIÓN SIG. 12 MESES
[1]</t>
  </si>
  <si>
    <t>COPARTICIPACIÓN RECIBIDA 3 MESES ANTERIORES x 4
[2]</t>
  </si>
  <si>
    <t>[1] / [2]  "&lt; 50%"</t>
  </si>
  <si>
    <t>INTERESES PAGADOS 12 MESES ANTERIORES A INCURRIR EN DEUDA
[3]</t>
  </si>
  <si>
    <t>RECURSOS PERCIBIDOS 12 MESES ANTERIORES
[4]</t>
  </si>
  <si>
    <t>[3] / [4]  "&lt; 13%"</t>
  </si>
  <si>
    <t>CAPITAL PENDIENTE DE DEUDA NO GARANTIZADA CON COPARTICIP.
[5]</t>
  </si>
  <si>
    <t>RECURSOS PERCIBIDOS 12 MESES ANTERIORES
[6]</t>
  </si>
  <si>
    <t>[5] / [6]  "&lt; 10%"</t>
  </si>
  <si>
    <t>SERVICIOS DEUDA GARANTIZADA CON COPARTICIP. 4 TRIM FISCALES MÁS RECIENTES
[7]</t>
  </si>
  <si>
    <t>COPARTICIPACIÓN RECIBIDA DICHO PERÍODO
[8]</t>
  </si>
  <si>
    <t>[7] / [8]  "&lt; 50%"</t>
  </si>
  <si>
    <t>(1) Deuda Consolidada  ADMINISTRACIÓN CENTRAL</t>
  </si>
  <si>
    <t>(2) Deuda Flotante ADMINISTRACIÓN CENTRAL</t>
  </si>
  <si>
    <t>(1+2)= (3) Deuda TOTAL  ADMINISTRACIÓN CENTRAL</t>
  </si>
  <si>
    <t>(B) TIPO DE CAMBIO COMUNICACIÓN 3500 BCRA  ÚLTIMO DÍA HÁBIL CADA TRIMESTRE</t>
  </si>
  <si>
    <t>(3) / (B) Deuda TOTAL ADMINISTRACIÓN CENTRAL medida en USD</t>
  </si>
  <si>
    <t>(4) Deuda Flotante DESCENTRALIZADAS Y CUENTAS ESPECIALES</t>
  </si>
  <si>
    <t>Deuda TOTAL/PBG</t>
  </si>
  <si>
    <t>En Millones de Especie</t>
  </si>
  <si>
    <t>Vencimiento por Moneda</t>
  </si>
  <si>
    <t>Total Ss</t>
  </si>
  <si>
    <t>Vencimiento por Servicio</t>
  </si>
  <si>
    <t>Capital</t>
  </si>
  <si>
    <t>Interés</t>
  </si>
  <si>
    <t>Gobierno Federal</t>
  </si>
  <si>
    <t>Banco de la Nación Argentina</t>
  </si>
  <si>
    <t>Bancos Nacionales e Internacionales</t>
  </si>
  <si>
    <t>Organismos Multilaterales</t>
  </si>
  <si>
    <t>Tenedores de Bonos</t>
  </si>
  <si>
    <t>Vencimiento por Acreedor</t>
  </si>
  <si>
    <t>Acreedor</t>
  </si>
  <si>
    <t>Saldo Millones Moneda Origen / Outstanding Millons Currency</t>
  </si>
  <si>
    <t>Saldo Millones USD / Outstanding Millons USD</t>
  </si>
  <si>
    <t>DEUDA PÚBLICA EN USD</t>
  </si>
  <si>
    <t>USD</t>
  </si>
  <si>
    <t>Composición por Moneda</t>
  </si>
  <si>
    <t>Millones USD</t>
  </si>
  <si>
    <t>STOCK</t>
  </si>
  <si>
    <t>Composición por Tasa</t>
  </si>
  <si>
    <t>BADLAR</t>
  </si>
  <si>
    <t>LIBOR</t>
  </si>
  <si>
    <t>FIJA $</t>
  </si>
  <si>
    <t>FIJA UVA</t>
  </si>
  <si>
    <t>FIJA USD</t>
  </si>
  <si>
    <t>VARIABLE USD</t>
  </si>
  <si>
    <t>EVOLUCIÓN STOCK DEUDA CONSOLIDADA Y DEUDA FLOTANTE</t>
  </si>
  <si>
    <t>Composición_por_tasa_de_interés</t>
  </si>
  <si>
    <t>Composición_por_moneda</t>
  </si>
  <si>
    <t>Vencimiento_en_pesos</t>
  </si>
  <si>
    <t>Vencimiento_en_USD</t>
  </si>
  <si>
    <t>Vencimientos_en_pesos_por_servicio</t>
  </si>
  <si>
    <t>Vencimientos_en_pesos_por_acreedor</t>
  </si>
  <si>
    <t>Vencimientos_en_USD_por_acreedor</t>
  </si>
  <si>
    <t>Graficos</t>
  </si>
  <si>
    <t>TOTAL AMORTIZACIONES EN USD</t>
  </si>
  <si>
    <t>Programa para la Emergencia Financiera Provincial</t>
  </si>
  <si>
    <t>GOBD23</t>
  </si>
  <si>
    <t>TOTAL INTERESES EN PESOS</t>
  </si>
  <si>
    <t>TOTAL INTERESES EN USD</t>
  </si>
  <si>
    <t>Vencimientos_en_USD_por_servicio</t>
  </si>
  <si>
    <t>Programa para la Emergencia Financiera Provincial II</t>
  </si>
  <si>
    <t>GOBD23 II</t>
  </si>
  <si>
    <t>PMM29</t>
  </si>
  <si>
    <t>BONO MENDOZA 2029</t>
  </si>
  <si>
    <t>4779 BID - RP82</t>
  </si>
  <si>
    <t>BIDN44</t>
  </si>
  <si>
    <r>
      <t xml:space="preserve">Pertenece a la Ley N° 25.917 de Responabilidad Fiscal en su Capítulo V - "Endeudamiento":
Art 21) </t>
    </r>
    <r>
      <rPr>
        <sz val="11"/>
        <color theme="1"/>
        <rFont val="Arial Narrow"/>
        <family val="2"/>
      </rPr>
      <t>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t>
    </r>
  </si>
  <si>
    <t>BONO EMERGENCIA</t>
  </si>
  <si>
    <t>PMY25</t>
  </si>
  <si>
    <t>(1) Se incluye Endeudamiento con el Fondo Fiduciario Federal de Infraestructura Regional (FFFIR) ajustable por el Costo de la Construcción (ICC) con un tope máximo de 17% para 2020 y 2021</t>
  </si>
  <si>
    <r>
      <t xml:space="preserve">DEUDA PÚBLICA EN PESOS </t>
    </r>
    <r>
      <rPr>
        <b/>
        <vertAlign val="superscript"/>
        <sz val="12"/>
        <color theme="0"/>
        <rFont val="Arial Narrow"/>
        <family val="2"/>
      </rPr>
      <t>(1)</t>
    </r>
  </si>
  <si>
    <r>
      <t xml:space="preserve">Moneda / Currency </t>
    </r>
    <r>
      <rPr>
        <b/>
        <vertAlign val="superscript"/>
        <sz val="11"/>
        <color theme="0"/>
        <rFont val="Arial Narrow"/>
        <family val="2"/>
      </rPr>
      <t>(1)</t>
    </r>
  </si>
  <si>
    <t>TGP</t>
  </si>
  <si>
    <r>
      <t xml:space="preserve">BONO MENDOZA 2029 </t>
    </r>
    <r>
      <rPr>
        <vertAlign val="superscript"/>
        <sz val="11"/>
        <rFont val="Arial Narrow"/>
        <family val="2"/>
      </rPr>
      <t>(2)</t>
    </r>
  </si>
  <si>
    <t>BONO MENDOZA 2024 - Inversión en Infraestructura Pública</t>
  </si>
  <si>
    <t>PMD24</t>
  </si>
  <si>
    <t>BONO MENDOZA 2023</t>
  </si>
  <si>
    <t>PMJ23</t>
  </si>
  <si>
    <t>Bono de Conversión ANSES</t>
  </si>
  <si>
    <t>PMM31</t>
  </si>
  <si>
    <r>
      <rPr>
        <vertAlign val="superscript"/>
        <sz val="9"/>
        <color theme="1"/>
        <rFont val="Arial Narrow"/>
        <family val="2"/>
      </rPr>
      <t xml:space="preserve">(2) </t>
    </r>
    <r>
      <rPr>
        <sz val="9"/>
        <color theme="1"/>
        <rFont val="Arial Narrow"/>
        <family val="2"/>
      </rPr>
      <t>Tasa de Interés: desde e incluyendo el 19 de mayo de 2020 hasta y excluyendo el 19 de septiembre de 2021, 2,75%; desde e incluyendo el 19 de septiembre de 2021 hasta y excluyendo el 19 de marzo de 2023, 4,25%; desde e incluyendo el 19 de marzo de 2023 hasta y excluyendo el 19 de marzo de 2029, 5,75%.</t>
    </r>
  </si>
  <si>
    <r>
      <t xml:space="preserve">Pertenece al prospecto del Bono Mendoza 2029 (PMM29)  "Compromisos - Limitación a los Gravámenes":
(e) </t>
    </r>
    <r>
      <rPr>
        <sz val="11"/>
        <color theme="1"/>
        <rFont val="Arial Narrow"/>
        <family val="2"/>
      </rPr>
      <t>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t>
    </r>
  </si>
  <si>
    <r>
      <t xml:space="preserve">Pertenece al prospecto del Bono Mendoza 2029 (PMM29)  "Compromisos - Compromisos de cobertura de interés":                                                                                                                                            </t>
    </r>
    <r>
      <rPr>
        <sz val="11"/>
        <color theme="1"/>
        <rFont val="Arial Narrow"/>
        <family val="2"/>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</si>
  <si>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r>
      <t xml:space="preserve">Pertenece al prospecto del Bono Mendoza 2029 (PMM29)  "Compromisos - Limitación a los Gravámenes":
(h) </t>
    </r>
    <r>
      <rPr>
        <sz val="11"/>
        <color theme="1"/>
        <rFont val="Arial Narrow"/>
        <family val="2"/>
      </rPr>
      <t>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t>
    </r>
  </si>
  <si>
    <r>
      <t xml:space="preserve">"Compromisos - Limitación a los Gravámenes":
(e) </t>
    </r>
    <r>
      <rPr>
        <sz val="11"/>
        <color theme="1"/>
        <rFont val="Arial Narrow"/>
        <family val="2"/>
      </rPr>
      <t>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t>
    </r>
  </si>
  <si>
    <t>Banco Nación-Refinanciación 2022</t>
  </si>
  <si>
    <t>BNAM27</t>
  </si>
  <si>
    <t>Check</t>
  </si>
  <si>
    <t>4312 BID PLAN BELGRANO</t>
  </si>
  <si>
    <t>BIDJ37</t>
  </si>
  <si>
    <t>8867 BIRF - GIRSAR</t>
  </si>
  <si>
    <t>BIRE50</t>
  </si>
  <si>
    <t>Coparticipación Federal de Impuestos</t>
  </si>
  <si>
    <t>Mensual</t>
  </si>
  <si>
    <t>Automático</t>
  </si>
  <si>
    <t>CER + 0,1%</t>
  </si>
  <si>
    <t>10-y Bond/LIBOR 12M (mayor) + 3,70%</t>
  </si>
  <si>
    <t>Otras Transferencias Nacionales</t>
  </si>
  <si>
    <t>Badlar Públicos + 2%</t>
  </si>
  <si>
    <t>Trimestral</t>
  </si>
  <si>
    <t>Semestral</t>
  </si>
  <si>
    <t>BADLAR Bancos Privados + 3%</t>
  </si>
  <si>
    <t xml:space="preserve">Tasa Base Libor 3 M + Margen BID </t>
  </si>
  <si>
    <t>Libor 6M + 1,35%</t>
  </si>
  <si>
    <t>Sin garantía</t>
  </si>
  <si>
    <t>CER + 4,25%</t>
  </si>
  <si>
    <t>BADLAR Bancos Privados + 8,5%</t>
  </si>
  <si>
    <t>BADLAR Bcos Priv</t>
  </si>
  <si>
    <t>BADLAR Bancos Privados + 4%</t>
  </si>
  <si>
    <t>BADLAR Bancos Privados</t>
  </si>
  <si>
    <t>-</t>
  </si>
  <si>
    <t>Títulos de Deuda SVS</t>
  </si>
  <si>
    <t>Títulos de Deuda 2024</t>
  </si>
  <si>
    <t>PMJ25</t>
  </si>
  <si>
    <t>PM2D4</t>
  </si>
  <si>
    <t>BADLAR Bancos Privados + 5,90%</t>
  </si>
  <si>
    <t>BADLAR Bancos Privados + 5,75%</t>
  </si>
  <si>
    <t>8712 BIRF - Proyecto Integral Hábitat y Vivienda</t>
  </si>
  <si>
    <t>BIRF34</t>
  </si>
  <si>
    <t>Promedio        2030-2050</t>
  </si>
  <si>
    <t>TÍTULOS DE DEUDA SVS</t>
  </si>
  <si>
    <t>TÍTULOS DE DEUDA 2024</t>
  </si>
  <si>
    <t>Prom Resto 2030-2050</t>
  </si>
  <si>
    <t>T</t>
  </si>
  <si>
    <t>C</t>
  </si>
  <si>
    <t>Y</t>
  </si>
  <si>
    <t>GF</t>
  </si>
  <si>
    <t>BNA</t>
  </si>
  <si>
    <t>BI</t>
  </si>
  <si>
    <t>BN</t>
  </si>
  <si>
    <t>TB</t>
  </si>
  <si>
    <t>2do Trimestre</t>
  </si>
  <si>
    <t xml:space="preserve"> (A) (IPC Junio 2023) /(IPC Periodo) </t>
  </si>
  <si>
    <r>
      <rPr>
        <vertAlign val="superscript"/>
        <sz val="9"/>
        <color theme="1"/>
        <rFont val="Arial Narrow"/>
        <family val="2"/>
      </rPr>
      <t>(3)</t>
    </r>
    <r>
      <rPr>
        <sz val="9"/>
        <color theme="1"/>
        <rFont val="Arial Narrow"/>
        <family val="2"/>
      </rPr>
      <t xml:space="preserve"> En el marco de la Emisión de los Títulos de Deuda 2023, que se emitieron el día 17 de diciembre de 2021, se suscribieron $387,9197 millones con "Letras de Tesorería Serie I 2021".</t>
    </r>
  </si>
  <si>
    <r>
      <t xml:space="preserve">BONO MENDOZA 2023 </t>
    </r>
    <r>
      <rPr>
        <vertAlign val="superscript"/>
        <sz val="11"/>
        <rFont val="Arial Narrow"/>
        <family val="2"/>
      </rPr>
      <t>(3)</t>
    </r>
  </si>
  <si>
    <r>
      <rPr>
        <vertAlign val="superscript"/>
        <sz val="9"/>
        <color theme="1"/>
        <rFont val="Arial Narrow"/>
        <family val="2"/>
      </rPr>
      <t>(1)</t>
    </r>
    <r>
      <rPr>
        <sz val="9"/>
        <color theme="1"/>
        <rFont val="Arial Narrow"/>
        <family val="2"/>
      </rPr>
      <t xml:space="preserve"> El endeudamiento en pesos incluye endeudamiento con el Fondo Fiduciario Federal de Infraestructura Regional (FFFIR) ajustable por el Costo de la Construcción (ICC) con un tope máximo de 17%.</t>
    </r>
  </si>
  <si>
    <r>
      <t xml:space="preserve">Títulos de Deuda 2024 </t>
    </r>
    <r>
      <rPr>
        <vertAlign val="superscript"/>
        <sz val="11"/>
        <rFont val="Arial Narrow"/>
        <family val="2"/>
      </rPr>
      <t>(4)</t>
    </r>
  </si>
  <si>
    <r>
      <rPr>
        <vertAlign val="superscript"/>
        <sz val="9"/>
        <color theme="1"/>
        <rFont val="Arial Narrow"/>
        <family val="2"/>
      </rPr>
      <t>(4)</t>
    </r>
    <r>
      <rPr>
        <sz val="9"/>
        <color theme="1"/>
        <rFont val="Arial Narrow"/>
        <family val="2"/>
      </rPr>
      <t xml:space="preserve"> La totalidad del stock informado corresponde a la refinanciación del BONO MENDOZA 2023, con fecha el 21/06/2023.</t>
    </r>
  </si>
  <si>
    <r>
      <rPr>
        <vertAlign val="superscript"/>
        <sz val="12"/>
        <color theme="1"/>
        <rFont val="Arial Narrow"/>
        <family val="2"/>
      </rPr>
      <t>(1)</t>
    </r>
    <r>
      <rPr>
        <sz val="12"/>
        <color theme="1"/>
        <rFont val="Arial Narrow"/>
        <family val="2"/>
      </rPr>
      <t xml:space="preserve"> Se incluye Endeudamiento con el Fondo Fiduciario Federal de Infraestructura Regional (FFFIR) ajustable por el Costo de la Construcción (ICC) con un tope máximo de 17%.</t>
    </r>
  </si>
  <si>
    <r>
      <rPr>
        <vertAlign val="superscript"/>
        <sz val="12"/>
        <color theme="1"/>
        <rFont val="Arial Narrow"/>
        <family val="2"/>
      </rPr>
      <t>(2)</t>
    </r>
    <r>
      <rPr>
        <sz val="12"/>
        <color theme="1"/>
        <rFont val="Arial Narrow"/>
        <family val="2"/>
      </rPr>
      <t xml:space="preserve"> En el marco del Programa de Letras de Tesorería 2021, que se licitaron el día 01 de junio de 2021, se suscribieron $2.901,947 millones con bono PMJ21. El saldo remanente del "BONO PESOS 2021 - Clase 1" se canceló en su fecha de vencimiento.</t>
    </r>
  </si>
  <si>
    <t>Fecha</t>
  </si>
  <si>
    <t>IPC INDEC</t>
  </si>
  <si>
    <t>IPC SL</t>
  </si>
  <si>
    <t>VAR SL</t>
  </si>
  <si>
    <t>INDEX</t>
  </si>
  <si>
    <t>IPC</t>
  </si>
  <si>
    <t>(3+4) x (A)= Deuda TOTAL medida en PESOS de Junio de 2023</t>
  </si>
  <si>
    <t>CER (Fin de Período)</t>
  </si>
  <si>
    <r>
      <rPr>
        <vertAlign val="superscript"/>
        <sz val="9"/>
        <color theme="1"/>
        <rFont val="Arial Narrow"/>
        <family val="2"/>
      </rPr>
      <t>(5)</t>
    </r>
    <r>
      <rPr>
        <sz val="9"/>
        <color theme="1"/>
        <rFont val="Arial Narrow"/>
        <family val="2"/>
      </rPr>
      <t xml:space="preserve"> La administración y gestión de los fondos provenientes del Préstamo es realizada por el IPV</t>
    </r>
  </si>
  <si>
    <r>
      <t>8867 BIRF - GIRSAR</t>
    </r>
    <r>
      <rPr>
        <vertAlign val="superscript"/>
        <sz val="11"/>
        <rFont val="Arial Narrow"/>
        <family val="2"/>
      </rPr>
      <t xml:space="preserve"> </t>
    </r>
  </si>
  <si>
    <r>
      <t xml:space="preserve">8712 BIRF - Proyecto Integral Hábitat y Vivienda </t>
    </r>
    <r>
      <rPr>
        <vertAlign val="superscript"/>
        <sz val="11"/>
        <rFont val="Arial Narrow"/>
        <family val="2"/>
      </rPr>
      <t>(5)</t>
    </r>
  </si>
  <si>
    <t>(3) x (A) = Deuda TOTAL ADMINISTRACIÓN CENTRAL medida en PESOS de Junio de 2023</t>
  </si>
  <si>
    <t>En millones de ARS corrientes</t>
  </si>
  <si>
    <t>Deuda</t>
  </si>
  <si>
    <t>PBG</t>
  </si>
  <si>
    <t>Ratio</t>
  </si>
  <si>
    <t>CARACTERÍSTICA DE LOS AVALES Y/O GARANTÍAS OTORGADAS</t>
  </si>
  <si>
    <t>En millones de $</t>
  </si>
  <si>
    <t>Beneficiario</t>
  </si>
  <si>
    <t>Marco Legal</t>
  </si>
  <si>
    <t>Proyecto</t>
  </si>
  <si>
    <t>Programa</t>
  </si>
  <si>
    <t>Monto del Contrato</t>
  </si>
  <si>
    <t>Moneda</t>
  </si>
  <si>
    <t>Garantía de Contraparte</t>
  </si>
  <si>
    <t>Saldo Adeudado</t>
  </si>
  <si>
    <t>Condiciones Financieras</t>
  </si>
  <si>
    <t>Plazo</t>
  </si>
  <si>
    <t>Gracia</t>
  </si>
  <si>
    <t>Tasa</t>
  </si>
  <si>
    <t>Cantidad de Cuotas</t>
  </si>
  <si>
    <t>Periodicidad</t>
  </si>
  <si>
    <t>No hay avales y/o garantías otorgados</t>
  </si>
  <si>
    <t>BIDE37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</si>
</sst>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ARS]\ #,##0.00"/>
    <numFmt numFmtId="165" formatCode="[$USD]\ #,##0.00"/>
    <numFmt numFmtId="166" formatCode="_ * #,##0.00_ ;_ * \-#,##0.00_ ;_ * &quot;-&quot;??_ ;_ @_ "/>
    <numFmt numFmtId="167" formatCode="[$-409]mmm\-yy;@"/>
    <numFmt numFmtId="168" formatCode="0.0%"/>
    <numFmt numFmtId="169" formatCode="0.0000%"/>
    <numFmt numFmtId="170" formatCode="_ * #,##0_ ;_ * \-#,##0_ ;_ * &quot;-&quot;??_ ;_ @_ "/>
    <numFmt numFmtId="171" formatCode="0.000"/>
    <numFmt numFmtId="172" formatCode="#,##0.0"/>
    <numFmt numFmtId="173" formatCode="&quot;$&quot;#,##0.00"/>
    <numFmt numFmtId="174" formatCode="#,##0.0_ ;\-#,##0.0\ "/>
    <numFmt numFmtId="175" formatCode="#,##0.00_ ;\-#,##0.00\ "/>
    <numFmt numFmtId="176" formatCode="0.000%"/>
    <numFmt numFmtId="177" formatCode="_ * #,##0.0_ ;_ * \-#,##0.0_ ;_ * &quot;-&quot;??_ ;_ @_ "/>
    <numFmt numFmtId="178" formatCode="[$USD]\ #,##0.000000"/>
    <numFmt numFmtId="179" formatCode="_ * #,##0.00000000_ ;_ * \-#,##0.00000000_ ;_ * &quot;-&quot;??_ ;_ @_ "/>
    <numFmt numFmtId="180" formatCode="0.0"/>
    <numFmt numFmtId="181" formatCode="#,##0.00_ ;[Red]\-#,##0.00\ "/>
    <numFmt numFmtId="182" formatCode="mmmm\-yy"/>
  </numFmts>
  <fonts count="51" x14ac:knownFonts="1">
    <font>
      <sz val="11"/>
      <color theme="1"/>
      <name val="Calibri"/>
      <family val="2"/>
      <scheme val="minor"/>
    </font>
    <font>
      <sz val="11"/>
      <color theme="1"/>
      <name val="Arial Narrow"/>
      <family val="2"/>
    </font>
    <font>
      <sz val="11"/>
      <color theme="1"/>
      <name val="Calibri"/>
      <family val="2"/>
      <scheme val="minor"/>
    </font>
    <font>
      <sz val="9"/>
      <color indexed="81"/>
      <name val="Tahoma"/>
      <family val="2"/>
    </font>
    <font>
      <sz val="11"/>
      <color theme="1"/>
      <name val="Arial Narrow"/>
      <family val="2"/>
    </font>
    <font>
      <sz val="12"/>
      <color theme="1"/>
      <name val="Arial Narrow"/>
      <family val="2"/>
    </font>
    <font>
      <b/>
      <sz val="12"/>
      <color theme="0"/>
      <name val="Arial Narrow"/>
      <family val="2"/>
    </font>
    <font>
      <sz val="12"/>
      <name val="Arial Narrow"/>
      <family val="2"/>
    </font>
    <font>
      <b/>
      <sz val="11"/>
      <color theme="0"/>
      <name val="Arial Narrow"/>
      <family val="2"/>
    </font>
    <font>
      <b/>
      <sz val="11"/>
      <color theme="1"/>
      <name val="Arial Narrow"/>
      <family val="2"/>
    </font>
    <font>
      <b/>
      <sz val="16"/>
      <color theme="1"/>
      <name val="Arial Narrow"/>
      <family val="2"/>
    </font>
    <font>
      <sz val="13"/>
      <color rgb="FF000099"/>
      <name val="Arial Narrow"/>
      <family val="2"/>
    </font>
    <font>
      <sz val="11"/>
      <name val="Arial Narrow"/>
      <family val="2"/>
    </font>
    <font>
      <b/>
      <sz val="11"/>
      <color theme="0"/>
      <name val="Calibri"/>
      <family val="2"/>
      <scheme val="minor"/>
    </font>
    <font>
      <sz val="11"/>
      <color theme="0"/>
      <name val="Calibri"/>
      <family val="2"/>
      <scheme val="minor"/>
    </font>
    <font>
      <sz val="11"/>
      <color theme="0"/>
      <name val="Arial Narrow"/>
      <family val="2"/>
    </font>
    <font>
      <b/>
      <sz val="11"/>
      <name val="Arial Narrow"/>
      <family val="2"/>
    </font>
    <font>
      <sz val="9"/>
      <color theme="1"/>
      <name val="Arial Narrow"/>
      <family val="2"/>
    </font>
    <font>
      <sz val="10"/>
      <name val="Arial Narrow"/>
      <family val="2"/>
    </font>
    <font>
      <b/>
      <sz val="10"/>
      <color theme="0"/>
      <name val="Arial Narrow"/>
      <family val="2"/>
    </font>
    <font>
      <b/>
      <sz val="10"/>
      <name val="Arial Narrow"/>
      <family val="2"/>
    </font>
    <font>
      <b/>
      <sz val="12"/>
      <color theme="1"/>
      <name val="Arial Narrow"/>
      <family val="2"/>
    </font>
    <font>
      <sz val="10"/>
      <color theme="1"/>
      <name val="Arial Narrow"/>
      <family val="2"/>
    </font>
    <font>
      <sz val="5"/>
      <color theme="0"/>
      <name val="Calibri"/>
      <family val="2"/>
      <scheme val="minor"/>
    </font>
    <font>
      <b/>
      <sz val="11"/>
      <color theme="1"/>
      <name val="Calibri"/>
      <family val="2"/>
      <scheme val="minor"/>
    </font>
    <font>
      <sz val="11"/>
      <color rgb="FF000000"/>
      <name val="Calibri"/>
      <family val="2"/>
      <scheme val="minor"/>
    </font>
    <font>
      <b/>
      <sz val="10"/>
      <color theme="1"/>
      <name val="Arial Narrow"/>
      <family val="2"/>
    </font>
    <font>
      <sz val="11"/>
      <color rgb="FFFF0000"/>
      <name val="Arial Narrow"/>
      <family val="2"/>
    </font>
    <font>
      <vertAlign val="superscript"/>
      <sz val="11"/>
      <name val="Arial Narrow"/>
      <family val="2"/>
    </font>
    <font>
      <b/>
      <vertAlign val="superscript"/>
      <sz val="12"/>
      <color theme="0"/>
      <name val="Arial Narrow"/>
      <family val="2"/>
    </font>
    <font>
      <b/>
      <vertAlign val="superscript"/>
      <sz val="11"/>
      <color theme="0"/>
      <name val="Arial Narrow"/>
      <family val="2"/>
    </font>
    <font>
      <sz val="11"/>
      <color rgb="FFFF0000"/>
      <name val="Calibri"/>
      <family val="2"/>
      <scheme val="minor"/>
    </font>
    <font>
      <sz val="11"/>
      <color rgb="FF000099"/>
      <name val="Calibri"/>
      <family val="2"/>
      <scheme val="minor"/>
    </font>
    <font>
      <b/>
      <sz val="9"/>
      <color rgb="FF000099"/>
      <name val="Arial Narrow"/>
      <family val="2"/>
    </font>
    <font>
      <vertAlign val="superscript"/>
      <sz val="9"/>
      <color theme="1"/>
      <name val="Arial Narrow"/>
      <family val="2"/>
    </font>
    <font>
      <b/>
      <sz val="9"/>
      <color theme="1"/>
      <name val="Arial Narrow"/>
      <family val="2"/>
    </font>
    <font>
      <b/>
      <sz val="11"/>
      <color rgb="FF000099"/>
      <name val="Calibri"/>
      <family val="2"/>
      <scheme val="minor"/>
    </font>
    <font>
      <b/>
      <sz val="11"/>
      <color rgb="FFFF0000"/>
      <name val="Arial Narrow"/>
      <family val="2"/>
    </font>
    <font>
      <sz val="12"/>
      <color theme="0"/>
      <name val="Arial Narrow"/>
      <family val="2"/>
    </font>
    <font>
      <sz val="12"/>
      <color rgb="FF000099"/>
      <name val="Arial Narrow"/>
      <family val="2"/>
    </font>
    <font>
      <sz val="12"/>
      <color theme="1"/>
      <name val="Calibri"/>
      <family val="2"/>
      <scheme val="minor"/>
    </font>
    <font>
      <vertAlign val="superscript"/>
      <sz val="12"/>
      <color theme="1"/>
      <name val="Arial Narrow"/>
      <family val="2"/>
    </font>
    <font>
      <b/>
      <sz val="8"/>
      <color indexed="30"/>
      <name val="Arial"/>
      <family val="2"/>
    </font>
    <font>
      <sz val="11"/>
      <color theme="5"/>
      <name val="Calibri"/>
      <family val="2"/>
      <scheme val="minor"/>
    </font>
    <font>
      <b/>
      <sz val="14"/>
      <color theme="1"/>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305496"/>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22"/>
      </left>
      <right style="thin">
        <color indexed="22"/>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166"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246">
    <xf numFmtId="0" fontId="0" fillId="0" borderId="0" xfId="0"/>
    <xf numFmtId="0" fontId="4" fillId="0" borderId="0" xfId="0" applyFont="1"/>
    <xf numFmtId="164" fontId="5" fillId="0" borderId="0" xfId="0" applyNumberFormat="1" applyFont="1" applyAlignment="1">
      <alignment vertical="center"/>
    </xf>
    <xf numFmtId="0" fontId="4" fillId="0" borderId="0" xfId="0" applyFont="1" applyAlignment="1">
      <alignment vertical="center"/>
    </xf>
    <xf numFmtId="164" fontId="7" fillId="0" borderId="0" xfId="0" applyNumberFormat="1" applyFont="1" applyAlignment="1">
      <alignment vertical="center"/>
    </xf>
    <xf numFmtId="164" fontId="11" fillId="0" borderId="0" xfId="0" applyNumberFormat="1" applyFont="1" applyAlignment="1">
      <alignment vertical="center"/>
    </xf>
    <xf numFmtId="0" fontId="8" fillId="5" borderId="0" xfId="0" applyFont="1" applyFill="1" applyAlignment="1">
      <alignment horizontal="center"/>
    </xf>
    <xf numFmtId="43" fontId="4" fillId="0" borderId="0" xfId="0" applyNumberFormat="1" applyFont="1"/>
    <xf numFmtId="164" fontId="10" fillId="0" borderId="0" xfId="0" applyNumberFormat="1" applyFont="1" applyAlignment="1">
      <alignment horizontal="left" vertical="center"/>
    </xf>
    <xf numFmtId="164" fontId="12" fillId="0" borderId="2" xfId="0" applyNumberFormat="1" applyFont="1" applyBorder="1" applyAlignment="1">
      <alignment vertical="center"/>
    </xf>
    <xf numFmtId="164" fontId="12" fillId="0" borderId="2" xfId="0" applyNumberFormat="1" applyFont="1" applyBorder="1" applyAlignment="1">
      <alignment horizontal="center" vertical="center"/>
    </xf>
    <xf numFmtId="0" fontId="1" fillId="0" borderId="0" xfId="0" applyFont="1" applyAlignment="1">
      <alignment vertical="center"/>
    </xf>
    <xf numFmtId="165" fontId="12" fillId="0" borderId="2" xfId="0" applyNumberFormat="1" applyFont="1" applyBorder="1" applyAlignment="1">
      <alignment horizontal="center" vertical="center"/>
    </xf>
    <xf numFmtId="164" fontId="12" fillId="0" borderId="0" xfId="0" applyNumberFormat="1" applyFont="1" applyAlignment="1">
      <alignment vertical="center"/>
    </xf>
    <xf numFmtId="0" fontId="1" fillId="0" borderId="0" xfId="0" applyFont="1"/>
    <xf numFmtId="166" fontId="5" fillId="0" borderId="2" xfId="1" applyFont="1" applyFill="1" applyBorder="1" applyAlignment="1">
      <alignment vertical="center"/>
    </xf>
    <xf numFmtId="166" fontId="5" fillId="0" borderId="2" xfId="1" applyFont="1" applyFill="1" applyBorder="1" applyAlignment="1">
      <alignment horizontal="center" vertical="center"/>
    </xf>
    <xf numFmtId="166" fontId="1" fillId="0" borderId="2" xfId="1" applyFont="1" applyFill="1" applyBorder="1" applyAlignment="1">
      <alignment vertical="center"/>
    </xf>
    <xf numFmtId="164" fontId="8" fillId="4" borderId="2" xfId="0" applyNumberFormat="1" applyFont="1" applyFill="1" applyBorder="1" applyAlignment="1">
      <alignment vertical="center"/>
    </xf>
    <xf numFmtId="164" fontId="16" fillId="2" borderId="2" xfId="0" applyNumberFormat="1" applyFont="1" applyFill="1" applyBorder="1" applyAlignment="1">
      <alignment vertical="center"/>
    </xf>
    <xf numFmtId="0" fontId="8" fillId="5" borderId="2" xfId="0" applyFont="1" applyFill="1" applyBorder="1" applyAlignment="1">
      <alignment horizontal="center" vertical="center"/>
    </xf>
    <xf numFmtId="164" fontId="12" fillId="3" borderId="0" xfId="0" applyNumberFormat="1" applyFont="1" applyFill="1" applyAlignment="1">
      <alignment vertical="center"/>
    </xf>
    <xf numFmtId="166" fontId="1" fillId="0" borderId="0" xfId="1" applyFont="1" applyBorder="1" applyAlignment="1">
      <alignment horizontal="center"/>
    </xf>
    <xf numFmtId="0" fontId="15" fillId="0" borderId="0" xfId="0" applyFont="1"/>
    <xf numFmtId="0" fontId="14" fillId="0" borderId="0" xfId="0" applyFont="1" applyAlignment="1">
      <alignment horizontal="center" vertical="center"/>
    </xf>
    <xf numFmtId="43" fontId="0" fillId="0" borderId="0" xfId="0" applyNumberFormat="1"/>
    <xf numFmtId="14" fontId="8" fillId="5" borderId="5" xfId="0" applyNumberFormat="1" applyFont="1" applyFill="1" applyBorder="1" applyAlignment="1">
      <alignment horizontal="center" vertical="center"/>
    </xf>
    <xf numFmtId="167" fontId="12" fillId="3" borderId="2" xfId="0"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8" fillId="5" borderId="9" xfId="0" applyFont="1" applyFill="1" applyBorder="1" applyAlignment="1">
      <alignment horizontal="center" vertical="center"/>
    </xf>
    <xf numFmtId="0" fontId="8" fillId="0" borderId="0" xfId="0" applyFont="1" applyAlignment="1">
      <alignment horizontal="center" vertical="center"/>
    </xf>
    <xf numFmtId="164" fontId="8" fillId="0" borderId="0" xfId="0" applyNumberFormat="1" applyFont="1" applyAlignment="1">
      <alignment vertical="center"/>
    </xf>
    <xf numFmtId="164" fontId="16" fillId="0" borderId="0" xfId="0" applyNumberFormat="1" applyFont="1" applyAlignment="1">
      <alignment vertical="center"/>
    </xf>
    <xf numFmtId="164" fontId="8" fillId="0" borderId="0" xfId="0" applyNumberFormat="1" applyFont="1" applyAlignment="1">
      <alignment horizontal="left" vertical="center" wrapText="1"/>
    </xf>
    <xf numFmtId="165" fontId="16" fillId="0" borderId="2" xfId="0" applyNumberFormat="1" applyFont="1" applyBorder="1" applyAlignment="1">
      <alignment horizontal="center" vertical="center"/>
    </xf>
    <xf numFmtId="165" fontId="8" fillId="4" borderId="2"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17" fillId="0" borderId="0" xfId="0" applyFont="1" applyAlignment="1">
      <alignment horizontal="left"/>
    </xf>
    <xf numFmtId="164" fontId="8" fillId="5" borderId="2" xfId="1" applyNumberFormat="1" applyFont="1" applyFill="1" applyBorder="1" applyAlignment="1">
      <alignment vertical="center"/>
    </xf>
    <xf numFmtId="0" fontId="8" fillId="5" borderId="2" xfId="0" applyFont="1" applyFill="1" applyBorder="1" applyAlignment="1">
      <alignment horizontal="center" vertical="center" wrapText="1"/>
    </xf>
    <xf numFmtId="164" fontId="18" fillId="0" borderId="2" xfId="0" applyNumberFormat="1" applyFont="1" applyBorder="1" applyAlignment="1">
      <alignment horizontal="center" vertical="center" wrapText="1"/>
    </xf>
    <xf numFmtId="164" fontId="19" fillId="4" borderId="2" xfId="0" applyNumberFormat="1" applyFont="1" applyFill="1" applyBorder="1" applyAlignment="1">
      <alignment horizontal="center" vertical="center" wrapText="1"/>
    </xf>
    <xf numFmtId="164" fontId="20" fillId="2" borderId="2" xfId="0" applyNumberFormat="1" applyFont="1" applyFill="1" applyBorder="1" applyAlignment="1">
      <alignment horizontal="center" vertical="center" wrapText="1"/>
    </xf>
    <xf numFmtId="10" fontId="18" fillId="0" borderId="2" xfId="2" applyNumberFormat="1" applyFont="1" applyFill="1" applyBorder="1" applyAlignment="1">
      <alignment horizontal="center" vertical="center" wrapText="1"/>
    </xf>
    <xf numFmtId="164" fontId="19" fillId="4" borderId="2" xfId="0" applyNumberFormat="1" applyFont="1" applyFill="1" applyBorder="1" applyAlignment="1">
      <alignment vertical="center" wrapText="1"/>
    </xf>
    <xf numFmtId="164" fontId="20" fillId="2" borderId="2" xfId="0" applyNumberFormat="1" applyFont="1" applyFill="1" applyBorder="1" applyAlignment="1">
      <alignment vertical="center" wrapText="1"/>
    </xf>
    <xf numFmtId="164" fontId="12" fillId="0" borderId="0" xfId="0" applyNumberFormat="1" applyFont="1" applyAlignment="1">
      <alignment horizontal="center" vertical="center"/>
    </xf>
    <xf numFmtId="166" fontId="17" fillId="0" borderId="0" xfId="1" applyFont="1" applyBorder="1" applyAlignment="1">
      <alignment horizontal="left"/>
    </xf>
    <xf numFmtId="166" fontId="1" fillId="0" borderId="0" xfId="1" applyFont="1" applyAlignment="1">
      <alignment vertical="center"/>
    </xf>
    <xf numFmtId="166" fontId="0" fillId="0" borderId="0" xfId="1" applyFont="1"/>
    <xf numFmtId="170" fontId="1" fillId="0" borderId="0" xfId="1" applyNumberFormat="1" applyFont="1" applyAlignment="1">
      <alignment vertical="center"/>
    </xf>
    <xf numFmtId="0" fontId="17" fillId="0" borderId="7" xfId="0" applyFont="1" applyBorder="1"/>
    <xf numFmtId="0" fontId="17" fillId="0" borderId="0" xfId="0" applyFont="1"/>
    <xf numFmtId="0" fontId="19" fillId="5" borderId="2" xfId="0" applyFont="1" applyFill="1" applyBorder="1" applyAlignment="1">
      <alignment horizontal="left" vertical="center" wrapText="1"/>
    </xf>
    <xf numFmtId="0" fontId="22" fillId="0" borderId="0" xfId="0" applyFont="1" applyAlignment="1">
      <alignment wrapText="1"/>
    </xf>
    <xf numFmtId="17" fontId="19" fillId="4" borderId="2" xfId="0" applyNumberFormat="1" applyFont="1" applyFill="1" applyBorder="1" applyAlignment="1">
      <alignment horizontal="center" vertical="center"/>
    </xf>
    <xf numFmtId="4" fontId="22" fillId="0" borderId="2" xfId="0" applyNumberFormat="1" applyFont="1" applyBorder="1" applyAlignment="1">
      <alignment horizontal="center" vertical="center"/>
    </xf>
    <xf numFmtId="4" fontId="22" fillId="6" borderId="2" xfId="0" applyNumberFormat="1" applyFont="1" applyFill="1" applyBorder="1" applyAlignment="1">
      <alignment horizontal="center" vertical="center"/>
    </xf>
    <xf numFmtId="171" fontId="22" fillId="0" borderId="2" xfId="0" applyNumberFormat="1" applyFont="1" applyBorder="1" applyAlignment="1">
      <alignment horizontal="center" vertical="center"/>
    </xf>
    <xf numFmtId="10" fontId="22" fillId="6" borderId="2" xfId="2" applyNumberFormat="1" applyFont="1" applyFill="1" applyBorder="1" applyAlignment="1">
      <alignment horizontal="center" vertical="center"/>
    </xf>
    <xf numFmtId="0" fontId="1" fillId="0" borderId="0" xfId="0" applyFont="1" applyAlignment="1">
      <alignment wrapText="1"/>
    </xf>
    <xf numFmtId="170" fontId="1" fillId="0" borderId="0" xfId="1" applyNumberFormat="1" applyFont="1"/>
    <xf numFmtId="166" fontId="1" fillId="0" borderId="0" xfId="1" applyFont="1" applyAlignment="1">
      <alignment wrapText="1"/>
    </xf>
    <xf numFmtId="0" fontId="1" fillId="0" borderId="0" xfId="0" applyFont="1" applyAlignment="1">
      <alignment horizontal="left"/>
    </xf>
    <xf numFmtId="0" fontId="21" fillId="0" borderId="0" xfId="0" applyFont="1" applyAlignment="1">
      <alignment horizontal="left" vertical="center" wrapText="1"/>
    </xf>
    <xf numFmtId="170" fontId="21" fillId="0" borderId="0" xfId="1" applyNumberFormat="1" applyFont="1" applyAlignment="1">
      <alignment horizontal="left" vertical="center" wrapText="1"/>
    </xf>
    <xf numFmtId="4" fontId="22" fillId="0" borderId="2" xfId="3" applyNumberFormat="1" applyFont="1" applyBorder="1" applyAlignment="1">
      <alignment horizontal="center" vertical="center"/>
    </xf>
    <xf numFmtId="0" fontId="13" fillId="5" borderId="2" xfId="0" applyFont="1" applyFill="1" applyBorder="1" applyAlignment="1">
      <alignment horizontal="center" vertical="center"/>
    </xf>
    <xf numFmtId="0" fontId="13" fillId="5" borderId="2"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4" fontId="0" fillId="0" borderId="0" xfId="0" applyNumberFormat="1" applyAlignment="1">
      <alignment horizontal="center"/>
    </xf>
    <xf numFmtId="9" fontId="0" fillId="0" borderId="0" xfId="2"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23" fillId="0" borderId="0" xfId="0" applyFont="1"/>
    <xf numFmtId="0" fontId="25" fillId="0" borderId="0" xfId="0" applyFont="1" applyAlignment="1">
      <alignment vertical="center"/>
    </xf>
    <xf numFmtId="0" fontId="13" fillId="0" borderId="0" xfId="0" applyFont="1"/>
    <xf numFmtId="173" fontId="17" fillId="0" borderId="0" xfId="0" applyNumberFormat="1" applyFont="1" applyAlignment="1">
      <alignment horizontal="left"/>
    </xf>
    <xf numFmtId="4" fontId="26" fillId="0" borderId="2" xfId="0" applyNumberFormat="1" applyFont="1" applyBorder="1" applyAlignment="1">
      <alignment horizontal="center" vertical="center"/>
    </xf>
    <xf numFmtId="169" fontId="1" fillId="0" borderId="0" xfId="2" applyNumberFormat="1" applyFont="1" applyAlignment="1">
      <alignment vertical="center"/>
    </xf>
    <xf numFmtId="166" fontId="1" fillId="0" borderId="0" xfId="1" applyFont="1"/>
    <xf numFmtId="166" fontId="8" fillId="4" borderId="0" xfId="0" applyNumberFormat="1" applyFont="1" applyFill="1" applyAlignment="1">
      <alignment horizontal="center" vertical="center"/>
    </xf>
    <xf numFmtId="10" fontId="8" fillId="4" borderId="2" xfId="2" applyNumberFormat="1" applyFont="1" applyFill="1" applyBorder="1" applyAlignment="1">
      <alignment horizontal="center" vertical="center"/>
    </xf>
    <xf numFmtId="166" fontId="4" fillId="0" borderId="0" xfId="1" applyFont="1"/>
    <xf numFmtId="171" fontId="9" fillId="0" borderId="2" xfId="0" applyNumberFormat="1" applyFont="1" applyBorder="1" applyAlignment="1">
      <alignment horizontal="center"/>
    </xf>
    <xf numFmtId="176" fontId="9" fillId="0" borderId="2" xfId="2" applyNumberFormat="1" applyFont="1" applyBorder="1" applyAlignment="1">
      <alignment horizontal="center"/>
    </xf>
    <xf numFmtId="0" fontId="27" fillId="0" borderId="0" xfId="0" applyFont="1"/>
    <xf numFmtId="4" fontId="1" fillId="0" borderId="0" xfId="0" applyNumberFormat="1" applyFont="1"/>
    <xf numFmtId="168" fontId="1" fillId="0" borderId="0" xfId="2" applyNumberFormat="1" applyFont="1"/>
    <xf numFmtId="10" fontId="1" fillId="0" borderId="0" xfId="0" applyNumberFormat="1" applyFont="1"/>
    <xf numFmtId="172" fontId="13" fillId="4" borderId="2" xfId="1" applyNumberFormat="1" applyFont="1" applyFill="1" applyBorder="1" applyAlignment="1">
      <alignment horizontal="center" vertical="center"/>
    </xf>
    <xf numFmtId="172" fontId="8" fillId="4" borderId="2" xfId="0" applyNumberFormat="1" applyFont="1" applyFill="1" applyBorder="1" applyAlignment="1">
      <alignment horizontal="center" vertical="center"/>
    </xf>
    <xf numFmtId="172" fontId="1" fillId="0" borderId="2" xfId="1" applyNumberFormat="1" applyFont="1" applyBorder="1" applyAlignment="1">
      <alignment horizontal="center" vertical="center"/>
    </xf>
    <xf numFmtId="172" fontId="12" fillId="0" borderId="2" xfId="0" applyNumberFormat="1" applyFont="1" applyBorder="1" applyAlignment="1">
      <alignment horizontal="center" vertical="center"/>
    </xf>
    <xf numFmtId="172" fontId="9" fillId="2" borderId="2" xfId="1" applyNumberFormat="1" applyFont="1" applyFill="1" applyBorder="1" applyAlignment="1">
      <alignment horizontal="center" vertical="center"/>
    </xf>
    <xf numFmtId="172" fontId="1" fillId="0" borderId="0" xfId="1" applyNumberFormat="1" applyFont="1" applyBorder="1" applyAlignment="1">
      <alignment horizontal="center"/>
    </xf>
    <xf numFmtId="172" fontId="0" fillId="0" borderId="0" xfId="0" applyNumberFormat="1"/>
    <xf numFmtId="172" fontId="16" fillId="2" borderId="2" xfId="0" applyNumberFormat="1" applyFont="1" applyFill="1" applyBorder="1" applyAlignment="1">
      <alignment horizontal="center" vertical="center"/>
    </xf>
    <xf numFmtId="172" fontId="12" fillId="0" borderId="0" xfId="0" applyNumberFormat="1" applyFont="1" applyAlignment="1">
      <alignment horizontal="center" vertical="center"/>
    </xf>
    <xf numFmtId="3" fontId="1" fillId="0" borderId="2" xfId="0" applyNumberFormat="1" applyFont="1" applyBorder="1" applyAlignment="1">
      <alignment horizontal="center" vertical="center" wrapText="1"/>
    </xf>
    <xf numFmtId="168" fontId="9" fillId="0" borderId="2" xfId="2" applyNumberFormat="1" applyFont="1" applyFill="1" applyBorder="1" applyAlignment="1">
      <alignment horizontal="center" vertical="center" wrapText="1"/>
    </xf>
    <xf numFmtId="0" fontId="17" fillId="0" borderId="0" xfId="0" applyFont="1" applyAlignment="1">
      <alignment horizontal="left" vertical="center" wrapText="1"/>
    </xf>
    <xf numFmtId="172" fontId="31" fillId="0" borderId="2" xfId="0" applyNumberFormat="1" applyFont="1" applyBorder="1" applyAlignment="1">
      <alignment horizontal="center" vertical="center"/>
    </xf>
    <xf numFmtId="172" fontId="32" fillId="0" borderId="2" xfId="0" applyNumberFormat="1" applyFont="1" applyBorder="1" applyAlignment="1">
      <alignment horizontal="center" vertical="center"/>
    </xf>
    <xf numFmtId="168" fontId="32" fillId="0" borderId="2" xfId="2" applyNumberFormat="1" applyFont="1" applyBorder="1" applyAlignment="1">
      <alignment horizontal="center" vertical="center"/>
    </xf>
    <xf numFmtId="172" fontId="31" fillId="0" borderId="2" xfId="0" applyNumberFormat="1" applyFont="1" applyBorder="1" applyAlignment="1">
      <alignment horizontal="center"/>
    </xf>
    <xf numFmtId="172" fontId="32" fillId="0" borderId="2" xfId="0" applyNumberFormat="1" applyFont="1" applyBorder="1" applyAlignment="1">
      <alignment horizontal="center"/>
    </xf>
    <xf numFmtId="4" fontId="31" fillId="0" borderId="2" xfId="0" applyNumberFormat="1" applyFont="1" applyBorder="1" applyAlignment="1">
      <alignment horizontal="center"/>
    </xf>
    <xf numFmtId="175" fontId="32" fillId="0" borderId="2" xfId="0" applyNumberFormat="1" applyFont="1" applyBorder="1" applyAlignment="1">
      <alignment horizontal="center"/>
    </xf>
    <xf numFmtId="168" fontId="32" fillId="0" borderId="2" xfId="2" applyNumberFormat="1" applyFont="1" applyBorder="1" applyAlignment="1">
      <alignment horizontal="center"/>
    </xf>
    <xf numFmtId="175" fontId="32" fillId="0" borderId="2" xfId="1" applyNumberFormat="1" applyFont="1" applyBorder="1" applyAlignment="1">
      <alignment horizontal="center"/>
    </xf>
    <xf numFmtId="174" fontId="32" fillId="0" borderId="2" xfId="1" applyNumberFormat="1" applyFont="1" applyBorder="1" applyAlignment="1">
      <alignment horizontal="center"/>
    </xf>
    <xf numFmtId="166" fontId="33" fillId="0" borderId="0" xfId="1" applyFont="1" applyBorder="1" applyAlignment="1">
      <alignment horizontal="left"/>
    </xf>
    <xf numFmtId="0" fontId="33" fillId="0" borderId="0" xfId="0" applyFont="1" applyAlignment="1">
      <alignment horizontal="left"/>
    </xf>
    <xf numFmtId="10" fontId="9" fillId="0" borderId="2" xfId="2" applyNumberFormat="1" applyFont="1" applyFill="1" applyBorder="1" applyAlignment="1">
      <alignment horizontal="center" vertical="center" wrapText="1"/>
    </xf>
    <xf numFmtId="0" fontId="31" fillId="0" borderId="0" xfId="0" applyFont="1" applyAlignment="1">
      <alignment horizontal="center" vertical="center"/>
    </xf>
    <xf numFmtId="166" fontId="35" fillId="0" borderId="7" xfId="1" applyFont="1" applyBorder="1" applyAlignment="1">
      <alignment horizontal="center"/>
    </xf>
    <xf numFmtId="172" fontId="22" fillId="0" borderId="2" xfId="0" applyNumberFormat="1" applyFont="1" applyBorder="1" applyAlignment="1">
      <alignment horizontal="center" vertical="center"/>
    </xf>
    <xf numFmtId="177" fontId="4" fillId="0" borderId="0" xfId="0" applyNumberFormat="1" applyFont="1"/>
    <xf numFmtId="0" fontId="36" fillId="0" borderId="0" xfId="0" applyFont="1"/>
    <xf numFmtId="166" fontId="36" fillId="0" borderId="0" xfId="1" applyFont="1"/>
    <xf numFmtId="166" fontId="9" fillId="0" borderId="0" xfId="1" applyFont="1" applyFill="1" applyBorder="1" applyAlignment="1">
      <alignment horizontal="left" vertical="center" wrapText="1"/>
    </xf>
    <xf numFmtId="164" fontId="37" fillId="0" borderId="0" xfId="0" applyNumberFormat="1" applyFont="1" applyAlignment="1">
      <alignment horizontal="left" vertical="center" wrapText="1"/>
    </xf>
    <xf numFmtId="0" fontId="0" fillId="0" borderId="0" xfId="0" applyAlignment="1">
      <alignment horizontal="center"/>
    </xf>
    <xf numFmtId="172" fontId="31" fillId="0" borderId="0" xfId="0" applyNumberFormat="1" applyFont="1" applyAlignment="1">
      <alignment horizontal="center" vertical="center"/>
    </xf>
    <xf numFmtId="172" fontId="32" fillId="0" borderId="0" xfId="0" applyNumberFormat="1" applyFont="1" applyAlignment="1">
      <alignment horizontal="center" vertical="center"/>
    </xf>
    <xf numFmtId="168" fontId="32" fillId="0" borderId="0" xfId="2" applyNumberFormat="1" applyFont="1" applyBorder="1" applyAlignment="1">
      <alignment horizontal="center" vertical="center"/>
    </xf>
    <xf numFmtId="172" fontId="31" fillId="0" borderId="0" xfId="0" applyNumberFormat="1" applyFont="1" applyAlignment="1">
      <alignment horizontal="center"/>
    </xf>
    <xf numFmtId="172" fontId="32" fillId="0" borderId="0" xfId="0" applyNumberFormat="1" applyFont="1" applyAlignment="1">
      <alignment horizontal="center"/>
    </xf>
    <xf numFmtId="166" fontId="35" fillId="0" borderId="0" xfId="1" applyFont="1" applyBorder="1" applyAlignment="1">
      <alignment horizontal="center"/>
    </xf>
    <xf numFmtId="172" fontId="1" fillId="0" borderId="0" xfId="1" applyNumberFormat="1" applyFont="1" applyFill="1" applyBorder="1" applyAlignment="1">
      <alignment horizontal="center" vertical="center"/>
    </xf>
    <xf numFmtId="172" fontId="9" fillId="0" borderId="0" xfId="1" applyNumberFormat="1" applyFont="1" applyFill="1" applyBorder="1" applyAlignment="1">
      <alignment horizontal="center" vertical="center"/>
    </xf>
    <xf numFmtId="172" fontId="13" fillId="0" borderId="0" xfId="1" applyNumberFormat="1" applyFont="1" applyFill="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wrapText="1"/>
    </xf>
    <xf numFmtId="172" fontId="8" fillId="0" borderId="0" xfId="0" applyNumberFormat="1" applyFont="1" applyAlignment="1">
      <alignment horizontal="center" vertical="center"/>
    </xf>
    <xf numFmtId="4" fontId="0" fillId="0" borderId="0" xfId="0" applyNumberFormat="1"/>
    <xf numFmtId="166" fontId="0" fillId="0" borderId="0" xfId="1" applyFont="1" applyFill="1" applyBorder="1"/>
    <xf numFmtId="172" fontId="16" fillId="0" borderId="0" xfId="0" applyNumberFormat="1" applyFont="1" applyAlignment="1">
      <alignment horizontal="center" vertical="center"/>
    </xf>
    <xf numFmtId="179" fontId="17" fillId="0" borderId="0" xfId="1" applyNumberFormat="1" applyFont="1" applyBorder="1" applyAlignment="1">
      <alignment horizontal="left"/>
    </xf>
    <xf numFmtId="166" fontId="31" fillId="0" borderId="0" xfId="1" applyFont="1" applyAlignment="1">
      <alignment horizontal="center" vertical="center"/>
    </xf>
    <xf numFmtId="166" fontId="0" fillId="0" borderId="0" xfId="1" applyFont="1" applyAlignment="1">
      <alignment horizontal="center"/>
    </xf>
    <xf numFmtId="166" fontId="32" fillId="0" borderId="0" xfId="1" applyFont="1" applyAlignment="1">
      <alignment horizontal="center" vertical="center"/>
    </xf>
    <xf numFmtId="166" fontId="32" fillId="0" borderId="0" xfId="1" applyFont="1" applyBorder="1" applyAlignment="1">
      <alignment horizontal="center" vertical="center"/>
    </xf>
    <xf numFmtId="165" fontId="17" fillId="0" borderId="0" xfId="0" applyNumberFormat="1" applyFont="1" applyAlignment="1">
      <alignment horizontal="left"/>
    </xf>
    <xf numFmtId="172" fontId="23" fillId="0" borderId="0" xfId="0" applyNumberFormat="1" applyFont="1"/>
    <xf numFmtId="168" fontId="0" fillId="0" borderId="0" xfId="2" applyNumberFormat="1" applyFont="1"/>
    <xf numFmtId="177" fontId="0" fillId="0" borderId="0" xfId="1" applyNumberFormat="1" applyFont="1"/>
    <xf numFmtId="0" fontId="38" fillId="0" borderId="0" xfId="0" applyFont="1"/>
    <xf numFmtId="0" fontId="5" fillId="0" borderId="0" xfId="0" applyFont="1"/>
    <xf numFmtId="164" fontId="39" fillId="0" borderId="0" xfId="0" applyNumberFormat="1" applyFont="1" applyAlignment="1">
      <alignment vertical="center"/>
    </xf>
    <xf numFmtId="177" fontId="5" fillId="0" borderId="0" xfId="0" applyNumberFormat="1" applyFont="1"/>
    <xf numFmtId="0" fontId="6" fillId="5" borderId="0" xfId="0" applyFont="1" applyFill="1" applyAlignment="1">
      <alignment horizontal="center"/>
    </xf>
    <xf numFmtId="164" fontId="7" fillId="0" borderId="2" xfId="0" applyNumberFormat="1" applyFont="1" applyBorder="1" applyAlignment="1">
      <alignment vertical="center"/>
    </xf>
    <xf numFmtId="43" fontId="5" fillId="0" borderId="0" xfId="0" applyNumberFormat="1" applyFont="1"/>
    <xf numFmtId="43" fontId="5" fillId="0" borderId="0" xfId="1" applyNumberFormat="1" applyFont="1" applyBorder="1" applyAlignment="1">
      <alignment horizontal="center"/>
    </xf>
    <xf numFmtId="0" fontId="40" fillId="0" borderId="0" xfId="0" applyFont="1"/>
    <xf numFmtId="166" fontId="6" fillId="4" borderId="0" xfId="0" applyNumberFormat="1" applyFont="1" applyFill="1" applyAlignment="1">
      <alignment horizontal="center" vertical="center"/>
    </xf>
    <xf numFmtId="0" fontId="5" fillId="0" borderId="0" xfId="0" applyFont="1" applyAlignment="1">
      <alignment horizontal="left" vertical="center" wrapText="1"/>
    </xf>
    <xf numFmtId="178" fontId="5" fillId="0" borderId="0" xfId="0" applyNumberFormat="1" applyFont="1"/>
    <xf numFmtId="164" fontId="7" fillId="3" borderId="0" xfId="0" applyNumberFormat="1" applyFont="1" applyFill="1" applyAlignment="1">
      <alignment vertical="center"/>
    </xf>
    <xf numFmtId="43" fontId="5" fillId="0" borderId="0" xfId="0" applyNumberFormat="1" applyFont="1" applyAlignment="1">
      <alignment vertical="center"/>
    </xf>
    <xf numFmtId="17" fontId="0" fillId="0" borderId="0" xfId="0" applyNumberFormat="1"/>
    <xf numFmtId="9" fontId="0" fillId="0" borderId="0" xfId="2" applyFont="1"/>
    <xf numFmtId="2" fontId="42" fillId="0" borderId="13" xfId="0" applyNumberFormat="1" applyFont="1" applyBorder="1" applyAlignment="1">
      <alignment horizontal="center"/>
    </xf>
    <xf numFmtId="4" fontId="42" fillId="0" borderId="13" xfId="0" applyNumberFormat="1" applyFont="1" applyBorder="1" applyAlignment="1">
      <alignment horizontal="center"/>
    </xf>
    <xf numFmtId="4" fontId="42" fillId="0" borderId="0" xfId="0" applyNumberFormat="1" applyFont="1" applyAlignment="1">
      <alignment horizontal="center"/>
    </xf>
    <xf numFmtId="2" fontId="0" fillId="0" borderId="0" xfId="0" applyNumberFormat="1"/>
    <xf numFmtId="172" fontId="43" fillId="0" borderId="2" xfId="0" applyNumberFormat="1" applyFont="1" applyBorder="1" applyAlignment="1">
      <alignment horizontal="center" vertical="center"/>
    </xf>
    <xf numFmtId="172" fontId="43" fillId="0" borderId="2" xfId="0" applyNumberFormat="1" applyFont="1" applyBorder="1" applyAlignment="1">
      <alignment horizontal="center"/>
    </xf>
    <xf numFmtId="180" fontId="0" fillId="0" borderId="0" xfId="0" applyNumberFormat="1"/>
    <xf numFmtId="165" fontId="10" fillId="0" borderId="0" xfId="0" applyNumberFormat="1" applyFont="1" applyAlignment="1">
      <alignment horizontal="left" vertical="center"/>
    </xf>
    <xf numFmtId="165" fontId="5" fillId="0" borderId="0" xfId="0" applyNumberFormat="1" applyFont="1" applyAlignment="1">
      <alignment vertical="center"/>
    </xf>
    <xf numFmtId="165" fontId="12" fillId="0" borderId="0" xfId="0" applyNumberFormat="1" applyFont="1" applyAlignment="1">
      <alignment vertical="center"/>
    </xf>
    <xf numFmtId="165" fontId="0" fillId="0" borderId="0" xfId="0" applyNumberFormat="1"/>
    <xf numFmtId="165" fontId="8" fillId="5" borderId="2" xfId="0" applyNumberFormat="1" applyFont="1" applyFill="1" applyBorder="1" applyAlignment="1">
      <alignment horizontal="center" vertical="center"/>
    </xf>
    <xf numFmtId="165" fontId="35" fillId="0" borderId="7" xfId="1" applyNumberFormat="1" applyFont="1" applyBorder="1" applyAlignment="1">
      <alignment horizontal="center"/>
    </xf>
    <xf numFmtId="165" fontId="17" fillId="0" borderId="0" xfId="0" applyNumberFormat="1" applyFont="1"/>
    <xf numFmtId="10" fontId="22" fillId="0" borderId="2" xfId="2" applyNumberFormat="1" applyFont="1" applyBorder="1" applyAlignment="1">
      <alignment horizontal="center" vertical="center"/>
    </xf>
    <xf numFmtId="10" fontId="22" fillId="0" borderId="2" xfId="2" applyNumberFormat="1" applyFont="1" applyFill="1" applyBorder="1" applyAlignment="1">
      <alignment horizontal="center" vertical="center"/>
    </xf>
    <xf numFmtId="164" fontId="10" fillId="0" borderId="0" xfId="0" applyNumberFormat="1" applyFont="1" applyAlignment="1">
      <alignment horizontal="left" vertical="center"/>
    </xf>
    <xf numFmtId="0" fontId="8"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164" fontId="8" fillId="5" borderId="3" xfId="0" applyNumberFormat="1" applyFont="1" applyFill="1" applyBorder="1" applyAlignment="1">
      <alignment horizontal="center" vertical="center" wrapText="1"/>
    </xf>
    <xf numFmtId="164" fontId="8" fillId="5" borderId="5"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165" fontId="8" fillId="5" borderId="1" xfId="0" applyNumberFormat="1" applyFont="1" applyFill="1" applyBorder="1" applyAlignment="1">
      <alignment horizontal="center" vertical="center" wrapText="1"/>
    </xf>
    <xf numFmtId="165" fontId="8" fillId="5" borderId="3" xfId="0" applyNumberFormat="1" applyFont="1" applyFill="1" applyBorder="1" applyAlignment="1">
      <alignment horizontal="center" vertical="center" wrapText="1"/>
    </xf>
    <xf numFmtId="164" fontId="8" fillId="4" borderId="8" xfId="0" applyNumberFormat="1" applyFont="1" applyFill="1" applyBorder="1" applyAlignment="1">
      <alignment horizontal="center" vertical="center" wrapText="1"/>
    </xf>
    <xf numFmtId="164" fontId="8" fillId="4" borderId="6" xfId="0" applyNumberFormat="1" applyFont="1" applyFill="1" applyBorder="1" applyAlignment="1">
      <alignment horizontal="center" vertical="center" wrapText="1"/>
    </xf>
    <xf numFmtId="164" fontId="8" fillId="4" borderId="10" xfId="0" applyNumberFormat="1" applyFont="1" applyFill="1" applyBorder="1" applyAlignment="1">
      <alignment horizontal="center" vertical="center" wrapText="1"/>
    </xf>
    <xf numFmtId="164" fontId="8" fillId="4" borderId="11" xfId="0" applyNumberFormat="1" applyFont="1" applyFill="1" applyBorder="1" applyAlignment="1">
      <alignment horizontal="center" vertical="center" wrapText="1"/>
    </xf>
    <xf numFmtId="164" fontId="8" fillId="4" borderId="0" xfId="0" applyNumberFormat="1" applyFont="1" applyFill="1" applyAlignment="1">
      <alignment horizontal="center" vertical="center" wrapText="1"/>
    </xf>
    <xf numFmtId="164" fontId="8" fillId="4" borderId="12" xfId="0" applyNumberFormat="1" applyFont="1" applyFill="1" applyBorder="1" applyAlignment="1">
      <alignment horizontal="center" vertical="center" wrapText="1"/>
    </xf>
    <xf numFmtId="0" fontId="17" fillId="0" borderId="0" xfId="0" applyFont="1" applyAlignment="1">
      <alignment horizontal="left"/>
    </xf>
    <xf numFmtId="0" fontId="6" fillId="4" borderId="0" xfId="0" applyFont="1" applyFill="1" applyAlignment="1">
      <alignment horizontal="center" vertical="center"/>
    </xf>
    <xf numFmtId="164" fontId="6" fillId="5" borderId="1" xfId="0" applyNumberFormat="1" applyFont="1" applyFill="1" applyBorder="1" applyAlignment="1">
      <alignment horizontal="center" vertical="center"/>
    </xf>
    <xf numFmtId="164" fontId="6" fillId="5" borderId="3"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wrapText="1"/>
    </xf>
    <xf numFmtId="164" fontId="6" fillId="5" borderId="3" xfId="0" applyNumberFormat="1" applyFont="1" applyFill="1" applyBorder="1" applyAlignment="1">
      <alignment horizontal="center" vertical="center" wrapText="1"/>
    </xf>
    <xf numFmtId="0" fontId="5" fillId="0" borderId="0" xfId="0" applyFont="1" applyAlignment="1">
      <alignment horizontal="left" vertical="center" wrapText="1"/>
    </xf>
    <xf numFmtId="164" fontId="21" fillId="0" borderId="0" xfId="0" applyNumberFormat="1" applyFont="1" applyAlignment="1">
      <alignment horizontal="left" vertical="center"/>
    </xf>
    <xf numFmtId="164" fontId="6" fillId="4" borderId="6" xfId="0" applyNumberFormat="1" applyFont="1" applyFill="1" applyBorder="1" applyAlignment="1">
      <alignment horizontal="center" vertical="center"/>
    </xf>
    <xf numFmtId="164" fontId="6" fillId="4" borderId="2" xfId="0" applyNumberFormat="1" applyFont="1" applyFill="1" applyBorder="1" applyAlignment="1">
      <alignment horizontal="center" vertical="center"/>
    </xf>
    <xf numFmtId="0" fontId="8" fillId="4" borderId="0" xfId="0" applyFont="1" applyFill="1" applyAlignment="1">
      <alignment horizontal="center" vertical="center"/>
    </xf>
    <xf numFmtId="0" fontId="17" fillId="0" borderId="0" xfId="0" applyFont="1" applyAlignment="1">
      <alignment horizontal="left" vertical="center" wrapText="1"/>
    </xf>
    <xf numFmtId="164" fontId="8" fillId="5" borderId="1" xfId="0" applyNumberFormat="1" applyFont="1" applyFill="1" applyBorder="1" applyAlignment="1">
      <alignment horizontal="center" vertical="center"/>
    </xf>
    <xf numFmtId="164" fontId="8" fillId="5" borderId="3" xfId="0" applyNumberFormat="1" applyFont="1" applyFill="1" applyBorder="1" applyAlignment="1">
      <alignment horizontal="center" vertical="center"/>
    </xf>
    <xf numFmtId="0" fontId="24" fillId="0" borderId="0" xfId="0" applyFont="1" applyAlignment="1">
      <alignment horizontal="center" vertical="center"/>
    </xf>
    <xf numFmtId="0" fontId="8" fillId="4"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21" fillId="0" borderId="0" xfId="0" applyFont="1" applyAlignment="1">
      <alignment horizontal="left" vertical="center" wrapText="1"/>
    </xf>
    <xf numFmtId="164" fontId="44" fillId="0" borderId="0" xfId="0" applyNumberFormat="1" applyFont="1" applyAlignment="1">
      <alignment horizontal="left" vertical="center"/>
    </xf>
    <xf numFmtId="0" fontId="45" fillId="0" borderId="0" xfId="0" applyFont="1"/>
    <xf numFmtId="0" fontId="46" fillId="7" borderId="14" xfId="0" applyFont="1" applyFill="1" applyBorder="1" applyAlignment="1">
      <alignment horizontal="center" vertical="center"/>
    </xf>
    <xf numFmtId="0" fontId="47" fillId="7" borderId="15" xfId="0" applyFont="1" applyFill="1" applyBorder="1" applyAlignment="1">
      <alignment horizontal="center" vertical="center" wrapText="1"/>
    </xf>
    <xf numFmtId="0" fontId="47" fillId="7" borderId="16" xfId="0" applyFont="1" applyFill="1" applyBorder="1" applyAlignment="1">
      <alignment horizontal="center" vertical="center" wrapText="1"/>
    </xf>
    <xf numFmtId="0" fontId="48" fillId="7" borderId="16" xfId="0" applyFont="1" applyFill="1" applyBorder="1" applyAlignment="1">
      <alignment horizontal="center" vertical="center" wrapText="1"/>
    </xf>
    <xf numFmtId="0" fontId="48" fillId="7" borderId="17" xfId="0" applyFont="1" applyFill="1" applyBorder="1" applyAlignment="1">
      <alignment horizontal="center" vertical="center" wrapText="1"/>
    </xf>
    <xf numFmtId="0" fontId="46" fillId="7" borderId="18" xfId="0" applyFont="1" applyFill="1" applyBorder="1" applyAlignment="1">
      <alignment horizontal="center" vertical="center"/>
    </xf>
    <xf numFmtId="0" fontId="47" fillId="7" borderId="2" xfId="0" applyFont="1" applyFill="1" applyBorder="1" applyAlignment="1">
      <alignment horizontal="center" vertical="center" wrapText="1"/>
    </xf>
    <xf numFmtId="0" fontId="48" fillId="7" borderId="3" xfId="0" applyFont="1" applyFill="1" applyBorder="1" applyAlignment="1">
      <alignment horizontal="center" vertical="center" wrapText="1"/>
    </xf>
    <xf numFmtId="0" fontId="47" fillId="7" borderId="3" xfId="0" applyFont="1" applyFill="1" applyBorder="1" applyAlignment="1">
      <alignment horizontal="center" vertical="center" wrapText="1"/>
    </xf>
    <xf numFmtId="0" fontId="47" fillId="7" borderId="1" xfId="0" applyFont="1" applyFill="1" applyBorder="1" applyAlignment="1">
      <alignment horizontal="center" vertical="center" wrapText="1"/>
    </xf>
    <xf numFmtId="0" fontId="47" fillId="7" borderId="19" xfId="0" applyFont="1" applyFill="1" applyBorder="1" applyAlignment="1">
      <alignment horizontal="center" vertical="center" wrapText="1"/>
    </xf>
    <xf numFmtId="0" fontId="48" fillId="7" borderId="5" xfId="0" applyFont="1" applyFill="1" applyBorder="1" applyAlignment="1">
      <alignment horizontal="center" vertical="center" wrapText="1"/>
    </xf>
    <xf numFmtId="0" fontId="47" fillId="7" borderId="5" xfId="0" applyFont="1" applyFill="1" applyBorder="1" applyAlignment="1">
      <alignment horizontal="center" vertical="center" wrapText="1"/>
    </xf>
    <xf numFmtId="0" fontId="48" fillId="7" borderId="20" xfId="0" applyFont="1" applyFill="1" applyBorder="1" applyAlignment="1">
      <alignment horizontal="center" vertical="center" wrapText="1"/>
    </xf>
    <xf numFmtId="0" fontId="49" fillId="0" borderId="18" xfId="0" applyFont="1" applyBorder="1"/>
    <xf numFmtId="181" fontId="49" fillId="0" borderId="2" xfId="0" applyNumberFormat="1" applyFont="1" applyBorder="1" applyAlignment="1">
      <alignment horizontal="right"/>
    </xf>
    <xf numFmtId="181" fontId="49" fillId="0" borderId="2" xfId="0" applyNumberFormat="1" applyFont="1" applyBorder="1"/>
    <xf numFmtId="0" fontId="50" fillId="0" borderId="2" xfId="0" applyFont="1" applyBorder="1" applyAlignment="1">
      <alignment horizontal="center"/>
    </xf>
    <xf numFmtId="182" fontId="50" fillId="0" borderId="2" xfId="0" applyNumberFormat="1" applyFont="1" applyBorder="1" applyAlignment="1">
      <alignment horizontal="center"/>
    </xf>
    <xf numFmtId="0" fontId="50" fillId="0" borderId="21" xfId="0" applyFont="1" applyBorder="1" applyAlignment="1">
      <alignment horizontal="center"/>
    </xf>
    <xf numFmtId="0" fontId="50" fillId="0" borderId="22" xfId="0" applyFont="1" applyBorder="1"/>
    <xf numFmtId="181" fontId="50" fillId="0" borderId="23" xfId="0" applyNumberFormat="1" applyFont="1" applyBorder="1"/>
    <xf numFmtId="4" fontId="50" fillId="0" borderId="23" xfId="0" applyNumberFormat="1" applyFont="1" applyBorder="1"/>
    <xf numFmtId="0" fontId="50" fillId="0" borderId="23" xfId="0" applyFont="1" applyBorder="1" applyAlignment="1">
      <alignment horizontal="center"/>
    </xf>
    <xf numFmtId="182" fontId="50" fillId="0" borderId="23" xfId="0" applyNumberFormat="1" applyFont="1" applyBorder="1" applyAlignment="1">
      <alignment horizontal="center"/>
    </xf>
    <xf numFmtId="1" fontId="50" fillId="0" borderId="23" xfId="0" applyNumberFormat="1" applyFont="1" applyBorder="1" applyAlignment="1">
      <alignment horizontal="center"/>
    </xf>
    <xf numFmtId="0" fontId="50" fillId="0" borderId="24" xfId="0" applyFont="1" applyBorder="1" applyAlignment="1">
      <alignment horizontal="center"/>
    </xf>
  </cellXfs>
  <cellStyles count="4">
    <cellStyle name="Millares" xfId="1" builtinId="3"/>
    <cellStyle name="Millares 10" xfId="3" xr:uid="{00000000-0005-0000-0000-000001000000}"/>
    <cellStyle name="Normal" xfId="0" builtinId="0"/>
    <cellStyle name="Porcentaje" xfId="2" builtinId="5"/>
  </cellStyles>
  <dxfs count="0"/>
  <tableStyles count="0" defaultTableStyle="TableStyleMedium2" defaultPivotStyle="PivotStyleLight16"/>
  <colors>
    <mruColors>
      <color rgb="FF000099"/>
      <color rgb="FFBC2400"/>
      <color rgb="FF0B1C3A"/>
      <color rgb="FF375818"/>
      <color rgb="FF031434"/>
      <color rgb="FF910050"/>
      <color rgb="FF132C5A"/>
      <color rgb="FF649438"/>
      <color rgb="FF91C300"/>
      <color rgb="FF91C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TASA DE INTERÉS</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7.5886371808701909E-3"/>
          <c:y val="1.004512635379061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ln>
              <a:noFill/>
            </a:ln>
            <a:effectLst>
              <a:outerShdw blurRad="50800" dist="38100" dir="5400000" algn="t" rotWithShape="0">
                <a:prstClr val="black">
                  <a:alpha val="40000"/>
                </a:prstClr>
              </a:outerShdw>
            </a:effectLst>
          </c:spPr>
          <c:explosion val="3"/>
          <c:dPt>
            <c:idx val="0"/>
            <c:bubble3D val="0"/>
            <c:explosion val="0"/>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7-F207-4623-86FE-0AAFEFA05F3F}"/>
              </c:ext>
            </c:extLst>
          </c:dPt>
          <c:dPt>
            <c:idx val="1"/>
            <c:bubble3D val="0"/>
            <c:explosion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F207-4623-86FE-0AAFEFA05F3F}"/>
              </c:ext>
            </c:extLst>
          </c:dPt>
          <c:dPt>
            <c:idx val="2"/>
            <c:bubble3D val="0"/>
            <c:explosion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F207-4623-86FE-0AAFEFA05F3F}"/>
              </c:ext>
            </c:extLst>
          </c:dPt>
          <c:dPt>
            <c:idx val="3"/>
            <c:bubble3D val="0"/>
            <c:explosion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2-F207-4623-86FE-0AAFEFA05F3F}"/>
              </c:ext>
            </c:extLst>
          </c:dPt>
          <c:dPt>
            <c:idx val="4"/>
            <c:bubble3D val="0"/>
            <c:explosion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0-F207-4623-86FE-0AAFEFA05F3F}"/>
              </c:ext>
            </c:extLst>
          </c:dPt>
          <c:dPt>
            <c:idx val="5"/>
            <c:bubble3D val="0"/>
            <c:explosion val="0"/>
            <c:spPr>
              <a:solidFill>
                <a:srgbClr val="FFC000"/>
              </a:soli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A-F207-4623-86FE-0AAFEFA05F3F}"/>
              </c:ext>
            </c:extLst>
          </c:dPt>
          <c:dLbls>
            <c:dLbl>
              <c:idx val="1"/>
              <c:delete val="1"/>
              <c:extLst>
                <c:ext xmlns:c15="http://schemas.microsoft.com/office/drawing/2012/chart" uri="{CE6537A1-D6FC-4f65-9D91-7224C49458BB}"/>
                <c:ext xmlns:c16="http://schemas.microsoft.com/office/drawing/2014/chart" uri="{C3380CC4-5D6E-409C-BE32-E72D297353CC}">
                  <c16:uniqueId val="{00000005-F207-4623-86FE-0AAFEFA05F3F}"/>
                </c:ext>
              </c:extLst>
            </c:dLbl>
            <c:dLbl>
              <c:idx val="2"/>
              <c:layout>
                <c:manualLayout>
                  <c:x val="-9.4674307802948582E-2"/>
                  <c:y val="-0.2155866425992779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07-4623-86FE-0AAFEFA05F3F}"/>
                </c:ext>
              </c:extLst>
            </c:dLbl>
            <c:dLbl>
              <c:idx val="3"/>
              <c:layout>
                <c:manualLayout>
                  <c:x val="0.12390147428982376"/>
                  <c:y val="-0.1191181976200027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207-4623-86FE-0AAFEFA05F3F}"/>
                </c:ext>
              </c:extLst>
            </c:dLbl>
            <c:dLbl>
              <c:idx val="5"/>
              <c:layout>
                <c:manualLayout>
                  <c:x val="1.6896235573293065E-2"/>
                  <c:y val="-1.444840095624989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207-4623-86FE-0AAFEFA05F3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Graf'!$BE$3:$BJ$3</c:f>
              <c:strCache>
                <c:ptCount val="6"/>
                <c:pt idx="0">
                  <c:v>FIJA $</c:v>
                </c:pt>
                <c:pt idx="1">
                  <c:v>FIJA UVA</c:v>
                </c:pt>
                <c:pt idx="2">
                  <c:v>FIJA USD</c:v>
                </c:pt>
                <c:pt idx="3">
                  <c:v>BADLAR</c:v>
                </c:pt>
                <c:pt idx="4">
                  <c:v>LIBOR</c:v>
                </c:pt>
                <c:pt idx="5">
                  <c:v>VARIABLE USD</c:v>
                </c:pt>
              </c:strCache>
            </c:strRef>
          </c:cat>
          <c:val>
            <c:numRef>
              <c:f>'Base Graf'!$BE$4:$BJ$4</c:f>
              <c:numCache>
                <c:formatCode>0.0%</c:formatCode>
                <c:ptCount val="6"/>
                <c:pt idx="0">
                  <c:v>6.4533108458365754E-2</c:v>
                </c:pt>
                <c:pt idx="1">
                  <c:v>0</c:v>
                </c:pt>
                <c:pt idx="2">
                  <c:v>0.56372356601258433</c:v>
                </c:pt>
                <c:pt idx="3">
                  <c:v>0.14222979038548209</c:v>
                </c:pt>
                <c:pt idx="4">
                  <c:v>0.22471583676837745</c:v>
                </c:pt>
                <c:pt idx="5">
                  <c:v>4.7976983751904009E-3</c:v>
                </c:pt>
              </c:numCache>
            </c:numRef>
          </c:val>
          <c:extLst>
            <c:ext xmlns:c16="http://schemas.microsoft.com/office/drawing/2014/chart" uri="{C3380CC4-5D6E-409C-BE32-E72D297353CC}">
              <c16:uniqueId val="{00000000-F207-4623-86FE-0AAFEFA05F3F}"/>
            </c:ext>
          </c:extLst>
        </c:ser>
        <c:dLbls>
          <c:showLegendKey val="0"/>
          <c:showVal val="0"/>
          <c:showCatName val="0"/>
          <c:showSerName val="0"/>
          <c:showPercent val="0"/>
          <c:showBubbleSize val="0"/>
          <c:showLeaderLines val="1"/>
        </c:dLbls>
      </c:pie3DChart>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MONEDA</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 </a:t>
            </a:r>
            <a:endParaRPr lang="es-AR" sz="1200">
              <a:solidFill>
                <a:srgbClr val="000099"/>
              </a:solidFill>
              <a:latin typeface="Arial Narrow" panose="020B0606020202030204" pitchFamily="34" charset="0"/>
            </a:endParaRPr>
          </a:p>
        </c:rich>
      </c:tx>
      <c:layout>
        <c:manualLayout>
          <c:xMode val="edge"/>
          <c:yMode val="edge"/>
          <c:x val="2.3570511715232677E-2"/>
          <c:y val="2.7027027027027029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solidFill>
              <a:srgbClr val="007F90"/>
            </a:solidFill>
            <a:ln>
              <a:noFill/>
            </a:ln>
            <a:effectLst>
              <a:outerShdw blurRad="50800" dist="38100" dir="5400000" algn="t" rotWithShape="0">
                <a:prstClr val="black">
                  <a:alpha val="40000"/>
                </a:prstClr>
              </a:outerShdw>
            </a:effectLst>
          </c:spPr>
          <c:dPt>
            <c:idx val="0"/>
            <c:bubble3D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1-E9C4-4F8D-9C1B-802D74C24EF0}"/>
              </c:ext>
            </c:extLst>
          </c:dPt>
          <c:dPt>
            <c:idx val="1"/>
            <c:bubble3D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E9C4-4F8D-9C1B-802D74C24EF0}"/>
              </c:ext>
            </c:extLst>
          </c:dPt>
          <c:dPt>
            <c:idx val="2"/>
            <c:bubble3D val="0"/>
            <c:spPr>
              <a:gradFill flip="none" rotWithShape="1">
                <a:gsLst>
                  <a:gs pos="0">
                    <a:srgbClr val="007F90">
                      <a:shade val="30000"/>
                      <a:satMod val="115000"/>
                    </a:srgbClr>
                  </a:gs>
                  <a:gs pos="50000">
                    <a:srgbClr val="007F90">
                      <a:shade val="67500"/>
                      <a:satMod val="115000"/>
                    </a:srgbClr>
                  </a:gs>
                  <a:gs pos="100000">
                    <a:srgbClr val="007F9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E9C4-4F8D-9C1B-802D74C24EF0}"/>
              </c:ext>
            </c:extLst>
          </c:dPt>
          <c:dLbls>
            <c:dLbl>
              <c:idx val="0"/>
              <c:layout>
                <c:manualLayout>
                  <c:x val="-0.10506391585760518"/>
                  <c:y val="5.565817622676828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9C4-4F8D-9C1B-802D74C24EF0}"/>
                </c:ext>
              </c:extLst>
            </c:dLbl>
            <c:dLbl>
              <c:idx val="1"/>
              <c:layout>
                <c:manualLayout>
                  <c:x val="0.14530510607695069"/>
                  <c:y val="-0.1807487632036369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C4-4F8D-9C1B-802D74C24EF0}"/>
                </c:ext>
              </c:extLst>
            </c:dLbl>
            <c:dLbl>
              <c:idx val="2"/>
              <c:delete val="1"/>
              <c:extLst>
                <c:ext xmlns:c15="http://schemas.microsoft.com/office/drawing/2012/chart" uri="{CE6537A1-D6FC-4f65-9D91-7224C49458BB}"/>
                <c:ext xmlns:c16="http://schemas.microsoft.com/office/drawing/2014/chart" uri="{C3380CC4-5D6E-409C-BE32-E72D297353CC}">
                  <c16:uniqueId val="{00000005-E9C4-4F8D-9C1B-802D74C24EF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Graf'!$AX$3:$AZ$3</c:f>
              <c:strCache>
                <c:ptCount val="3"/>
                <c:pt idx="0">
                  <c:v>Pesos</c:v>
                </c:pt>
                <c:pt idx="1">
                  <c:v>USD</c:v>
                </c:pt>
                <c:pt idx="2">
                  <c:v>UVA</c:v>
                </c:pt>
              </c:strCache>
            </c:strRef>
          </c:cat>
          <c:val>
            <c:numRef>
              <c:f>'Base Graf'!$AX$4:$AZ$4</c:f>
              <c:numCache>
                <c:formatCode>0.0%</c:formatCode>
                <c:ptCount val="3"/>
                <c:pt idx="0">
                  <c:v>0.21156059721903825</c:v>
                </c:pt>
                <c:pt idx="1">
                  <c:v>0.7884394027809617</c:v>
                </c:pt>
                <c:pt idx="2">
                  <c:v>0</c:v>
                </c:pt>
              </c:numCache>
            </c:numRef>
          </c:val>
          <c:extLst>
            <c:ext xmlns:c16="http://schemas.microsoft.com/office/drawing/2014/chart" uri="{C3380CC4-5D6E-409C-BE32-E72D297353CC}">
              <c16:uniqueId val="{0000000C-E9C4-4F8D-9C1B-802D74C24EF0}"/>
            </c:ext>
          </c:extLst>
        </c:ser>
        <c:dLbls>
          <c:showLegendKey val="0"/>
          <c:showVal val="0"/>
          <c:showCatName val="0"/>
          <c:showSerName val="0"/>
          <c:showPercent val="0"/>
          <c:showBubbleSize val="0"/>
          <c:showLeaderLines val="1"/>
        </c:dLbls>
      </c:pie3DChart>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PESOS</a:t>
            </a:r>
          </a:p>
          <a:p>
            <a:pPr algn="l">
              <a:defRPr/>
            </a:pPr>
            <a:r>
              <a:rPr lang="es-AR" sz="1200" baseline="0">
                <a:solidFill>
                  <a:srgbClr val="000099"/>
                </a:solidFill>
                <a:latin typeface="Arial Narrow" panose="020B0606020202030204" pitchFamily="34" charset="0"/>
              </a:rPr>
              <a:t>Millones de $</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chemeClr val="accent5">
                    <a:lumMod val="50000"/>
                    <a:shade val="30000"/>
                    <a:satMod val="115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'Base Graf'!$A$7:$A$14</c:f>
              <c:strCache>
                <c:ptCount val="8"/>
                <c:pt idx="0">
                  <c:v>2023</c:v>
                </c:pt>
                <c:pt idx="1">
                  <c:v>2024</c:v>
                </c:pt>
                <c:pt idx="2">
                  <c:v>2025</c:v>
                </c:pt>
                <c:pt idx="3">
                  <c:v>2026</c:v>
                </c:pt>
                <c:pt idx="4">
                  <c:v>2027</c:v>
                </c:pt>
                <c:pt idx="5">
                  <c:v>2028</c:v>
                </c:pt>
                <c:pt idx="6">
                  <c:v>2029</c:v>
                </c:pt>
                <c:pt idx="7">
                  <c:v>Prom Resto 2030-2050</c:v>
                </c:pt>
              </c:strCache>
            </c:strRef>
          </c:cat>
          <c:val>
            <c:numRef>
              <c:f>'Base Graf'!$B$7:$B$14</c:f>
              <c:numCache>
                <c:formatCode>#,##0.0</c:formatCode>
                <c:ptCount val="8"/>
                <c:pt idx="0">
                  <c:v>52192.820087943088</c:v>
                </c:pt>
                <c:pt idx="1">
                  <c:v>36792.150941525688</c:v>
                </c:pt>
                <c:pt idx="2">
                  <c:v>15544.154883851626</c:v>
                </c:pt>
                <c:pt idx="3">
                  <c:v>7511.6259401039069</c:v>
                </c:pt>
                <c:pt idx="4">
                  <c:v>3331.5260261021153</c:v>
                </c:pt>
                <c:pt idx="5">
                  <c:v>1070.9681111720199</c:v>
                </c:pt>
                <c:pt idx="6">
                  <c:v>934.84995813278181</c:v>
                </c:pt>
                <c:pt idx="7">
                  <c:v>628.59379914476426</c:v>
                </c:pt>
              </c:numCache>
            </c:numRef>
          </c:val>
          <c:extLst>
            <c:ext xmlns:c16="http://schemas.microsoft.com/office/drawing/2014/chart" uri="{C3380CC4-5D6E-409C-BE32-E72D297353CC}">
              <c16:uniqueId val="{00000000-878D-47D6-B4CE-04C99EEB5BB2}"/>
            </c:ext>
          </c:extLst>
        </c:ser>
        <c:dLbls>
          <c:showLegendKey val="0"/>
          <c:showVal val="0"/>
          <c:showCatName val="0"/>
          <c:showSerName val="0"/>
          <c:showPercent val="0"/>
          <c:showBubbleSize val="0"/>
        </c:dLbls>
        <c:gapWidth val="100"/>
        <c:overlap val="-24"/>
        <c:axId val="1722797840"/>
        <c:axId val="1722790768"/>
      </c:barChart>
      <c:catAx>
        <c:axId val="172279784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722790768"/>
        <c:crosses val="autoZero"/>
        <c:auto val="1"/>
        <c:lblAlgn val="ctr"/>
        <c:lblOffset val="100"/>
        <c:noMultiLvlLbl val="0"/>
      </c:catAx>
      <c:valAx>
        <c:axId val="1722790768"/>
        <c:scaling>
          <c:orientation val="minMax"/>
        </c:scaling>
        <c:delete val="1"/>
        <c:axPos val="l"/>
        <c:numFmt formatCode="#,##0.0" sourceLinked="1"/>
        <c:majorTickMark val="none"/>
        <c:minorTickMark val="none"/>
        <c:tickLblPos val="nextTo"/>
        <c:crossAx val="1722797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DÓLARES</a:t>
            </a:r>
          </a:p>
          <a:p>
            <a:pPr algn="l">
              <a:defRPr/>
            </a:pPr>
            <a:r>
              <a:rPr lang="es-AR" sz="1200" baseline="0">
                <a:solidFill>
                  <a:srgbClr val="000099"/>
                </a:solidFill>
                <a:latin typeface="Arial Narrow" panose="020B0606020202030204" pitchFamily="34" charset="0"/>
              </a:rPr>
              <a:t>Millones de USD</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'Base Graf'!$A$7:$A$14</c:f>
              <c:strCache>
                <c:ptCount val="8"/>
                <c:pt idx="0">
                  <c:v>2023</c:v>
                </c:pt>
                <c:pt idx="1">
                  <c:v>2024</c:v>
                </c:pt>
                <c:pt idx="2">
                  <c:v>2025</c:v>
                </c:pt>
                <c:pt idx="3">
                  <c:v>2026</c:v>
                </c:pt>
                <c:pt idx="4">
                  <c:v>2027</c:v>
                </c:pt>
                <c:pt idx="5">
                  <c:v>2028</c:v>
                </c:pt>
                <c:pt idx="6">
                  <c:v>2029</c:v>
                </c:pt>
                <c:pt idx="7">
                  <c:v>Prom Resto 2030-2050</c:v>
                </c:pt>
              </c:strCache>
            </c:strRef>
          </c:cat>
          <c:val>
            <c:numRef>
              <c:f>'Base Graf'!$C$7:$C$14</c:f>
              <c:numCache>
                <c:formatCode>#,##0.0</c:formatCode>
                <c:ptCount val="8"/>
                <c:pt idx="0">
                  <c:v>131.28465993801512</c:v>
                </c:pt>
                <c:pt idx="1">
                  <c:v>132.07160858877552</c:v>
                </c:pt>
                <c:pt idx="2">
                  <c:v>125.92017001917733</c:v>
                </c:pt>
                <c:pt idx="3">
                  <c:v>113.90871228899141</c:v>
                </c:pt>
                <c:pt idx="4">
                  <c:v>107.28750037885627</c:v>
                </c:pt>
                <c:pt idx="5">
                  <c:v>101.96115141055969</c:v>
                </c:pt>
                <c:pt idx="6">
                  <c:v>57.08091270951239</c:v>
                </c:pt>
                <c:pt idx="7">
                  <c:v>13.688159905634009</c:v>
                </c:pt>
              </c:numCache>
            </c:numRef>
          </c:val>
          <c:extLst>
            <c:ext xmlns:c16="http://schemas.microsoft.com/office/drawing/2014/chart" uri="{C3380CC4-5D6E-409C-BE32-E72D297353CC}">
              <c16:uniqueId val="{00000000-BF89-4AD5-9BE4-C86A2A9F84E7}"/>
            </c:ext>
          </c:extLst>
        </c:ser>
        <c:dLbls>
          <c:showLegendKey val="0"/>
          <c:showVal val="0"/>
          <c:showCatName val="0"/>
          <c:showSerName val="0"/>
          <c:showPercent val="0"/>
          <c:showBubbleSize val="0"/>
        </c:dLbls>
        <c:gapWidth val="100"/>
        <c:overlap val="-24"/>
        <c:axId val="1722786960"/>
        <c:axId val="1722808176"/>
      </c:barChart>
      <c:catAx>
        <c:axId val="17227869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722808176"/>
        <c:crosses val="autoZero"/>
        <c:auto val="1"/>
        <c:lblAlgn val="ctr"/>
        <c:lblOffset val="100"/>
        <c:noMultiLvlLbl val="0"/>
      </c:catAx>
      <c:valAx>
        <c:axId val="1722808176"/>
        <c:scaling>
          <c:orientation val="minMax"/>
        </c:scaling>
        <c:delete val="1"/>
        <c:axPos val="l"/>
        <c:numFmt formatCode="#,##0.0" sourceLinked="1"/>
        <c:majorTickMark val="none"/>
        <c:minorTickMark val="none"/>
        <c:tickLblPos val="nextTo"/>
        <c:crossAx val="1722786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PESOS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9.0404530744336645E-3"/>
          <c:y val="1.5319227169407663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Graf'!$G$7:$G$14</c:f>
              <c:strCache>
                <c:ptCount val="8"/>
                <c:pt idx="0">
                  <c:v>2023</c:v>
                </c:pt>
                <c:pt idx="1">
                  <c:v>2024</c:v>
                </c:pt>
                <c:pt idx="2">
                  <c:v>2025</c:v>
                </c:pt>
                <c:pt idx="3">
                  <c:v>2026</c:v>
                </c:pt>
                <c:pt idx="4">
                  <c:v>2027</c:v>
                </c:pt>
                <c:pt idx="5">
                  <c:v>2028</c:v>
                </c:pt>
                <c:pt idx="6">
                  <c:v>2029</c:v>
                </c:pt>
                <c:pt idx="7">
                  <c:v>Prom Resto 2030-2050</c:v>
                </c:pt>
              </c:strCache>
            </c:strRef>
          </c:cat>
          <c:val>
            <c:numRef>
              <c:f>'Base Graf'!$H$7:$H$14</c:f>
              <c:numCache>
                <c:formatCode>#,##0.0</c:formatCode>
                <c:ptCount val="8"/>
                <c:pt idx="0">
                  <c:v>25325.9891623228</c:v>
                </c:pt>
                <c:pt idx="1">
                  <c:v>15366.192307846766</c:v>
                </c:pt>
                <c:pt idx="2">
                  <c:v>6500.5959403872812</c:v>
                </c:pt>
                <c:pt idx="3">
                  <c:v>5160.5390014874256</c:v>
                </c:pt>
                <c:pt idx="4">
                  <c:v>2607.6846263333332</c:v>
                </c:pt>
                <c:pt idx="5">
                  <c:v>813.10897683333326</c:v>
                </c:pt>
                <c:pt idx="6">
                  <c:v>813.10897683333326</c:v>
                </c:pt>
                <c:pt idx="7">
                  <c:v>609.83173262499997</c:v>
                </c:pt>
              </c:numCache>
            </c:numRef>
          </c:val>
          <c:extLst>
            <c:ext xmlns:c16="http://schemas.microsoft.com/office/drawing/2014/chart" uri="{C3380CC4-5D6E-409C-BE32-E72D297353CC}">
              <c16:uniqueId val="{00000000-EC2A-4692-91BA-595E276D28C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Graf'!$G$7:$G$14</c:f>
              <c:strCache>
                <c:ptCount val="8"/>
                <c:pt idx="0">
                  <c:v>2023</c:v>
                </c:pt>
                <c:pt idx="1">
                  <c:v>2024</c:v>
                </c:pt>
                <c:pt idx="2">
                  <c:v>2025</c:v>
                </c:pt>
                <c:pt idx="3">
                  <c:v>2026</c:v>
                </c:pt>
                <c:pt idx="4">
                  <c:v>2027</c:v>
                </c:pt>
                <c:pt idx="5">
                  <c:v>2028</c:v>
                </c:pt>
                <c:pt idx="6">
                  <c:v>2029</c:v>
                </c:pt>
                <c:pt idx="7">
                  <c:v>Prom Resto 2030-2050</c:v>
                </c:pt>
              </c:strCache>
            </c:strRef>
          </c:cat>
          <c:val>
            <c:numRef>
              <c:f>'Base Graf'!$K$7:$K$14</c:f>
              <c:numCache>
                <c:formatCode>#,##0.0</c:formatCode>
                <c:ptCount val="8"/>
                <c:pt idx="0">
                  <c:v>26866.830925620292</c:v>
                </c:pt>
                <c:pt idx="1">
                  <c:v>21425.958633678914</c:v>
                </c:pt>
                <c:pt idx="2">
                  <c:v>9043.5589434643425</c:v>
                </c:pt>
                <c:pt idx="3">
                  <c:v>2351.0869386164823</c:v>
                </c:pt>
                <c:pt idx="4">
                  <c:v>723.84139976878203</c:v>
                </c:pt>
                <c:pt idx="5">
                  <c:v>257.85913433868666</c:v>
                </c:pt>
                <c:pt idx="6">
                  <c:v>121.74098129944858</c:v>
                </c:pt>
                <c:pt idx="7">
                  <c:v>18.762066519764286</c:v>
                </c:pt>
              </c:numCache>
            </c:numRef>
          </c:val>
          <c:extLst>
            <c:ext xmlns:c16="http://schemas.microsoft.com/office/drawing/2014/chart" uri="{C3380CC4-5D6E-409C-BE32-E72D297353CC}">
              <c16:uniqueId val="{00000001-EC2A-4692-91BA-595E276D28C4}"/>
            </c:ext>
          </c:extLst>
        </c:ser>
        <c:ser>
          <c:idx val="2"/>
          <c:order val="2"/>
          <c:spPr>
            <a:solidFill>
              <a:schemeClr val="accent3"/>
            </a:solidFill>
            <a:ln>
              <a:noFill/>
            </a:ln>
            <a:effectLst/>
          </c:spPr>
          <c:invertIfNegative val="0"/>
          <c:cat>
            <c:strRef>
              <c:f>'Base Graf'!$G$7:$G$14</c:f>
              <c:strCache>
                <c:ptCount val="8"/>
                <c:pt idx="0">
                  <c:v>2023</c:v>
                </c:pt>
                <c:pt idx="1">
                  <c:v>2024</c:v>
                </c:pt>
                <c:pt idx="2">
                  <c:v>2025</c:v>
                </c:pt>
                <c:pt idx="3">
                  <c:v>2026</c:v>
                </c:pt>
                <c:pt idx="4">
                  <c:v>2027</c:v>
                </c:pt>
                <c:pt idx="5">
                  <c:v>2028</c:v>
                </c:pt>
                <c:pt idx="6">
                  <c:v>2029</c:v>
                </c:pt>
                <c:pt idx="7">
                  <c:v>Prom Resto 2030-2050</c:v>
                </c:pt>
              </c:strCache>
            </c:strRef>
          </c:cat>
          <c:val>
            <c:numRef>
              <c:f>'Base Graf'!$Z$7:$Z$14</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EC2A-4692-91BA-595E276D28C4}"/>
            </c:ext>
          </c:extLst>
        </c:ser>
        <c:dLbls>
          <c:showLegendKey val="0"/>
          <c:showVal val="0"/>
          <c:showCatName val="0"/>
          <c:showSerName val="0"/>
          <c:showPercent val="0"/>
          <c:showBubbleSize val="0"/>
        </c:dLbls>
        <c:gapWidth val="50"/>
        <c:overlap val="100"/>
        <c:axId val="1722806000"/>
        <c:axId val="1722791856"/>
      </c:barChart>
      <c:catAx>
        <c:axId val="172280600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22791856"/>
        <c:crosses val="autoZero"/>
        <c:auto val="1"/>
        <c:lblAlgn val="ctr"/>
        <c:lblOffset val="100"/>
        <c:noMultiLvlLbl val="0"/>
      </c:catAx>
      <c:valAx>
        <c:axId val="1722791856"/>
        <c:scaling>
          <c:orientation val="minMax"/>
        </c:scaling>
        <c:delete val="1"/>
        <c:axPos val="l"/>
        <c:numFmt formatCode="#,##0.0" sourceLinked="1"/>
        <c:majorTickMark val="none"/>
        <c:minorTickMark val="none"/>
        <c:tickLblPos val="nextTo"/>
        <c:crossAx val="1722806000"/>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DÓLARES POR TIPO DE SERVICIO</a:t>
            </a:r>
          </a:p>
          <a:p>
            <a:pPr algn="l">
              <a:defRPr/>
            </a:pPr>
            <a:r>
              <a:rPr lang="es-AR" sz="1200">
                <a:solidFill>
                  <a:srgbClr val="000099"/>
                </a:solidFill>
                <a:latin typeface="Arial Narrow" panose="020B0606020202030204" pitchFamily="34" charset="0"/>
              </a:rPr>
              <a:t>Millones de USD.</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7533261417E-2"/>
          <c:y val="0.32924455141061637"/>
          <c:w val="0.93809951881014875"/>
          <c:h val="0.42500367696216074"/>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elete val="1"/>
          </c:dLbls>
          <c:cat>
            <c:strRef>
              <c:f>'Base Graf'!$G$7:$G$14</c:f>
              <c:strCache>
                <c:ptCount val="8"/>
                <c:pt idx="0">
                  <c:v>2023</c:v>
                </c:pt>
                <c:pt idx="1">
                  <c:v>2024</c:v>
                </c:pt>
                <c:pt idx="2">
                  <c:v>2025</c:v>
                </c:pt>
                <c:pt idx="3">
                  <c:v>2026</c:v>
                </c:pt>
                <c:pt idx="4">
                  <c:v>2027</c:v>
                </c:pt>
                <c:pt idx="5">
                  <c:v>2028</c:v>
                </c:pt>
                <c:pt idx="6">
                  <c:v>2029</c:v>
                </c:pt>
                <c:pt idx="7">
                  <c:v>Prom Resto 2030-2050</c:v>
                </c:pt>
              </c:strCache>
            </c:strRef>
          </c:cat>
          <c:val>
            <c:numRef>
              <c:f>'Base Graf'!$I$7:$I$14</c:f>
              <c:numCache>
                <c:formatCode>#,##0.0</c:formatCode>
                <c:ptCount val="8"/>
                <c:pt idx="0">
                  <c:v>96.300062814307921</c:v>
                </c:pt>
                <c:pt idx="1">
                  <c:v>95.954378781915594</c:v>
                </c:pt>
                <c:pt idx="2">
                  <c:v>96.948277626082259</c:v>
                </c:pt>
                <c:pt idx="3">
                  <c:v>92.247530771212638</c:v>
                </c:pt>
                <c:pt idx="4">
                  <c:v>92.247530771212638</c:v>
                </c:pt>
                <c:pt idx="5">
                  <c:v>92.247530771212638</c:v>
                </c:pt>
                <c:pt idx="6">
                  <c:v>52.399761540443414</c:v>
                </c:pt>
                <c:pt idx="7">
                  <c:v>12.028011987307835</c:v>
                </c:pt>
              </c:numCache>
            </c:numRef>
          </c:val>
          <c:extLst>
            <c:ext xmlns:c16="http://schemas.microsoft.com/office/drawing/2014/chart" uri="{C3380CC4-5D6E-409C-BE32-E72D297353CC}">
              <c16:uniqueId val="{00000007-F070-4C4C-A8F3-25B5D6BC95A0}"/>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elete val="1"/>
          </c:dLbls>
          <c:cat>
            <c:strRef>
              <c:f>'Base Graf'!$G$7:$G$14</c:f>
              <c:strCache>
                <c:ptCount val="8"/>
                <c:pt idx="0">
                  <c:v>2023</c:v>
                </c:pt>
                <c:pt idx="1">
                  <c:v>2024</c:v>
                </c:pt>
                <c:pt idx="2">
                  <c:v>2025</c:v>
                </c:pt>
                <c:pt idx="3">
                  <c:v>2026</c:v>
                </c:pt>
                <c:pt idx="4">
                  <c:v>2027</c:v>
                </c:pt>
                <c:pt idx="5">
                  <c:v>2028</c:v>
                </c:pt>
                <c:pt idx="6">
                  <c:v>2029</c:v>
                </c:pt>
                <c:pt idx="7">
                  <c:v>Prom Resto 2030-2050</c:v>
                </c:pt>
              </c:strCache>
            </c:strRef>
          </c:cat>
          <c:val>
            <c:numRef>
              <c:f>'Base Graf'!$L$7:$L$14</c:f>
              <c:numCache>
                <c:formatCode>#,##0.0</c:formatCode>
                <c:ptCount val="8"/>
                <c:pt idx="0">
                  <c:v>34.984597123707211</c:v>
                </c:pt>
                <c:pt idx="1">
                  <c:v>36.11722980685991</c:v>
                </c:pt>
                <c:pt idx="2">
                  <c:v>28.971892393095075</c:v>
                </c:pt>
                <c:pt idx="3">
                  <c:v>21.661181517778761</c:v>
                </c:pt>
                <c:pt idx="4">
                  <c:v>15.039969607643622</c:v>
                </c:pt>
                <c:pt idx="5">
                  <c:v>9.7136206393470523</c:v>
                </c:pt>
                <c:pt idx="6">
                  <c:v>4.6811511690689747</c:v>
                </c:pt>
                <c:pt idx="7">
                  <c:v>1.6601479183261743</c:v>
                </c:pt>
              </c:numCache>
            </c:numRef>
          </c:val>
          <c:extLst>
            <c:ext xmlns:c16="http://schemas.microsoft.com/office/drawing/2014/chart" uri="{C3380CC4-5D6E-409C-BE32-E72D297353CC}">
              <c16:uniqueId val="{0000000F-F070-4C4C-A8F3-25B5D6BC95A0}"/>
            </c:ext>
          </c:extLst>
        </c:ser>
        <c:ser>
          <c:idx val="2"/>
          <c:order val="2"/>
          <c:spPr>
            <a:solidFill>
              <a:schemeClr val="accent3"/>
            </a:solidFill>
            <a:ln>
              <a:noFill/>
            </a:ln>
            <a:effectLst/>
          </c:spPr>
          <c:invertIfNegative val="0"/>
          <c:dLbls>
            <c:delete val="1"/>
          </c:dLbls>
          <c:cat>
            <c:strRef>
              <c:f>'Base Graf'!$G$7:$G$14</c:f>
              <c:strCache>
                <c:ptCount val="8"/>
                <c:pt idx="0">
                  <c:v>2023</c:v>
                </c:pt>
                <c:pt idx="1">
                  <c:v>2024</c:v>
                </c:pt>
                <c:pt idx="2">
                  <c:v>2025</c:v>
                </c:pt>
                <c:pt idx="3">
                  <c:v>2026</c:v>
                </c:pt>
                <c:pt idx="4">
                  <c:v>2027</c:v>
                </c:pt>
                <c:pt idx="5">
                  <c:v>2028</c:v>
                </c:pt>
                <c:pt idx="6">
                  <c:v>2029</c:v>
                </c:pt>
                <c:pt idx="7">
                  <c:v>Prom Resto 2030-2050</c:v>
                </c:pt>
              </c:strCache>
            </c:strRef>
          </c:cat>
          <c:val>
            <c:numRef>
              <c:f>'Base Graf'!$Z$7:$Z$14</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7-F070-4C4C-A8F3-25B5D6BC95A0}"/>
            </c:ext>
          </c:extLst>
        </c:ser>
        <c:dLbls>
          <c:dLblPos val="ctr"/>
          <c:showLegendKey val="0"/>
          <c:showVal val="1"/>
          <c:showCatName val="0"/>
          <c:showSerName val="0"/>
          <c:showPercent val="0"/>
          <c:showBubbleSize val="0"/>
        </c:dLbls>
        <c:gapWidth val="50"/>
        <c:overlap val="100"/>
        <c:axId val="1722794576"/>
        <c:axId val="1722792400"/>
      </c:barChart>
      <c:catAx>
        <c:axId val="172279457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22792400"/>
        <c:crosses val="autoZero"/>
        <c:auto val="1"/>
        <c:lblAlgn val="ctr"/>
        <c:lblOffset val="100"/>
        <c:noMultiLvlLbl val="0"/>
      </c:catAx>
      <c:valAx>
        <c:axId val="1722792400"/>
        <c:scaling>
          <c:orientation val="minMax"/>
        </c:scaling>
        <c:delete val="1"/>
        <c:axPos val="l"/>
        <c:numFmt formatCode="#,##0.0" sourceLinked="1"/>
        <c:majorTickMark val="none"/>
        <c:minorTickMark val="none"/>
        <c:tickLblPos val="nextTo"/>
        <c:crossAx val="1722794576"/>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PESOS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3875284128894237"/>
        </c:manualLayout>
      </c:layout>
      <c:barChart>
        <c:barDir val="col"/>
        <c:grouping val="stacked"/>
        <c:varyColors val="0"/>
        <c:ser>
          <c:idx val="0"/>
          <c:order val="0"/>
          <c:tx>
            <c:strRef>
              <c:f>'Base Graf'!$AC$2</c:f>
              <c:strCache>
                <c:ptCount val="1"/>
                <c:pt idx="0">
                  <c:v>Gobierno Federal</c:v>
                </c:pt>
              </c:strCache>
            </c:strRef>
          </c:tx>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2030-2050</c:v>
                </c:pt>
              </c:strCache>
            </c:strRef>
          </c:cat>
          <c:val>
            <c:numRef>
              <c:f>'Base Graf'!$AC$7:$AC$14</c:f>
              <c:numCache>
                <c:formatCode>#,##0.0</c:formatCode>
                <c:ptCount val="8"/>
                <c:pt idx="0">
                  <c:v>13661.312733109948</c:v>
                </c:pt>
                <c:pt idx="1">
                  <c:v>681.26974589167776</c:v>
                </c:pt>
                <c:pt idx="2">
                  <c:v>186.6352642536049</c:v>
                </c:pt>
                <c:pt idx="3">
                  <c:v>43.780216864027345</c:v>
                </c:pt>
                <c:pt idx="4">
                  <c:v>0</c:v>
                </c:pt>
                <c:pt idx="5">
                  <c:v>0</c:v>
                </c:pt>
                <c:pt idx="6">
                  <c:v>0</c:v>
                </c:pt>
                <c:pt idx="7">
                  <c:v>0</c:v>
                </c:pt>
              </c:numCache>
            </c:numRef>
          </c:val>
          <c:extLst>
            <c:ext xmlns:c16="http://schemas.microsoft.com/office/drawing/2014/chart" uri="{C3380CC4-5D6E-409C-BE32-E72D297353CC}">
              <c16:uniqueId val="{00000000-5505-4797-A7FA-4210E1348C1E}"/>
            </c:ext>
          </c:extLst>
        </c:ser>
        <c:ser>
          <c:idx val="1"/>
          <c:order val="1"/>
          <c:tx>
            <c:strRef>
              <c:f>'Base Graf'!$AO$2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2030-2050</c:v>
                </c:pt>
              </c:strCache>
            </c:strRef>
          </c:cat>
          <c:val>
            <c:numRef>
              <c:f>'Base Graf'!$AO$7:$AO$14</c:f>
              <c:numCache>
                <c:formatCode>#,##0.0</c:formatCode>
                <c:ptCount val="8"/>
                <c:pt idx="0">
                  <c:v>19866.754828141668</c:v>
                </c:pt>
                <c:pt idx="1">
                  <c:v>19673.018677773955</c:v>
                </c:pt>
                <c:pt idx="2">
                  <c:v>5362.5722118918166</c:v>
                </c:pt>
                <c:pt idx="3">
                  <c:v>1863.6362541218482</c:v>
                </c:pt>
                <c:pt idx="4">
                  <c:v>1428.0120347555194</c:v>
                </c:pt>
                <c:pt idx="5">
                  <c:v>1070.9681111720199</c:v>
                </c:pt>
                <c:pt idx="6">
                  <c:v>934.84995813278181</c:v>
                </c:pt>
                <c:pt idx="7">
                  <c:v>628.59379914476426</c:v>
                </c:pt>
              </c:numCache>
            </c:numRef>
          </c:val>
          <c:extLst>
            <c:ext xmlns:c16="http://schemas.microsoft.com/office/drawing/2014/chart" uri="{C3380CC4-5D6E-409C-BE32-E72D297353CC}">
              <c16:uniqueId val="{00000001-5505-4797-A7FA-4210E1348C1E}"/>
            </c:ext>
          </c:extLst>
        </c:ser>
        <c:ser>
          <c:idx val="3"/>
          <c:order val="2"/>
          <c:tx>
            <c:strRef>
              <c:f>'Base Graf'!$AF$2</c:f>
              <c:strCache>
                <c:ptCount val="1"/>
                <c:pt idx="0">
                  <c:v>Banco de la Nación Argentina</c:v>
                </c:pt>
              </c:strCache>
            </c:strRef>
          </c:tx>
          <c:spPr>
            <a:solidFill>
              <a:schemeClr val="accent4"/>
            </a:solidFill>
            <a:ln>
              <a:noFill/>
            </a:ln>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2030-2050</c:v>
                </c:pt>
              </c:strCache>
            </c:strRef>
          </c:cat>
          <c:val>
            <c:numRef>
              <c:f>'Base Graf'!$AF$7:$AF$14</c:f>
              <c:numCache>
                <c:formatCode>#,##0.0</c:formatCode>
                <c:ptCount val="8"/>
                <c:pt idx="0">
                  <c:v>18664.752526691474</c:v>
                </c:pt>
                <c:pt idx="1">
                  <c:v>16437.862517860049</c:v>
                </c:pt>
                <c:pt idx="2">
                  <c:v>9994.9474077062041</c:v>
                </c:pt>
                <c:pt idx="3">
                  <c:v>5604.2094691180318</c:v>
                </c:pt>
                <c:pt idx="4">
                  <c:v>1903.513991346596</c:v>
                </c:pt>
                <c:pt idx="5">
                  <c:v>0</c:v>
                </c:pt>
                <c:pt idx="6">
                  <c:v>0</c:v>
                </c:pt>
                <c:pt idx="7">
                  <c:v>0</c:v>
                </c:pt>
              </c:numCache>
            </c:numRef>
          </c:val>
          <c:extLst>
            <c:ext xmlns:c16="http://schemas.microsoft.com/office/drawing/2014/chart" uri="{C3380CC4-5D6E-409C-BE32-E72D297353CC}">
              <c16:uniqueId val="{00000004-E4F1-45B2-9D23-8998C5758ED0}"/>
            </c:ext>
          </c:extLst>
        </c:ser>
        <c:ser>
          <c:idx val="2"/>
          <c:order val="3"/>
          <c:spPr>
            <a:solidFill>
              <a:schemeClr val="accent3"/>
            </a:solidFill>
            <a:ln>
              <a:noFill/>
            </a:ln>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2030-2050</c:v>
                </c:pt>
              </c:strCache>
            </c:strRef>
          </c:cat>
          <c:val>
            <c:numRef>
              <c:f>'Base Graf'!$Z$6:$Z$14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5505-4797-A7FA-4210E1348C1E}"/>
            </c:ext>
          </c:extLst>
        </c:ser>
        <c:dLbls>
          <c:showLegendKey val="0"/>
          <c:showVal val="0"/>
          <c:showCatName val="0"/>
          <c:showSerName val="0"/>
          <c:showPercent val="0"/>
          <c:showBubbleSize val="0"/>
        </c:dLbls>
        <c:gapWidth val="50"/>
        <c:overlap val="100"/>
        <c:axId val="1722796208"/>
        <c:axId val="1722778256"/>
      </c:barChart>
      <c:catAx>
        <c:axId val="172279620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722778256"/>
        <c:crosses val="autoZero"/>
        <c:auto val="1"/>
        <c:lblAlgn val="ctr"/>
        <c:lblOffset val="100"/>
        <c:noMultiLvlLbl val="0"/>
      </c:catAx>
      <c:valAx>
        <c:axId val="1722778256"/>
        <c:scaling>
          <c:orientation val="minMax"/>
          <c:max val="48000"/>
          <c:min val="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722796208"/>
        <c:crosses val="autoZero"/>
        <c:crossBetween val="between"/>
        <c:majorUnit val="8000"/>
      </c:valAx>
      <c:spPr>
        <a:noFill/>
        <a:ln>
          <a:noFill/>
        </a:ln>
        <a:effectLst/>
      </c:spPr>
    </c:plotArea>
    <c:legend>
      <c:legendPos val="b"/>
      <c:legendEntry>
        <c:idx val="3"/>
        <c:delete val="1"/>
      </c:legendEntry>
      <c:layout>
        <c:manualLayout>
          <c:xMode val="edge"/>
          <c:yMode val="edge"/>
          <c:x val="2.8705861201006832E-2"/>
          <c:y val="0.89721587110576284"/>
          <c:w val="0.76448669543329739"/>
          <c:h val="7.306758924989971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DÓLARES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USD</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0421246155903192"/>
          <c:w val="0.88282793959007555"/>
          <c:h val="0.46846938093327983"/>
        </c:manualLayout>
      </c:layout>
      <c:barChart>
        <c:barDir val="col"/>
        <c:grouping val="stacked"/>
        <c:varyColors val="0"/>
        <c:ser>
          <c:idx val="0"/>
          <c:order val="0"/>
          <c:tx>
            <c:strRef>
              <c:f>'Base Graf'!$AP$2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2030-2050</c:v>
                </c:pt>
              </c:strCache>
            </c:strRef>
          </c:cat>
          <c:val>
            <c:numRef>
              <c:f>'Base Graf'!$AP$7:$AP$14</c:f>
              <c:numCache>
                <c:formatCode>#,##0.0</c:formatCode>
                <c:ptCount val="8"/>
                <c:pt idx="0">
                  <c:v>104.52901269230772</c:v>
                </c:pt>
                <c:pt idx="1">
                  <c:v>103.75362913461539</c:v>
                </c:pt>
                <c:pt idx="2">
                  <c:v>99.171135673076932</c:v>
                </c:pt>
                <c:pt idx="3">
                  <c:v>94.58864221153847</c:v>
                </c:pt>
                <c:pt idx="4">
                  <c:v>90.006148749999994</c:v>
                </c:pt>
                <c:pt idx="5">
                  <c:v>85.423655288461532</c:v>
                </c:pt>
                <c:pt idx="6">
                  <c:v>40.993392596153846</c:v>
                </c:pt>
                <c:pt idx="7">
                  <c:v>0</c:v>
                </c:pt>
              </c:numCache>
            </c:numRef>
          </c:val>
          <c:extLst>
            <c:ext xmlns:c16="http://schemas.microsoft.com/office/drawing/2014/chart" uri="{C3380CC4-5D6E-409C-BE32-E72D297353CC}">
              <c16:uniqueId val="{00000000-608F-4513-AFD1-F65A68313CF8}"/>
            </c:ext>
          </c:extLst>
        </c:ser>
        <c:ser>
          <c:idx val="1"/>
          <c:order val="1"/>
          <c:tx>
            <c:strRef>
              <c:f>'Base Graf'!$AM$2</c:f>
              <c:strCache>
                <c:ptCount val="1"/>
                <c:pt idx="0">
                  <c:v>Organismos Multilaterales</c:v>
                </c:pt>
              </c:strCache>
            </c:strRef>
          </c:tx>
          <c:spPr>
            <a:gradFill>
              <a:gsLst>
                <a:gs pos="0">
                  <a:schemeClr val="accent5">
                    <a:shade val="30000"/>
                    <a:satMod val="115000"/>
                    <a:lumMod val="50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gradFill>
            <a:ln>
              <a:noFill/>
            </a:ln>
            <a:effectLst>
              <a:outerShdw blurRad="50800" dist="38100" dir="2700000" algn="tl" rotWithShape="0">
                <a:prstClr val="black">
                  <a:alpha val="40000"/>
                </a:prstClr>
              </a:outerShdw>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2030-2050</c:v>
                </c:pt>
              </c:strCache>
            </c:strRef>
          </c:cat>
          <c:val>
            <c:numRef>
              <c:f>'Base Graf'!$AM$7:$AM$14</c:f>
              <c:numCache>
                <c:formatCode>#,##0.0</c:formatCode>
                <c:ptCount val="8"/>
                <c:pt idx="0">
                  <c:v>26.755647245707422</c:v>
                </c:pt>
                <c:pt idx="1">
                  <c:v>28.31797945416011</c:v>
                </c:pt>
                <c:pt idx="2">
                  <c:v>26.749034346100398</c:v>
                </c:pt>
                <c:pt idx="3">
                  <c:v>19.320070077452939</c:v>
                </c:pt>
                <c:pt idx="4">
                  <c:v>17.28135162885626</c:v>
                </c:pt>
                <c:pt idx="5">
                  <c:v>16.537496122098151</c:v>
                </c:pt>
                <c:pt idx="6">
                  <c:v>16.08752011335854</c:v>
                </c:pt>
                <c:pt idx="7">
                  <c:v>13.688159905634009</c:v>
                </c:pt>
              </c:numCache>
            </c:numRef>
          </c:val>
          <c:extLst>
            <c:ext xmlns:c16="http://schemas.microsoft.com/office/drawing/2014/chart" uri="{C3380CC4-5D6E-409C-BE32-E72D297353CC}">
              <c16:uniqueId val="{00000001-608F-4513-AFD1-F65A68313CF8}"/>
            </c:ext>
          </c:extLst>
        </c:ser>
        <c:ser>
          <c:idx val="2"/>
          <c:order val="2"/>
          <c:tx>
            <c:strRef>
              <c:f>'Base Graf'!$AJ$2</c:f>
              <c:strCache>
                <c:ptCount val="1"/>
                <c:pt idx="0">
                  <c:v>Bancos Nacionales e Internacionales</c:v>
                </c:pt>
              </c:strCache>
            </c:strRef>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2030-2050</c:v>
                </c:pt>
              </c:strCache>
            </c:strRef>
          </c:cat>
          <c:val>
            <c:numRef>
              <c:f>'Base Graf'!$AJ$6:$AJ$14</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608F-4513-AFD1-F65A68313CF8}"/>
            </c:ext>
          </c:extLst>
        </c:ser>
        <c:ser>
          <c:idx val="3"/>
          <c:order val="3"/>
          <c:spPr>
            <a:solidFill>
              <a:schemeClr val="accent4"/>
            </a:solidFill>
            <a:ln>
              <a:noFill/>
            </a:ln>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2030-2050</c:v>
                </c:pt>
              </c:strCache>
            </c:strRef>
          </c:cat>
          <c:val>
            <c:numRef>
              <c:f>'Base Graf'!$Z$5:$Z$10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C-608F-4513-AFD1-F65A68313CF8}"/>
            </c:ext>
          </c:extLst>
        </c:ser>
        <c:dLbls>
          <c:showLegendKey val="0"/>
          <c:showVal val="0"/>
          <c:showCatName val="0"/>
          <c:showSerName val="0"/>
          <c:showPercent val="0"/>
          <c:showBubbleSize val="0"/>
        </c:dLbls>
        <c:gapWidth val="50"/>
        <c:overlap val="100"/>
        <c:axId val="1722806544"/>
        <c:axId val="1722800016"/>
      </c:barChart>
      <c:catAx>
        <c:axId val="172280654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s-AR"/>
          </a:p>
        </c:txPr>
        <c:crossAx val="1722800016"/>
        <c:crosses val="autoZero"/>
        <c:auto val="1"/>
        <c:lblAlgn val="ctr"/>
        <c:lblOffset val="100"/>
        <c:noMultiLvlLbl val="0"/>
      </c:catAx>
      <c:valAx>
        <c:axId val="1722800016"/>
        <c:scaling>
          <c:orientation val="minMax"/>
          <c:max val="15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722806544"/>
        <c:crosses val="autoZero"/>
        <c:crossBetween val="between"/>
        <c:majorUnit val="50"/>
      </c:valAx>
      <c:spPr>
        <a:noFill/>
        <a:ln>
          <a:noFill/>
        </a:ln>
        <a:effectLst/>
      </c:spPr>
    </c:plotArea>
    <c:legend>
      <c:legendPos val="b"/>
      <c:legendEntry>
        <c:idx val="2"/>
        <c:delete val="1"/>
      </c:legendEntry>
      <c:legendEntry>
        <c:idx val="3"/>
        <c:delete val="1"/>
      </c:legendEntry>
      <c:layout>
        <c:manualLayout>
          <c:xMode val="edge"/>
          <c:yMode val="edge"/>
          <c:x val="4.9999999999999989E-2"/>
          <c:y val="0.92268719080090922"/>
          <c:w val="0.9"/>
          <c:h val="7.306758924989971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DEUDA TOTAL ADMINISTRACIÓN CENTRAL MEDIDA EN TÉRMINOS REALES Y EN DÓLARES</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Deuda en Millones de $ de Jun-23 (Eje Izq.) y en Millones de USD (Eje Der.)</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DGDP, BCRA, DEIE</a:t>
            </a:r>
            <a:endParaRPr lang="es-AR" sz="1200">
              <a:solidFill>
                <a:srgbClr val="000099"/>
              </a:solidFill>
              <a:effectLst/>
              <a:latin typeface="Arial Narrow" panose="020B0606020202030204" pitchFamily="34" charset="0"/>
            </a:endParaRPr>
          </a:p>
        </c:rich>
      </c:tx>
      <c:layout>
        <c:manualLayout>
          <c:xMode val="edge"/>
          <c:yMode val="edge"/>
          <c:x val="1.2628787878787859E-2"/>
          <c:y val="2.565656565656565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8.7803872053872037E-2"/>
          <c:y val="0.22714873737373736"/>
          <c:w val="0.83645896464646463"/>
          <c:h val="0.56070151515151512"/>
        </c:manualLayout>
      </c:layout>
      <c:lineChart>
        <c:grouping val="standard"/>
        <c:varyColors val="0"/>
        <c:ser>
          <c:idx val="0"/>
          <c:order val="0"/>
          <c:tx>
            <c:v>Deuda Total Adm Central en $ Jun-23</c:v>
          </c:tx>
          <c:spPr>
            <a:ln w="19050" cap="rnd">
              <a:solidFill>
                <a:srgbClr val="000099"/>
              </a:solidFill>
              <a:round/>
            </a:ln>
            <a:effectLst/>
          </c:spPr>
          <c:marker>
            <c:symbol val="none"/>
          </c:marker>
          <c:cat>
            <c:numRef>
              <c:f>'Evolución Deuda Total'!$B$4:$AM$4</c:f>
              <c:numCache>
                <c:formatCode>mmm\-yy</c:formatCode>
                <c:ptCount val="38"/>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numCache>
            </c:numRef>
          </c:cat>
          <c:val>
            <c:numRef>
              <c:f>'Evolución Deuda Total'!$B$9:$AM$9</c:f>
              <c:numCache>
                <c:formatCode>#,##0.00</c:formatCode>
                <c:ptCount val="38"/>
                <c:pt idx="0">
                  <c:v>349945.84660426533</c:v>
                </c:pt>
                <c:pt idx="1">
                  <c:v>336859.33256274043</c:v>
                </c:pt>
                <c:pt idx="2">
                  <c:v>323586.7328827373</c:v>
                </c:pt>
                <c:pt idx="3">
                  <c:v>336237.36033858737</c:v>
                </c:pt>
                <c:pt idx="4">
                  <c:v>289815.1275760213</c:v>
                </c:pt>
                <c:pt idx="5">
                  <c:v>311639.38312442997</c:v>
                </c:pt>
                <c:pt idx="6">
                  <c:v>309400.14865977148</c:v>
                </c:pt>
                <c:pt idx="7">
                  <c:v>458550.56104291126</c:v>
                </c:pt>
                <c:pt idx="8">
                  <c:v>359939.29320506944</c:v>
                </c:pt>
                <c:pt idx="9">
                  <c:v>471923.12886924518</c:v>
                </c:pt>
                <c:pt idx="10">
                  <c:v>484459.92093615129</c:v>
                </c:pt>
                <c:pt idx="11">
                  <c:v>493020.89390906884</c:v>
                </c:pt>
                <c:pt idx="12">
                  <c:v>447354.00952574558</c:v>
                </c:pt>
                <c:pt idx="13">
                  <c:v>529927.78627241857</c:v>
                </c:pt>
                <c:pt idx="14">
                  <c:v>510424.58144585637</c:v>
                </c:pt>
                <c:pt idx="15">
                  <c:v>494359.77066415903</c:v>
                </c:pt>
                <c:pt idx="16">
                  <c:v>493004.01062818081</c:v>
                </c:pt>
                <c:pt idx="17">
                  <c:v>532091.20587484015</c:v>
                </c:pt>
                <c:pt idx="18">
                  <c:v>539658.15539620409</c:v>
                </c:pt>
                <c:pt idx="19">
                  <c:v>500350.41394488316</c:v>
                </c:pt>
                <c:pt idx="20">
                  <c:v>476162.73130933644</c:v>
                </c:pt>
                <c:pt idx="21">
                  <c:v>468015.92589102476</c:v>
                </c:pt>
                <c:pt idx="22">
                  <c:v>502894.70538647764</c:v>
                </c:pt>
                <c:pt idx="23">
                  <c:v>496818.24466679973</c:v>
                </c:pt>
                <c:pt idx="24">
                  <c:v>450052.92418219586</c:v>
                </c:pt>
                <c:pt idx="25">
                  <c:v>467481.02109847718</c:v>
                </c:pt>
                <c:pt idx="26">
                  <c:v>467884.11147065676</c:v>
                </c:pt>
                <c:pt idx="27">
                  <c:v>504001.39702933229</c:v>
                </c:pt>
                <c:pt idx="28">
                  <c:v>432063.76223055954</c:v>
                </c:pt>
                <c:pt idx="29">
                  <c:v>396788.00204018963</c:v>
                </c:pt>
                <c:pt idx="30">
                  <c:v>394605.48460163205</c:v>
                </c:pt>
                <c:pt idx="31">
                  <c:v>424895.15452454501</c:v>
                </c:pt>
                <c:pt idx="32">
                  <c:v>334588.20622113009</c:v>
                </c:pt>
                <c:pt idx="33">
                  <c:v>320836.78021572781</c:v>
                </c:pt>
                <c:pt idx="34">
                  <c:v>294933.32987900829</c:v>
                </c:pt>
                <c:pt idx="35">
                  <c:v>338667.09610195889</c:v>
                </c:pt>
                <c:pt idx="36">
                  <c:v>247911.98030111994</c:v>
                </c:pt>
                <c:pt idx="37">
                  <c:v>243974.74979249097</c:v>
                </c:pt>
              </c:numCache>
            </c:numRef>
          </c:val>
          <c:smooth val="0"/>
          <c:extLst>
            <c:ext xmlns:c16="http://schemas.microsoft.com/office/drawing/2014/chart" uri="{C3380CC4-5D6E-409C-BE32-E72D297353CC}">
              <c16:uniqueId val="{00000000-E0DF-4B4F-8EAA-1F218C763922}"/>
            </c:ext>
          </c:extLst>
        </c:ser>
        <c:dLbls>
          <c:showLegendKey val="0"/>
          <c:showVal val="0"/>
          <c:showCatName val="0"/>
          <c:showSerName val="0"/>
          <c:showPercent val="0"/>
          <c:showBubbleSize val="0"/>
        </c:dLbls>
        <c:marker val="1"/>
        <c:smooth val="0"/>
        <c:axId val="1722802192"/>
        <c:axId val="1722802736"/>
      </c:lineChart>
      <c:lineChart>
        <c:grouping val="standard"/>
        <c:varyColors val="0"/>
        <c:ser>
          <c:idx val="1"/>
          <c:order val="1"/>
          <c:tx>
            <c:v>Deuda Total Adm Central en USD (Eje Der)</c:v>
          </c:tx>
          <c:spPr>
            <a:ln w="19050" cap="rnd">
              <a:solidFill>
                <a:srgbClr val="00B050"/>
              </a:solidFill>
              <a:round/>
            </a:ln>
            <a:effectLst/>
          </c:spPr>
          <c:marker>
            <c:symbol val="none"/>
          </c:marker>
          <c:cat>
            <c:numRef>
              <c:f>'Evolución Deuda Total'!$B$4:$AM$4</c:f>
              <c:numCache>
                <c:formatCode>mmm\-yy</c:formatCode>
                <c:ptCount val="38"/>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numCache>
            </c:numRef>
          </c:cat>
          <c:val>
            <c:numRef>
              <c:f>'Evolución Deuda Total'!$B$11:$AM$11</c:f>
              <c:numCache>
                <c:formatCode>#,##0.00</c:formatCode>
                <c:ptCount val="38"/>
                <c:pt idx="0">
                  <c:v>1198.0060980561311</c:v>
                </c:pt>
                <c:pt idx="1">
                  <c:v>1236.2989741438882</c:v>
                </c:pt>
                <c:pt idx="2">
                  <c:v>1214.2376852143709</c:v>
                </c:pt>
                <c:pt idx="3">
                  <c:v>1322.6856137114128</c:v>
                </c:pt>
                <c:pt idx="4">
                  <c:v>1161.440776354071</c:v>
                </c:pt>
                <c:pt idx="5">
                  <c:v>1284.3857329323723</c:v>
                </c:pt>
                <c:pt idx="6">
                  <c:v>1296.7956207809582</c:v>
                </c:pt>
                <c:pt idx="7">
                  <c:v>1487.2257882157555</c:v>
                </c:pt>
                <c:pt idx="8">
                  <c:v>1186.5068563914328</c:v>
                </c:pt>
                <c:pt idx="9">
                  <c:v>1686.5652731506366</c:v>
                </c:pt>
                <c:pt idx="10">
                  <c:v>1767.2638008660335</c:v>
                </c:pt>
                <c:pt idx="11">
                  <c:v>1820.5741236959532</c:v>
                </c:pt>
                <c:pt idx="12">
                  <c:v>1808.1787795455841</c:v>
                </c:pt>
                <c:pt idx="13">
                  <c:v>2091.8664489172725</c:v>
                </c:pt>
                <c:pt idx="14">
                  <c:v>2029.2965637817033</c:v>
                </c:pt>
                <c:pt idx="15">
                  <c:v>1923.8160416107323</c:v>
                </c:pt>
                <c:pt idx="16">
                  <c:v>1906.8874457626976</c:v>
                </c:pt>
                <c:pt idx="17">
                  <c:v>1561.8680580314178</c:v>
                </c:pt>
                <c:pt idx="18">
                  <c:v>1275.3649271383476</c:v>
                </c:pt>
                <c:pt idx="19">
                  <c:v>1427.4429920198836</c:v>
                </c:pt>
                <c:pt idx="20">
                  <c:v>1324.8426762725608</c:v>
                </c:pt>
                <c:pt idx="21">
                  <c:v>1456.06595329073</c:v>
                </c:pt>
                <c:pt idx="22">
                  <c:v>1298.7633279145018</c:v>
                </c:pt>
                <c:pt idx="23">
                  <c:v>1377.625793813218</c:v>
                </c:pt>
                <c:pt idx="24">
                  <c:v>1249.7074659407217</c:v>
                </c:pt>
                <c:pt idx="25">
                  <c:v>1250.6493763069705</c:v>
                </c:pt>
                <c:pt idx="26">
                  <c:v>1245.5093239823298</c:v>
                </c:pt>
                <c:pt idx="27">
                  <c:v>1353.1157961328599</c:v>
                </c:pt>
                <c:pt idx="28">
                  <c:v>1198.165322817955</c:v>
                </c:pt>
                <c:pt idx="29">
                  <c:v>1173.3892580683216</c:v>
                </c:pt>
                <c:pt idx="30">
                  <c:v>1236.2607775559195</c:v>
                </c:pt>
                <c:pt idx="31">
                  <c:v>1408.5738472361979</c:v>
                </c:pt>
                <c:pt idx="32">
                  <c:v>1192.0072095918158</c:v>
                </c:pt>
                <c:pt idx="33">
                  <c:v>1188.423046679211</c:v>
                </c:pt>
                <c:pt idx="34">
                  <c:v>1133.2682816595877</c:v>
                </c:pt>
                <c:pt idx="35">
                  <c:v>1268.388710513058</c:v>
                </c:pt>
                <c:pt idx="36">
                  <c:v>957.68267949680569</c:v>
                </c:pt>
                <c:pt idx="37">
                  <c:v>950.52011217489417</c:v>
                </c:pt>
              </c:numCache>
            </c:numRef>
          </c:val>
          <c:smooth val="0"/>
          <c:extLst>
            <c:ext xmlns:c16="http://schemas.microsoft.com/office/drawing/2014/chart" uri="{C3380CC4-5D6E-409C-BE32-E72D297353CC}">
              <c16:uniqueId val="{00000001-E0DF-4B4F-8EAA-1F218C763922}"/>
            </c:ext>
          </c:extLst>
        </c:ser>
        <c:dLbls>
          <c:showLegendKey val="0"/>
          <c:showVal val="0"/>
          <c:showCatName val="0"/>
          <c:showSerName val="0"/>
          <c:showPercent val="0"/>
          <c:showBubbleSize val="0"/>
        </c:dLbls>
        <c:marker val="1"/>
        <c:smooth val="0"/>
        <c:axId val="1722808720"/>
        <c:axId val="1722803280"/>
      </c:lineChart>
      <c:dateAx>
        <c:axId val="1722802192"/>
        <c:scaling>
          <c:orientation val="minMax"/>
        </c:scaling>
        <c:delete val="0"/>
        <c:axPos val="b"/>
        <c:numFmt formatCode="mmm\-yy" sourceLinked="1"/>
        <c:majorTickMark val="in"/>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22802736"/>
        <c:crosses val="autoZero"/>
        <c:auto val="1"/>
        <c:lblOffset val="100"/>
        <c:baseTimeUnit val="months"/>
        <c:majorUnit val="3"/>
        <c:majorTimeUnit val="months"/>
      </c:dateAx>
      <c:valAx>
        <c:axId val="172280273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Pesos</a:t>
                </a:r>
                <a:r>
                  <a:rPr lang="es-AR" sz="1100" b="0" baseline="0">
                    <a:solidFill>
                      <a:schemeClr val="tx1"/>
                    </a:solidFill>
                    <a:latin typeface="Arial Narrow" panose="020B0606020202030204" pitchFamily="34" charset="0"/>
                  </a:rPr>
                  <a:t> Jun-23</a:t>
                </a:r>
                <a:endParaRPr lang="es-AR" sz="1100" b="0">
                  <a:solidFill>
                    <a:schemeClr val="tx1"/>
                  </a:solidFill>
                  <a:latin typeface="Arial Narrow" panose="020B0606020202030204" pitchFamily="34" charset="0"/>
                </a:endParaRPr>
              </a:p>
            </c:rich>
          </c:tx>
          <c:layout>
            <c:manualLayout>
              <c:xMode val="edge"/>
              <c:yMode val="edge"/>
              <c:x val="7.1891835016835021E-3"/>
              <c:y val="0.311435101010101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22802192"/>
        <c:crosses val="autoZero"/>
        <c:crossBetween val="between"/>
      </c:valAx>
      <c:valAx>
        <c:axId val="1722803280"/>
        <c:scaling>
          <c:orientation val="minMax"/>
          <c:max val="25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USD</a:t>
                </a:r>
              </a:p>
            </c:rich>
          </c:tx>
          <c:layout>
            <c:manualLayout>
              <c:xMode val="edge"/>
              <c:yMode val="edge"/>
              <c:x val="0.96926557239057243"/>
              <c:y val="0.342062626262626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22808720"/>
        <c:crosses val="max"/>
        <c:crossBetween val="between"/>
      </c:valAx>
      <c:dateAx>
        <c:axId val="1722808720"/>
        <c:scaling>
          <c:orientation val="minMax"/>
        </c:scaling>
        <c:delete val="1"/>
        <c:axPos val="b"/>
        <c:numFmt formatCode="mmm\-yy" sourceLinked="1"/>
        <c:majorTickMark val="out"/>
        <c:minorTickMark val="none"/>
        <c:tickLblPos val="nextTo"/>
        <c:crossAx val="1722803280"/>
        <c:crosses val="autoZero"/>
        <c:auto val="1"/>
        <c:lblOffset val="100"/>
        <c:baseTimeUnit val="months"/>
      </c:dateAx>
      <c:spPr>
        <a:noFill/>
        <a:ln>
          <a:noFill/>
        </a:ln>
        <a:effectLst/>
      </c:spPr>
    </c:plotArea>
    <c:legend>
      <c:legendPos val="b"/>
      <c:layout>
        <c:manualLayout>
          <c:xMode val="edge"/>
          <c:yMode val="edge"/>
          <c:x val="0.19972327441077445"/>
          <c:y val="0.92197045454545457"/>
          <c:w val="0.60589846380471379"/>
          <c:h val="5.87871212121212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16" fmlaLink="$K$6" fmlaRange="'Base Graf'!$BT$4:$BT$5" noThreeD="1" sel="1" val="0"/>
</file>

<file path=xl/ctrlProps/ctrlProp2.xml><?xml version="1.0" encoding="utf-8"?>
<formControlPr xmlns="http://schemas.microsoft.com/office/spreadsheetml/2009/9/main" objectType="Drop" dropStyle="combo" dx="16" fmlaLink="$K$25" fmlaRange="'Base Graf'!$BT$6:$BT$7" noThreeD="1" sel="1" val="0"/>
</file>

<file path=xl/ctrlProps/ctrlProp3.xml><?xml version="1.0" encoding="utf-8"?>
<formControlPr xmlns="http://schemas.microsoft.com/office/spreadsheetml/2009/9/main" objectType="Drop" dropStyle="combo" dx="16" fmlaLink="$K$44" fmlaRange="'Base Graf'!$BT$8:$BT$9" noThreeD="1" sel="1" val="0"/>
</file>

<file path=xl/ctrlProps/ctrlProp4.xml><?xml version="1.0" encoding="utf-8"?>
<formControlPr xmlns="http://schemas.microsoft.com/office/spreadsheetml/2009/9/main" objectType="Drop" dropStyle="combo" dx="16" fmlaLink="$K$64" fmlaRange="'Base Graf'!$BT$10:$BT$14" noThreeD="1" sel="1" val="0"/>
</file>

<file path=xl/drawings/_rels/drawing1.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4</xdr:row>
          <xdr:rowOff>9525</xdr:rowOff>
        </xdr:from>
        <xdr:to>
          <xdr:col>5</xdr:col>
          <xdr:colOff>581025</xdr:colOff>
          <xdr:row>5</xdr:row>
          <xdr:rowOff>180975</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xdr:row>
          <xdr:rowOff>133350</xdr:rowOff>
        </xdr:from>
        <xdr:to>
          <xdr:col>14</xdr:col>
          <xdr:colOff>504825</xdr:colOff>
          <xdr:row>19</xdr:row>
          <xdr:rowOff>142875</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grafcomp" spid="_x0000_s34515"/>
                </a:ext>
              </a:extLst>
            </xdr:cNvPicPr>
          </xdr:nvPicPr>
          <xdr:blipFill>
            <a:blip xmlns:r="http://schemas.openxmlformats.org/officeDocument/2006/relationships" r:embed="rId1"/>
            <a:srcRect/>
            <a:stretch>
              <a:fillRect/>
            </a:stretch>
          </xdr:blipFill>
          <xdr:spPr bwMode="auto">
            <a:xfrm>
              <a:off x="6629400" y="5143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23</xdr:row>
          <xdr:rowOff>19050</xdr:rowOff>
        </xdr:from>
        <xdr:to>
          <xdr:col>5</xdr:col>
          <xdr:colOff>581025</xdr:colOff>
          <xdr:row>24</xdr:row>
          <xdr:rowOff>190500</xdr:rowOff>
        </xdr:to>
        <xdr:sp macro="" textlink="">
          <xdr:nvSpPr>
            <xdr:cNvPr id="12291" name="Drop Down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22</xdr:row>
          <xdr:rowOff>57150</xdr:rowOff>
        </xdr:from>
        <xdr:to>
          <xdr:col>14</xdr:col>
          <xdr:colOff>495300</xdr:colOff>
          <xdr:row>39</xdr:row>
          <xdr:rowOff>66675</xdr:rowOff>
        </xdr:to>
        <xdr:pic>
          <xdr:nvPicPr>
            <xdr:cNvPr id="5" name="Imagen 4">
              <a:extLst>
                <a:ext uri="{FF2B5EF4-FFF2-40B4-BE49-F238E27FC236}">
                  <a16:creationId xmlns:a16="http://schemas.microsoft.com/office/drawing/2014/main" id="{00000000-0008-0000-0300-000005000000}"/>
                </a:ext>
              </a:extLst>
            </xdr:cNvPr>
            <xdr:cNvPicPr>
              <a:picLocks noChangeAspect="1" noChangeArrowheads="1"/>
              <a:extLst>
                <a:ext uri="{84589F7E-364E-4C9E-8A38-B11213B215E9}">
                  <a14:cameraTool cellRange="grafvto" spid="_x0000_s34516"/>
                </a:ext>
              </a:extLst>
            </xdr:cNvPicPr>
          </xdr:nvPicPr>
          <xdr:blipFill>
            <a:blip xmlns:r="http://schemas.openxmlformats.org/officeDocument/2006/relationships" r:embed="rId2"/>
            <a:srcRect/>
            <a:stretch>
              <a:fillRect/>
            </a:stretch>
          </xdr:blipFill>
          <xdr:spPr bwMode="auto">
            <a:xfrm>
              <a:off x="6619875" y="42481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41</xdr:row>
          <xdr:rowOff>114300</xdr:rowOff>
        </xdr:from>
        <xdr:to>
          <xdr:col>5</xdr:col>
          <xdr:colOff>581025</xdr:colOff>
          <xdr:row>43</xdr:row>
          <xdr:rowOff>95250</xdr:rowOff>
        </xdr:to>
        <xdr:sp macro="" textlink="">
          <xdr:nvSpPr>
            <xdr:cNvPr id="12295" name="Drop Down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40</xdr:row>
          <xdr:rowOff>171450</xdr:rowOff>
        </xdr:from>
        <xdr:to>
          <xdr:col>14</xdr:col>
          <xdr:colOff>504825</xdr:colOff>
          <xdr:row>57</xdr:row>
          <xdr:rowOff>180975</xdr:rowOff>
        </xdr:to>
        <xdr:pic>
          <xdr:nvPicPr>
            <xdr:cNvPr id="8" name="Imagen 7">
              <a:extLst>
                <a:ext uri="{FF2B5EF4-FFF2-40B4-BE49-F238E27FC236}">
                  <a16:creationId xmlns:a16="http://schemas.microsoft.com/office/drawing/2014/main" id="{00000000-0008-0000-0300-000008000000}"/>
                </a:ext>
              </a:extLst>
            </xdr:cNvPr>
            <xdr:cNvPicPr>
              <a:picLocks noChangeAspect="1" noChangeArrowheads="1"/>
              <a:extLst>
                <a:ext uri="{84589F7E-364E-4C9E-8A38-B11213B215E9}">
                  <a14:cameraTool cellRange="grafserv" spid="_x0000_s34517"/>
                </a:ext>
              </a:extLst>
            </xdr:cNvPicPr>
          </xdr:nvPicPr>
          <xdr:blipFill>
            <a:blip xmlns:r="http://schemas.openxmlformats.org/officeDocument/2006/relationships" r:embed="rId3"/>
            <a:srcRect/>
            <a:stretch>
              <a:fillRect/>
            </a:stretch>
          </xdr:blipFill>
          <xdr:spPr bwMode="auto">
            <a:xfrm>
              <a:off x="6629400" y="77914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61</xdr:row>
          <xdr:rowOff>38100</xdr:rowOff>
        </xdr:from>
        <xdr:to>
          <xdr:col>5</xdr:col>
          <xdr:colOff>476250</xdr:colOff>
          <xdr:row>63</xdr:row>
          <xdr:rowOff>19050</xdr:rowOff>
        </xdr:to>
        <xdr:sp macro="" textlink="">
          <xdr:nvSpPr>
            <xdr:cNvPr id="12301" name="Drop Down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60</xdr:row>
          <xdr:rowOff>0</xdr:rowOff>
        </xdr:from>
        <xdr:to>
          <xdr:col>14</xdr:col>
          <xdr:colOff>495300</xdr:colOff>
          <xdr:row>77</xdr:row>
          <xdr:rowOff>9525</xdr:rowOff>
        </xdr:to>
        <xdr:pic>
          <xdr:nvPicPr>
            <xdr:cNvPr id="10" name="Imagen 9">
              <a:extLst>
                <a:ext uri="{FF2B5EF4-FFF2-40B4-BE49-F238E27FC236}">
                  <a16:creationId xmlns:a16="http://schemas.microsoft.com/office/drawing/2014/main" id="{00000000-0008-0000-0300-00000A000000}"/>
                </a:ext>
              </a:extLst>
            </xdr:cNvPr>
            <xdr:cNvPicPr>
              <a:picLocks noChangeAspect="1" noChangeArrowheads="1"/>
              <a:extLst>
                <a:ext uri="{84589F7E-364E-4C9E-8A38-B11213B215E9}">
                  <a14:cameraTool cellRange="grafacreedor" spid="_x0000_s34518"/>
                </a:ext>
              </a:extLst>
            </xdr:cNvPicPr>
          </xdr:nvPicPr>
          <xdr:blipFill>
            <a:blip xmlns:r="http://schemas.openxmlformats.org/officeDocument/2006/relationships" r:embed="rId4"/>
            <a:srcRect/>
            <a:stretch>
              <a:fillRect/>
            </a:stretch>
          </xdr:blipFill>
          <xdr:spPr bwMode="auto">
            <a:xfrm>
              <a:off x="6619875" y="1143000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65</xdr:col>
      <xdr:colOff>228600</xdr:colOff>
      <xdr:row>2</xdr:row>
      <xdr:rowOff>104775</xdr:rowOff>
    </xdr:from>
    <xdr:to>
      <xdr:col>65</xdr:col>
      <xdr:colOff>5790600</xdr:colOff>
      <xdr:row>17</xdr:row>
      <xdr:rowOff>48375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65</xdr:col>
      <xdr:colOff>238125</xdr:colOff>
      <xdr:row>19</xdr:row>
      <xdr:rowOff>180975</xdr:rowOff>
    </xdr:from>
    <xdr:to>
      <xdr:col>65</xdr:col>
      <xdr:colOff>5800125</xdr:colOff>
      <xdr:row>35</xdr:row>
      <xdr:rowOff>124575</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65</xdr:col>
      <xdr:colOff>238125</xdr:colOff>
      <xdr:row>38</xdr:row>
      <xdr:rowOff>38099</xdr:rowOff>
    </xdr:from>
    <xdr:to>
      <xdr:col>65</xdr:col>
      <xdr:colOff>5800125</xdr:colOff>
      <xdr:row>53</xdr:row>
      <xdr:rowOff>172199</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65</xdr:col>
      <xdr:colOff>238125</xdr:colOff>
      <xdr:row>56</xdr:row>
      <xdr:rowOff>66675</xdr:rowOff>
    </xdr:from>
    <xdr:to>
      <xdr:col>65</xdr:col>
      <xdr:colOff>5800125</xdr:colOff>
      <xdr:row>72</xdr:row>
      <xdr:rowOff>10275</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65</xdr:col>
      <xdr:colOff>228600</xdr:colOff>
      <xdr:row>92</xdr:row>
      <xdr:rowOff>123825</xdr:rowOff>
    </xdr:from>
    <xdr:to>
      <xdr:col>65</xdr:col>
      <xdr:colOff>5790600</xdr:colOff>
      <xdr:row>108</xdr:row>
      <xdr:rowOff>67425</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65</xdr:col>
      <xdr:colOff>209550</xdr:colOff>
      <xdr:row>110</xdr:row>
      <xdr:rowOff>161925</xdr:rowOff>
    </xdr:from>
    <xdr:to>
      <xdr:col>65</xdr:col>
      <xdr:colOff>5771550</xdr:colOff>
      <xdr:row>126</xdr:row>
      <xdr:rowOff>105525</xdr:rowOff>
    </xdr:to>
    <xdr:graphicFrame macro="">
      <xdr:nvGraphicFramePr>
        <xdr:cNvPr id="14" name="Gráfico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65</xdr:col>
      <xdr:colOff>219075</xdr:colOff>
      <xdr:row>147</xdr:row>
      <xdr:rowOff>161925</xdr:rowOff>
    </xdr:from>
    <xdr:to>
      <xdr:col>65</xdr:col>
      <xdr:colOff>5781075</xdr:colOff>
      <xdr:row>163</xdr:row>
      <xdr:rowOff>105525</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65</xdr:col>
      <xdr:colOff>209550</xdr:colOff>
      <xdr:row>166</xdr:row>
      <xdr:rowOff>104775</xdr:rowOff>
    </xdr:from>
    <xdr:to>
      <xdr:col>65</xdr:col>
      <xdr:colOff>5771550</xdr:colOff>
      <xdr:row>182</xdr:row>
      <xdr:rowOff>48375</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65</xdr:col>
      <xdr:colOff>477230</xdr:colOff>
      <xdr:row>96</xdr:row>
      <xdr:rowOff>152400</xdr:rowOff>
    </xdr:from>
    <xdr:to>
      <xdr:col>65</xdr:col>
      <xdr:colOff>1134436</xdr:colOff>
      <xdr:row>98</xdr:row>
      <xdr:rowOff>43757</xdr:rowOff>
    </xdr:to>
    <xdr:sp macro="" textlink="">
      <xdr:nvSpPr>
        <xdr:cNvPr id="9" name="CuadroTexto 81">
          <a:extLst>
            <a:ext uri="{FF2B5EF4-FFF2-40B4-BE49-F238E27FC236}">
              <a16:creationId xmlns:a16="http://schemas.microsoft.com/office/drawing/2014/main" id="{00000000-0008-0000-0400-000009000000}"/>
            </a:ext>
          </a:extLst>
        </xdr:cNvPr>
        <xdr:cNvSpPr txBox="1"/>
      </xdr:nvSpPr>
      <xdr:spPr>
        <a:xfrm>
          <a:off x="61122905" y="18859500"/>
          <a:ext cx="657206" cy="272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52.192,8</a:t>
          </a:r>
        </a:p>
      </xdr:txBody>
    </xdr:sp>
    <xdr:clientData/>
  </xdr:twoCellAnchor>
  <xdr:twoCellAnchor>
    <xdr:from>
      <xdr:col>65</xdr:col>
      <xdr:colOff>1124743</xdr:colOff>
      <xdr:row>99</xdr:row>
      <xdr:rowOff>404</xdr:rowOff>
    </xdr:from>
    <xdr:to>
      <xdr:col>65</xdr:col>
      <xdr:colOff>1762893</xdr:colOff>
      <xdr:row>100</xdr:row>
      <xdr:rowOff>86119</xdr:rowOff>
    </xdr:to>
    <xdr:sp macro="" textlink="">
      <xdr:nvSpPr>
        <xdr:cNvPr id="10" name="CuadroTexto 82">
          <a:extLst>
            <a:ext uri="{FF2B5EF4-FFF2-40B4-BE49-F238E27FC236}">
              <a16:creationId xmlns:a16="http://schemas.microsoft.com/office/drawing/2014/main" id="{00000000-0008-0000-0400-00000A000000}"/>
            </a:ext>
          </a:extLst>
        </xdr:cNvPr>
        <xdr:cNvSpPr txBox="1"/>
      </xdr:nvSpPr>
      <xdr:spPr>
        <a:xfrm>
          <a:off x="62098350" y="19268118"/>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36.792,2</a:t>
          </a:r>
        </a:p>
      </xdr:txBody>
    </xdr:sp>
    <xdr:clientData/>
  </xdr:twoCellAnchor>
  <xdr:twoCellAnchor>
    <xdr:from>
      <xdr:col>65</xdr:col>
      <xdr:colOff>1781935</xdr:colOff>
      <xdr:row>102</xdr:row>
      <xdr:rowOff>6808</xdr:rowOff>
    </xdr:from>
    <xdr:to>
      <xdr:col>65</xdr:col>
      <xdr:colOff>2391552</xdr:colOff>
      <xdr:row>103</xdr:row>
      <xdr:rowOff>92522</xdr:rowOff>
    </xdr:to>
    <xdr:sp macro="" textlink="">
      <xdr:nvSpPr>
        <xdr:cNvPr id="16" name="CuadroTexto 83">
          <a:extLst>
            <a:ext uri="{FF2B5EF4-FFF2-40B4-BE49-F238E27FC236}">
              <a16:creationId xmlns:a16="http://schemas.microsoft.com/office/drawing/2014/main" id="{00000000-0008-0000-0400-000010000000}"/>
            </a:ext>
          </a:extLst>
        </xdr:cNvPr>
        <xdr:cNvSpPr txBox="1"/>
      </xdr:nvSpPr>
      <xdr:spPr>
        <a:xfrm>
          <a:off x="62427610" y="19856908"/>
          <a:ext cx="60961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15.544,2</a:t>
          </a:r>
        </a:p>
      </xdr:txBody>
    </xdr:sp>
    <xdr:clientData/>
  </xdr:twoCellAnchor>
  <xdr:twoCellAnchor>
    <xdr:from>
      <xdr:col>65</xdr:col>
      <xdr:colOff>2458037</xdr:colOff>
      <xdr:row>102</xdr:row>
      <xdr:rowOff>15939</xdr:rowOff>
    </xdr:from>
    <xdr:to>
      <xdr:col>65</xdr:col>
      <xdr:colOff>3000958</xdr:colOff>
      <xdr:row>103</xdr:row>
      <xdr:rowOff>111196</xdr:rowOff>
    </xdr:to>
    <xdr:sp macro="" textlink="">
      <xdr:nvSpPr>
        <xdr:cNvPr id="17" name="CuadroTexto 84">
          <a:extLst>
            <a:ext uri="{FF2B5EF4-FFF2-40B4-BE49-F238E27FC236}">
              <a16:creationId xmlns:a16="http://schemas.microsoft.com/office/drawing/2014/main" id="{00000000-0008-0000-0400-000011000000}"/>
            </a:ext>
          </a:extLst>
        </xdr:cNvPr>
        <xdr:cNvSpPr txBox="1"/>
      </xdr:nvSpPr>
      <xdr:spPr>
        <a:xfrm>
          <a:off x="63103712" y="19866039"/>
          <a:ext cx="542921"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7.511,6</a:t>
          </a:r>
        </a:p>
      </xdr:txBody>
    </xdr:sp>
    <xdr:clientData/>
  </xdr:twoCellAnchor>
  <xdr:twoCellAnchor>
    <xdr:from>
      <xdr:col>65</xdr:col>
      <xdr:colOff>3115249</xdr:colOff>
      <xdr:row>101</xdr:row>
      <xdr:rowOff>158057</xdr:rowOff>
    </xdr:from>
    <xdr:to>
      <xdr:col>65</xdr:col>
      <xdr:colOff>3658183</xdr:colOff>
      <xdr:row>103</xdr:row>
      <xdr:rowOff>62815</xdr:rowOff>
    </xdr:to>
    <xdr:sp macro="" textlink="">
      <xdr:nvSpPr>
        <xdr:cNvPr id="18" name="CuadroTexto 84">
          <a:extLst>
            <a:ext uri="{FF2B5EF4-FFF2-40B4-BE49-F238E27FC236}">
              <a16:creationId xmlns:a16="http://schemas.microsoft.com/office/drawing/2014/main" id="{00000000-0008-0000-0400-000012000000}"/>
            </a:ext>
          </a:extLst>
        </xdr:cNvPr>
        <xdr:cNvSpPr txBox="1"/>
      </xdr:nvSpPr>
      <xdr:spPr>
        <a:xfrm>
          <a:off x="63760924" y="19817657"/>
          <a:ext cx="542934" cy="28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3.331,9</a:t>
          </a:r>
        </a:p>
      </xdr:txBody>
    </xdr:sp>
    <xdr:clientData/>
  </xdr:twoCellAnchor>
  <xdr:twoCellAnchor>
    <xdr:from>
      <xdr:col>65</xdr:col>
      <xdr:colOff>533213</xdr:colOff>
      <xdr:row>98</xdr:row>
      <xdr:rowOff>158241</xdr:rowOff>
    </xdr:from>
    <xdr:to>
      <xdr:col>65</xdr:col>
      <xdr:colOff>1190419</xdr:colOff>
      <xdr:row>100</xdr:row>
      <xdr:rowOff>53486</xdr:rowOff>
    </xdr:to>
    <xdr:sp macro="" textlink="">
      <xdr:nvSpPr>
        <xdr:cNvPr id="20" name="CuadroTexto 81">
          <a:extLst>
            <a:ext uri="{FF2B5EF4-FFF2-40B4-BE49-F238E27FC236}">
              <a16:creationId xmlns:a16="http://schemas.microsoft.com/office/drawing/2014/main" id="{00000000-0008-0000-0400-000014000000}"/>
            </a:ext>
          </a:extLst>
        </xdr:cNvPr>
        <xdr:cNvSpPr txBox="1"/>
      </xdr:nvSpPr>
      <xdr:spPr>
        <a:xfrm>
          <a:off x="61178888" y="19246341"/>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51,5%</a:t>
          </a:r>
        </a:p>
      </xdr:txBody>
    </xdr:sp>
    <xdr:clientData/>
  </xdr:twoCellAnchor>
  <xdr:twoCellAnchor>
    <xdr:from>
      <xdr:col>65</xdr:col>
      <xdr:colOff>1168617</xdr:colOff>
      <xdr:row>101</xdr:row>
      <xdr:rowOff>13311</xdr:rowOff>
    </xdr:from>
    <xdr:to>
      <xdr:col>65</xdr:col>
      <xdr:colOff>1806767</xdr:colOff>
      <xdr:row>102</xdr:row>
      <xdr:rowOff>99026</xdr:rowOff>
    </xdr:to>
    <xdr:sp macro="" textlink="">
      <xdr:nvSpPr>
        <xdr:cNvPr id="21" name="CuadroTexto 82">
          <a:extLst>
            <a:ext uri="{FF2B5EF4-FFF2-40B4-BE49-F238E27FC236}">
              <a16:creationId xmlns:a16="http://schemas.microsoft.com/office/drawing/2014/main" id="{00000000-0008-0000-0400-000015000000}"/>
            </a:ext>
          </a:extLst>
        </xdr:cNvPr>
        <xdr:cNvSpPr txBox="1"/>
      </xdr:nvSpPr>
      <xdr:spPr>
        <a:xfrm>
          <a:off x="62094999" y="19679635"/>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58,2%</a:t>
          </a:r>
        </a:p>
      </xdr:txBody>
    </xdr:sp>
    <xdr:clientData/>
  </xdr:twoCellAnchor>
  <xdr:twoCellAnchor>
    <xdr:from>
      <xdr:col>65</xdr:col>
      <xdr:colOff>1848416</xdr:colOff>
      <xdr:row>103</xdr:row>
      <xdr:rowOff>53858</xdr:rowOff>
    </xdr:from>
    <xdr:to>
      <xdr:col>65</xdr:col>
      <xdr:colOff>2419923</xdr:colOff>
      <xdr:row>104</xdr:row>
      <xdr:rowOff>139572</xdr:rowOff>
    </xdr:to>
    <xdr:sp macro="" textlink="">
      <xdr:nvSpPr>
        <xdr:cNvPr id="22" name="CuadroTexto 83">
          <a:extLst>
            <a:ext uri="{FF2B5EF4-FFF2-40B4-BE49-F238E27FC236}">
              <a16:creationId xmlns:a16="http://schemas.microsoft.com/office/drawing/2014/main" id="{00000000-0008-0000-0400-000016000000}"/>
            </a:ext>
          </a:extLst>
        </xdr:cNvPr>
        <xdr:cNvSpPr txBox="1"/>
      </xdr:nvSpPr>
      <xdr:spPr>
        <a:xfrm>
          <a:off x="62494091" y="20094458"/>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58,2%</a:t>
          </a:r>
        </a:p>
      </xdr:txBody>
    </xdr:sp>
    <xdr:clientData/>
  </xdr:twoCellAnchor>
  <xdr:twoCellAnchor>
    <xdr:from>
      <xdr:col>65</xdr:col>
      <xdr:colOff>2495359</xdr:colOff>
      <xdr:row>102</xdr:row>
      <xdr:rowOff>187397</xdr:rowOff>
    </xdr:from>
    <xdr:to>
      <xdr:col>65</xdr:col>
      <xdr:colOff>3057321</xdr:colOff>
      <xdr:row>104</xdr:row>
      <xdr:rowOff>92154</xdr:rowOff>
    </xdr:to>
    <xdr:sp macro="" textlink="">
      <xdr:nvSpPr>
        <xdr:cNvPr id="23" name="CuadroTexto 84">
          <a:extLst>
            <a:ext uri="{FF2B5EF4-FFF2-40B4-BE49-F238E27FC236}">
              <a16:creationId xmlns:a16="http://schemas.microsoft.com/office/drawing/2014/main" id="{00000000-0008-0000-0400-000017000000}"/>
            </a:ext>
          </a:extLst>
        </xdr:cNvPr>
        <xdr:cNvSpPr txBox="1"/>
      </xdr:nvSpPr>
      <xdr:spPr>
        <a:xfrm>
          <a:off x="63141034" y="20037497"/>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31,3%</a:t>
          </a:r>
        </a:p>
      </xdr:txBody>
    </xdr:sp>
    <xdr:clientData/>
  </xdr:twoCellAnchor>
  <xdr:twoCellAnchor>
    <xdr:from>
      <xdr:col>65</xdr:col>
      <xdr:colOff>3153544</xdr:colOff>
      <xdr:row>102</xdr:row>
      <xdr:rowOff>139591</xdr:rowOff>
    </xdr:from>
    <xdr:to>
      <xdr:col>65</xdr:col>
      <xdr:colOff>3715506</xdr:colOff>
      <xdr:row>104</xdr:row>
      <xdr:rowOff>44348</xdr:rowOff>
    </xdr:to>
    <xdr:sp macro="" textlink="">
      <xdr:nvSpPr>
        <xdr:cNvPr id="24" name="CuadroTexto 84">
          <a:extLst>
            <a:ext uri="{FF2B5EF4-FFF2-40B4-BE49-F238E27FC236}">
              <a16:creationId xmlns:a16="http://schemas.microsoft.com/office/drawing/2014/main" id="{00000000-0008-0000-0400-000018000000}"/>
            </a:ext>
          </a:extLst>
        </xdr:cNvPr>
        <xdr:cNvSpPr txBox="1"/>
      </xdr:nvSpPr>
      <xdr:spPr>
        <a:xfrm>
          <a:off x="63799219" y="19989691"/>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21,7%</a:t>
          </a:r>
        </a:p>
      </xdr:txBody>
    </xdr:sp>
    <xdr:clientData/>
  </xdr:twoCellAnchor>
  <xdr:twoCellAnchor>
    <xdr:from>
      <xdr:col>65</xdr:col>
      <xdr:colOff>524465</xdr:colOff>
      <xdr:row>102</xdr:row>
      <xdr:rowOff>111199</xdr:rowOff>
    </xdr:from>
    <xdr:to>
      <xdr:col>65</xdr:col>
      <xdr:colOff>1181671</xdr:colOff>
      <xdr:row>104</xdr:row>
      <xdr:rowOff>6444</xdr:rowOff>
    </xdr:to>
    <xdr:sp macro="" textlink="">
      <xdr:nvSpPr>
        <xdr:cNvPr id="26" name="CuadroTexto 81">
          <a:extLst>
            <a:ext uri="{FF2B5EF4-FFF2-40B4-BE49-F238E27FC236}">
              <a16:creationId xmlns:a16="http://schemas.microsoft.com/office/drawing/2014/main" id="{00000000-0008-0000-0400-00001A000000}"/>
            </a:ext>
          </a:extLst>
        </xdr:cNvPr>
        <xdr:cNvSpPr txBox="1"/>
      </xdr:nvSpPr>
      <xdr:spPr>
        <a:xfrm>
          <a:off x="61170140" y="1996129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48,5%</a:t>
          </a:r>
        </a:p>
      </xdr:txBody>
    </xdr:sp>
    <xdr:clientData/>
  </xdr:twoCellAnchor>
  <xdr:twoCellAnchor>
    <xdr:from>
      <xdr:col>65</xdr:col>
      <xdr:colOff>1181116</xdr:colOff>
      <xdr:row>103</xdr:row>
      <xdr:rowOff>148536</xdr:rowOff>
    </xdr:from>
    <xdr:to>
      <xdr:col>65</xdr:col>
      <xdr:colOff>1819266</xdr:colOff>
      <xdr:row>105</xdr:row>
      <xdr:rowOff>43751</xdr:rowOff>
    </xdr:to>
    <xdr:sp macro="" textlink="">
      <xdr:nvSpPr>
        <xdr:cNvPr id="27" name="CuadroTexto 82">
          <a:extLst>
            <a:ext uri="{FF2B5EF4-FFF2-40B4-BE49-F238E27FC236}">
              <a16:creationId xmlns:a16="http://schemas.microsoft.com/office/drawing/2014/main" id="{00000000-0008-0000-0400-00001B000000}"/>
            </a:ext>
          </a:extLst>
        </xdr:cNvPr>
        <xdr:cNvSpPr txBox="1"/>
      </xdr:nvSpPr>
      <xdr:spPr>
        <a:xfrm>
          <a:off x="61826791" y="20189136"/>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41,8%</a:t>
          </a:r>
        </a:p>
      </xdr:txBody>
    </xdr:sp>
    <xdr:clientData/>
  </xdr:twoCellAnchor>
  <xdr:twoCellAnchor>
    <xdr:from>
      <xdr:col>65</xdr:col>
      <xdr:colOff>1837919</xdr:colOff>
      <xdr:row>104</xdr:row>
      <xdr:rowOff>34808</xdr:rowOff>
    </xdr:from>
    <xdr:to>
      <xdr:col>65</xdr:col>
      <xdr:colOff>2409426</xdr:colOff>
      <xdr:row>105</xdr:row>
      <xdr:rowOff>120522</xdr:rowOff>
    </xdr:to>
    <xdr:sp macro="" textlink="">
      <xdr:nvSpPr>
        <xdr:cNvPr id="28" name="CuadroTexto 83">
          <a:extLst>
            <a:ext uri="{FF2B5EF4-FFF2-40B4-BE49-F238E27FC236}">
              <a16:creationId xmlns:a16="http://schemas.microsoft.com/office/drawing/2014/main" id="{00000000-0008-0000-0400-00001C000000}"/>
            </a:ext>
          </a:extLst>
        </xdr:cNvPr>
        <xdr:cNvSpPr txBox="1"/>
      </xdr:nvSpPr>
      <xdr:spPr>
        <a:xfrm>
          <a:off x="62483594" y="20265908"/>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41,8%</a:t>
          </a:r>
        </a:p>
      </xdr:txBody>
    </xdr:sp>
    <xdr:clientData/>
  </xdr:twoCellAnchor>
  <xdr:twoCellAnchor>
    <xdr:from>
      <xdr:col>65</xdr:col>
      <xdr:colOff>2495554</xdr:colOff>
      <xdr:row>104</xdr:row>
      <xdr:rowOff>34996</xdr:rowOff>
    </xdr:from>
    <xdr:to>
      <xdr:col>65</xdr:col>
      <xdr:colOff>3057516</xdr:colOff>
      <xdr:row>105</xdr:row>
      <xdr:rowOff>130253</xdr:rowOff>
    </xdr:to>
    <xdr:sp macro="" textlink="">
      <xdr:nvSpPr>
        <xdr:cNvPr id="29" name="CuadroTexto 84">
          <a:extLst>
            <a:ext uri="{FF2B5EF4-FFF2-40B4-BE49-F238E27FC236}">
              <a16:creationId xmlns:a16="http://schemas.microsoft.com/office/drawing/2014/main" id="{00000000-0008-0000-0400-00001D000000}"/>
            </a:ext>
          </a:extLst>
        </xdr:cNvPr>
        <xdr:cNvSpPr txBox="1"/>
      </xdr:nvSpPr>
      <xdr:spPr>
        <a:xfrm>
          <a:off x="63141229" y="20266096"/>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68,7%</a:t>
          </a:r>
        </a:p>
      </xdr:txBody>
    </xdr:sp>
    <xdr:clientData/>
  </xdr:twoCellAnchor>
  <xdr:twoCellAnchor>
    <xdr:from>
      <xdr:col>65</xdr:col>
      <xdr:colOff>3134687</xdr:colOff>
      <xdr:row>103</xdr:row>
      <xdr:rowOff>92549</xdr:rowOff>
    </xdr:from>
    <xdr:to>
      <xdr:col>65</xdr:col>
      <xdr:colOff>3696649</xdr:colOff>
      <xdr:row>104</xdr:row>
      <xdr:rowOff>187806</xdr:rowOff>
    </xdr:to>
    <xdr:sp macro="" textlink="">
      <xdr:nvSpPr>
        <xdr:cNvPr id="30" name="CuadroTexto 84">
          <a:extLst>
            <a:ext uri="{FF2B5EF4-FFF2-40B4-BE49-F238E27FC236}">
              <a16:creationId xmlns:a16="http://schemas.microsoft.com/office/drawing/2014/main" id="{00000000-0008-0000-0400-00001E000000}"/>
            </a:ext>
          </a:extLst>
        </xdr:cNvPr>
        <xdr:cNvSpPr txBox="1"/>
      </xdr:nvSpPr>
      <xdr:spPr>
        <a:xfrm>
          <a:off x="63780362" y="20133149"/>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78,3%</a:t>
          </a:r>
        </a:p>
      </xdr:txBody>
    </xdr:sp>
    <xdr:clientData/>
  </xdr:twoCellAnchor>
  <xdr:twoCellAnchor>
    <xdr:from>
      <xdr:col>65</xdr:col>
      <xdr:colOff>3753035</xdr:colOff>
      <xdr:row>101</xdr:row>
      <xdr:rowOff>170298</xdr:rowOff>
    </xdr:from>
    <xdr:to>
      <xdr:col>65</xdr:col>
      <xdr:colOff>4305300</xdr:colOff>
      <xdr:row>103</xdr:row>
      <xdr:rowOff>71168</xdr:rowOff>
    </xdr:to>
    <xdr:sp macro="" textlink="">
      <xdr:nvSpPr>
        <xdr:cNvPr id="31" name="CuadroTexto 84">
          <a:extLst>
            <a:ext uri="{FF2B5EF4-FFF2-40B4-BE49-F238E27FC236}">
              <a16:creationId xmlns:a16="http://schemas.microsoft.com/office/drawing/2014/main" id="{00000000-0008-0000-0400-00001F000000}"/>
            </a:ext>
          </a:extLst>
        </xdr:cNvPr>
        <xdr:cNvSpPr txBox="1"/>
      </xdr:nvSpPr>
      <xdr:spPr>
        <a:xfrm>
          <a:off x="64398710" y="19829898"/>
          <a:ext cx="552265" cy="281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1.070,9</a:t>
          </a:r>
        </a:p>
      </xdr:txBody>
    </xdr:sp>
    <xdr:clientData/>
  </xdr:twoCellAnchor>
  <xdr:twoCellAnchor>
    <xdr:from>
      <xdr:col>65</xdr:col>
      <xdr:colOff>3819516</xdr:colOff>
      <xdr:row>102</xdr:row>
      <xdr:rowOff>151249</xdr:rowOff>
    </xdr:from>
    <xdr:to>
      <xdr:col>65</xdr:col>
      <xdr:colOff>4381478</xdr:colOff>
      <xdr:row>104</xdr:row>
      <xdr:rowOff>52118</xdr:rowOff>
    </xdr:to>
    <xdr:sp macro="" textlink="">
      <xdr:nvSpPr>
        <xdr:cNvPr id="32" name="CuadroTexto 84">
          <a:extLst>
            <a:ext uri="{FF2B5EF4-FFF2-40B4-BE49-F238E27FC236}">
              <a16:creationId xmlns:a16="http://schemas.microsoft.com/office/drawing/2014/main" id="{00000000-0008-0000-0400-000020000000}"/>
            </a:ext>
          </a:extLst>
        </xdr:cNvPr>
        <xdr:cNvSpPr txBox="1"/>
      </xdr:nvSpPr>
      <xdr:spPr>
        <a:xfrm>
          <a:off x="64465191" y="20001349"/>
          <a:ext cx="561962" cy="281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24,1%</a:t>
          </a:r>
        </a:p>
      </xdr:txBody>
    </xdr:sp>
    <xdr:clientData/>
  </xdr:twoCellAnchor>
  <xdr:twoCellAnchor>
    <xdr:from>
      <xdr:col>65</xdr:col>
      <xdr:colOff>3819709</xdr:colOff>
      <xdr:row>103</xdr:row>
      <xdr:rowOff>147944</xdr:rowOff>
    </xdr:from>
    <xdr:to>
      <xdr:col>65</xdr:col>
      <xdr:colOff>4381671</xdr:colOff>
      <xdr:row>105</xdr:row>
      <xdr:rowOff>52701</xdr:rowOff>
    </xdr:to>
    <xdr:sp macro="" textlink="">
      <xdr:nvSpPr>
        <xdr:cNvPr id="33" name="CuadroTexto 84">
          <a:extLst>
            <a:ext uri="{FF2B5EF4-FFF2-40B4-BE49-F238E27FC236}">
              <a16:creationId xmlns:a16="http://schemas.microsoft.com/office/drawing/2014/main" id="{00000000-0008-0000-0400-000021000000}"/>
            </a:ext>
          </a:extLst>
        </xdr:cNvPr>
        <xdr:cNvSpPr txBox="1"/>
      </xdr:nvSpPr>
      <xdr:spPr>
        <a:xfrm>
          <a:off x="64465384" y="20188544"/>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75,9%</a:t>
          </a:r>
        </a:p>
      </xdr:txBody>
    </xdr:sp>
    <xdr:clientData/>
  </xdr:twoCellAnchor>
  <xdr:twoCellAnchor>
    <xdr:from>
      <xdr:col>65</xdr:col>
      <xdr:colOff>4400541</xdr:colOff>
      <xdr:row>101</xdr:row>
      <xdr:rowOff>179628</xdr:rowOff>
    </xdr:from>
    <xdr:to>
      <xdr:col>65</xdr:col>
      <xdr:colOff>4962525</xdr:colOff>
      <xdr:row>103</xdr:row>
      <xdr:rowOff>84386</xdr:rowOff>
    </xdr:to>
    <xdr:sp macro="" textlink="">
      <xdr:nvSpPr>
        <xdr:cNvPr id="34" name="CuadroTexto 84">
          <a:extLst>
            <a:ext uri="{FF2B5EF4-FFF2-40B4-BE49-F238E27FC236}">
              <a16:creationId xmlns:a16="http://schemas.microsoft.com/office/drawing/2014/main" id="{00000000-0008-0000-0400-000022000000}"/>
            </a:ext>
          </a:extLst>
        </xdr:cNvPr>
        <xdr:cNvSpPr txBox="1"/>
      </xdr:nvSpPr>
      <xdr:spPr>
        <a:xfrm>
          <a:off x="65046216" y="19839228"/>
          <a:ext cx="561984" cy="28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934,8</a:t>
          </a:r>
        </a:p>
      </xdr:txBody>
    </xdr:sp>
    <xdr:clientData/>
  </xdr:twoCellAnchor>
  <xdr:twoCellAnchor>
    <xdr:from>
      <xdr:col>65</xdr:col>
      <xdr:colOff>4447971</xdr:colOff>
      <xdr:row>102</xdr:row>
      <xdr:rowOff>160385</xdr:rowOff>
    </xdr:from>
    <xdr:to>
      <xdr:col>65</xdr:col>
      <xdr:colOff>5009933</xdr:colOff>
      <xdr:row>104</xdr:row>
      <xdr:rowOff>65142</xdr:rowOff>
    </xdr:to>
    <xdr:sp macro="" textlink="">
      <xdr:nvSpPr>
        <xdr:cNvPr id="35" name="CuadroTexto 84">
          <a:extLst>
            <a:ext uri="{FF2B5EF4-FFF2-40B4-BE49-F238E27FC236}">
              <a16:creationId xmlns:a16="http://schemas.microsoft.com/office/drawing/2014/main" id="{00000000-0008-0000-0400-000023000000}"/>
            </a:ext>
          </a:extLst>
        </xdr:cNvPr>
        <xdr:cNvSpPr txBox="1"/>
      </xdr:nvSpPr>
      <xdr:spPr>
        <a:xfrm>
          <a:off x="65093646" y="2001048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13,0%</a:t>
          </a:r>
        </a:p>
      </xdr:txBody>
    </xdr:sp>
    <xdr:clientData/>
  </xdr:twoCellAnchor>
  <xdr:twoCellAnchor>
    <xdr:from>
      <xdr:col>65</xdr:col>
      <xdr:colOff>4448360</xdr:colOff>
      <xdr:row>103</xdr:row>
      <xdr:rowOff>147750</xdr:rowOff>
    </xdr:from>
    <xdr:to>
      <xdr:col>65</xdr:col>
      <xdr:colOff>5010322</xdr:colOff>
      <xdr:row>105</xdr:row>
      <xdr:rowOff>52507</xdr:rowOff>
    </xdr:to>
    <xdr:sp macro="" textlink="">
      <xdr:nvSpPr>
        <xdr:cNvPr id="36" name="CuadroTexto 84">
          <a:extLst>
            <a:ext uri="{FF2B5EF4-FFF2-40B4-BE49-F238E27FC236}">
              <a16:creationId xmlns:a16="http://schemas.microsoft.com/office/drawing/2014/main" id="{00000000-0008-0000-0400-000024000000}"/>
            </a:ext>
          </a:extLst>
        </xdr:cNvPr>
        <xdr:cNvSpPr txBox="1"/>
      </xdr:nvSpPr>
      <xdr:spPr>
        <a:xfrm>
          <a:off x="65094035" y="2018835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87,0%</a:t>
          </a:r>
        </a:p>
      </xdr:txBody>
    </xdr:sp>
    <xdr:clientData/>
  </xdr:twoCellAnchor>
  <xdr:twoCellAnchor>
    <xdr:from>
      <xdr:col>65</xdr:col>
      <xdr:colOff>5133188</xdr:colOff>
      <xdr:row>102</xdr:row>
      <xdr:rowOff>27423</xdr:rowOff>
    </xdr:from>
    <xdr:to>
      <xdr:col>65</xdr:col>
      <xdr:colOff>5590385</xdr:colOff>
      <xdr:row>103</xdr:row>
      <xdr:rowOff>118793</xdr:rowOff>
    </xdr:to>
    <xdr:sp macro="" textlink="">
      <xdr:nvSpPr>
        <xdr:cNvPr id="37" name="CuadroTexto 84">
          <a:extLst>
            <a:ext uri="{FF2B5EF4-FFF2-40B4-BE49-F238E27FC236}">
              <a16:creationId xmlns:a16="http://schemas.microsoft.com/office/drawing/2014/main" id="{00000000-0008-0000-0400-000025000000}"/>
            </a:ext>
          </a:extLst>
        </xdr:cNvPr>
        <xdr:cNvSpPr txBox="1"/>
      </xdr:nvSpPr>
      <xdr:spPr>
        <a:xfrm>
          <a:off x="65778863" y="19877523"/>
          <a:ext cx="457197" cy="281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628,6</a:t>
          </a:r>
        </a:p>
      </xdr:txBody>
    </xdr:sp>
    <xdr:clientData/>
  </xdr:twoCellAnchor>
  <xdr:twoCellAnchor>
    <xdr:from>
      <xdr:col>65</xdr:col>
      <xdr:colOff>5133188</xdr:colOff>
      <xdr:row>102</xdr:row>
      <xdr:rowOff>179630</xdr:rowOff>
    </xdr:from>
    <xdr:to>
      <xdr:col>65</xdr:col>
      <xdr:colOff>5695150</xdr:colOff>
      <xdr:row>104</xdr:row>
      <xdr:rowOff>80499</xdr:rowOff>
    </xdr:to>
    <xdr:sp macro="" textlink="">
      <xdr:nvSpPr>
        <xdr:cNvPr id="38" name="CuadroTexto 84">
          <a:extLst>
            <a:ext uri="{FF2B5EF4-FFF2-40B4-BE49-F238E27FC236}">
              <a16:creationId xmlns:a16="http://schemas.microsoft.com/office/drawing/2014/main" id="{00000000-0008-0000-0400-000026000000}"/>
            </a:ext>
          </a:extLst>
        </xdr:cNvPr>
        <xdr:cNvSpPr txBox="1"/>
      </xdr:nvSpPr>
      <xdr:spPr>
        <a:xfrm>
          <a:off x="65778863" y="20029730"/>
          <a:ext cx="561962" cy="281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3,0%</a:t>
          </a:r>
        </a:p>
      </xdr:txBody>
    </xdr:sp>
    <xdr:clientData/>
  </xdr:twoCellAnchor>
  <xdr:twoCellAnchor>
    <xdr:from>
      <xdr:col>65</xdr:col>
      <xdr:colOff>5095671</xdr:colOff>
      <xdr:row>103</xdr:row>
      <xdr:rowOff>160968</xdr:rowOff>
    </xdr:from>
    <xdr:to>
      <xdr:col>65</xdr:col>
      <xdr:colOff>5657633</xdr:colOff>
      <xdr:row>105</xdr:row>
      <xdr:rowOff>61837</xdr:rowOff>
    </xdr:to>
    <xdr:sp macro="" textlink="">
      <xdr:nvSpPr>
        <xdr:cNvPr id="39" name="CuadroTexto 84">
          <a:extLst>
            <a:ext uri="{FF2B5EF4-FFF2-40B4-BE49-F238E27FC236}">
              <a16:creationId xmlns:a16="http://schemas.microsoft.com/office/drawing/2014/main" id="{00000000-0008-0000-0400-000027000000}"/>
            </a:ext>
          </a:extLst>
        </xdr:cNvPr>
        <xdr:cNvSpPr txBox="1"/>
      </xdr:nvSpPr>
      <xdr:spPr>
        <a:xfrm>
          <a:off x="65741346" y="20201568"/>
          <a:ext cx="561962" cy="281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97,0%</a:t>
          </a:r>
        </a:p>
      </xdr:txBody>
    </xdr:sp>
    <xdr:clientData/>
  </xdr:twoCellAnchor>
  <xdr:twoCellAnchor>
    <xdr:from>
      <xdr:col>65</xdr:col>
      <xdr:colOff>533020</xdr:colOff>
      <xdr:row>115</xdr:row>
      <xdr:rowOff>66675</xdr:rowOff>
    </xdr:from>
    <xdr:to>
      <xdr:col>65</xdr:col>
      <xdr:colOff>1190226</xdr:colOff>
      <xdr:row>116</xdr:row>
      <xdr:rowOff>152420</xdr:rowOff>
    </xdr:to>
    <xdr:sp macro="" textlink="">
      <xdr:nvSpPr>
        <xdr:cNvPr id="41" name="CuadroTexto 81">
          <a:extLst>
            <a:ext uri="{FF2B5EF4-FFF2-40B4-BE49-F238E27FC236}">
              <a16:creationId xmlns:a16="http://schemas.microsoft.com/office/drawing/2014/main" id="{00000000-0008-0000-0400-000029000000}"/>
            </a:ext>
          </a:extLst>
        </xdr:cNvPr>
        <xdr:cNvSpPr txBox="1"/>
      </xdr:nvSpPr>
      <xdr:spPr>
        <a:xfrm>
          <a:off x="61178695" y="22393275"/>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131,3</a:t>
          </a:r>
        </a:p>
      </xdr:txBody>
    </xdr:sp>
    <xdr:clientData/>
  </xdr:twoCellAnchor>
  <xdr:twoCellAnchor>
    <xdr:from>
      <xdr:col>65</xdr:col>
      <xdr:colOff>1171591</xdr:colOff>
      <xdr:row>115</xdr:row>
      <xdr:rowOff>67467</xdr:rowOff>
    </xdr:from>
    <xdr:to>
      <xdr:col>65</xdr:col>
      <xdr:colOff>1809741</xdr:colOff>
      <xdr:row>116</xdr:row>
      <xdr:rowOff>153182</xdr:rowOff>
    </xdr:to>
    <xdr:sp macro="" textlink="">
      <xdr:nvSpPr>
        <xdr:cNvPr id="42" name="CuadroTexto 82">
          <a:extLst>
            <a:ext uri="{FF2B5EF4-FFF2-40B4-BE49-F238E27FC236}">
              <a16:creationId xmlns:a16="http://schemas.microsoft.com/office/drawing/2014/main" id="{00000000-0008-0000-0400-00002A000000}"/>
            </a:ext>
          </a:extLst>
        </xdr:cNvPr>
        <xdr:cNvSpPr txBox="1"/>
      </xdr:nvSpPr>
      <xdr:spPr>
        <a:xfrm>
          <a:off x="61817266" y="22394067"/>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132,1</a:t>
          </a:r>
        </a:p>
      </xdr:txBody>
    </xdr:sp>
    <xdr:clientData/>
  </xdr:twoCellAnchor>
  <xdr:twoCellAnchor>
    <xdr:from>
      <xdr:col>65</xdr:col>
      <xdr:colOff>1838698</xdr:colOff>
      <xdr:row>115</xdr:row>
      <xdr:rowOff>133355</xdr:rowOff>
    </xdr:from>
    <xdr:to>
      <xdr:col>65</xdr:col>
      <xdr:colOff>2400689</xdr:colOff>
      <xdr:row>117</xdr:row>
      <xdr:rowOff>28569</xdr:rowOff>
    </xdr:to>
    <xdr:sp macro="" textlink="">
      <xdr:nvSpPr>
        <xdr:cNvPr id="43" name="CuadroTexto 83">
          <a:extLst>
            <a:ext uri="{FF2B5EF4-FFF2-40B4-BE49-F238E27FC236}">
              <a16:creationId xmlns:a16="http://schemas.microsoft.com/office/drawing/2014/main" id="{00000000-0008-0000-0400-00002B000000}"/>
            </a:ext>
          </a:extLst>
        </xdr:cNvPr>
        <xdr:cNvSpPr txBox="1"/>
      </xdr:nvSpPr>
      <xdr:spPr>
        <a:xfrm>
          <a:off x="62484373" y="22459955"/>
          <a:ext cx="561991"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125,9</a:t>
          </a:r>
        </a:p>
      </xdr:txBody>
    </xdr:sp>
    <xdr:clientData/>
  </xdr:twoCellAnchor>
  <xdr:twoCellAnchor>
    <xdr:from>
      <xdr:col>65</xdr:col>
      <xdr:colOff>2466979</xdr:colOff>
      <xdr:row>116</xdr:row>
      <xdr:rowOff>48402</xdr:rowOff>
    </xdr:from>
    <xdr:to>
      <xdr:col>65</xdr:col>
      <xdr:colOff>3009900</xdr:colOff>
      <xdr:row>117</xdr:row>
      <xdr:rowOff>143659</xdr:rowOff>
    </xdr:to>
    <xdr:sp macro="" textlink="">
      <xdr:nvSpPr>
        <xdr:cNvPr id="44" name="CuadroTexto 84">
          <a:extLst>
            <a:ext uri="{FF2B5EF4-FFF2-40B4-BE49-F238E27FC236}">
              <a16:creationId xmlns:a16="http://schemas.microsoft.com/office/drawing/2014/main" id="{00000000-0008-0000-0400-00002C000000}"/>
            </a:ext>
          </a:extLst>
        </xdr:cNvPr>
        <xdr:cNvSpPr txBox="1"/>
      </xdr:nvSpPr>
      <xdr:spPr>
        <a:xfrm>
          <a:off x="63112654" y="22565502"/>
          <a:ext cx="542921"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113,9</a:t>
          </a:r>
        </a:p>
      </xdr:txBody>
    </xdr:sp>
    <xdr:clientData/>
  </xdr:twoCellAnchor>
  <xdr:twoCellAnchor>
    <xdr:from>
      <xdr:col>65</xdr:col>
      <xdr:colOff>3133717</xdr:colOff>
      <xdr:row>116</xdr:row>
      <xdr:rowOff>76414</xdr:rowOff>
    </xdr:from>
    <xdr:to>
      <xdr:col>65</xdr:col>
      <xdr:colOff>3676651</xdr:colOff>
      <xdr:row>117</xdr:row>
      <xdr:rowOff>175558</xdr:rowOff>
    </xdr:to>
    <xdr:sp macro="" textlink="">
      <xdr:nvSpPr>
        <xdr:cNvPr id="45" name="CuadroTexto 84">
          <a:extLst>
            <a:ext uri="{FF2B5EF4-FFF2-40B4-BE49-F238E27FC236}">
              <a16:creationId xmlns:a16="http://schemas.microsoft.com/office/drawing/2014/main" id="{00000000-0008-0000-0400-00002D000000}"/>
            </a:ext>
          </a:extLst>
        </xdr:cNvPr>
        <xdr:cNvSpPr txBox="1"/>
      </xdr:nvSpPr>
      <xdr:spPr>
        <a:xfrm>
          <a:off x="63779392" y="22593514"/>
          <a:ext cx="542934" cy="289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107,3</a:t>
          </a:r>
        </a:p>
      </xdr:txBody>
    </xdr:sp>
    <xdr:clientData/>
  </xdr:twoCellAnchor>
  <xdr:twoCellAnchor>
    <xdr:from>
      <xdr:col>65</xdr:col>
      <xdr:colOff>495308</xdr:colOff>
      <xdr:row>117</xdr:row>
      <xdr:rowOff>36451</xdr:rowOff>
    </xdr:from>
    <xdr:to>
      <xdr:col>65</xdr:col>
      <xdr:colOff>1152514</xdr:colOff>
      <xdr:row>118</xdr:row>
      <xdr:rowOff>122196</xdr:rowOff>
    </xdr:to>
    <xdr:sp macro="" textlink="">
      <xdr:nvSpPr>
        <xdr:cNvPr id="47" name="CuadroTexto 81">
          <a:extLst>
            <a:ext uri="{FF2B5EF4-FFF2-40B4-BE49-F238E27FC236}">
              <a16:creationId xmlns:a16="http://schemas.microsoft.com/office/drawing/2014/main" id="{00000000-0008-0000-0400-00002F000000}"/>
            </a:ext>
          </a:extLst>
        </xdr:cNvPr>
        <xdr:cNvSpPr txBox="1"/>
      </xdr:nvSpPr>
      <xdr:spPr>
        <a:xfrm>
          <a:off x="61421690" y="22750775"/>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26,6%</a:t>
          </a:r>
        </a:p>
      </xdr:txBody>
    </xdr:sp>
    <xdr:clientData/>
  </xdr:twoCellAnchor>
  <xdr:twoCellAnchor>
    <xdr:from>
      <xdr:col>65</xdr:col>
      <xdr:colOff>1142628</xdr:colOff>
      <xdr:row>117</xdr:row>
      <xdr:rowOff>23191</xdr:rowOff>
    </xdr:from>
    <xdr:to>
      <xdr:col>65</xdr:col>
      <xdr:colOff>1780778</xdr:colOff>
      <xdr:row>118</xdr:row>
      <xdr:rowOff>112793</xdr:rowOff>
    </xdr:to>
    <xdr:sp macro="" textlink="">
      <xdr:nvSpPr>
        <xdr:cNvPr id="48" name="CuadroTexto 82">
          <a:extLst>
            <a:ext uri="{FF2B5EF4-FFF2-40B4-BE49-F238E27FC236}">
              <a16:creationId xmlns:a16="http://schemas.microsoft.com/office/drawing/2014/main" id="{00000000-0008-0000-0400-000030000000}"/>
            </a:ext>
          </a:extLst>
        </xdr:cNvPr>
        <xdr:cNvSpPr txBox="1"/>
      </xdr:nvSpPr>
      <xdr:spPr>
        <a:xfrm>
          <a:off x="62069010" y="22737515"/>
          <a:ext cx="638150" cy="280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27,3%</a:t>
          </a:r>
        </a:p>
      </xdr:txBody>
    </xdr:sp>
    <xdr:clientData/>
  </xdr:twoCellAnchor>
  <xdr:twoCellAnchor>
    <xdr:from>
      <xdr:col>65</xdr:col>
      <xdr:colOff>1818869</xdr:colOff>
      <xdr:row>117</xdr:row>
      <xdr:rowOff>50851</xdr:rowOff>
    </xdr:from>
    <xdr:to>
      <xdr:col>65</xdr:col>
      <xdr:colOff>2390376</xdr:colOff>
      <xdr:row>118</xdr:row>
      <xdr:rowOff>136565</xdr:rowOff>
    </xdr:to>
    <xdr:sp macro="" textlink="">
      <xdr:nvSpPr>
        <xdr:cNvPr id="49" name="CuadroTexto 83">
          <a:extLst>
            <a:ext uri="{FF2B5EF4-FFF2-40B4-BE49-F238E27FC236}">
              <a16:creationId xmlns:a16="http://schemas.microsoft.com/office/drawing/2014/main" id="{00000000-0008-0000-0400-000031000000}"/>
            </a:ext>
          </a:extLst>
        </xdr:cNvPr>
        <xdr:cNvSpPr txBox="1"/>
      </xdr:nvSpPr>
      <xdr:spPr>
        <a:xfrm>
          <a:off x="62745251" y="22765175"/>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23,0%</a:t>
          </a:r>
        </a:p>
      </xdr:txBody>
    </xdr:sp>
    <xdr:clientData/>
  </xdr:twoCellAnchor>
  <xdr:twoCellAnchor>
    <xdr:from>
      <xdr:col>65</xdr:col>
      <xdr:colOff>2457067</xdr:colOff>
      <xdr:row>117</xdr:row>
      <xdr:rowOff>128144</xdr:rowOff>
    </xdr:from>
    <xdr:to>
      <xdr:col>65</xdr:col>
      <xdr:colOff>3019029</xdr:colOff>
      <xdr:row>119</xdr:row>
      <xdr:rowOff>32901</xdr:rowOff>
    </xdr:to>
    <xdr:sp macro="" textlink="">
      <xdr:nvSpPr>
        <xdr:cNvPr id="50" name="CuadroTexto 84">
          <a:extLst>
            <a:ext uri="{FF2B5EF4-FFF2-40B4-BE49-F238E27FC236}">
              <a16:creationId xmlns:a16="http://schemas.microsoft.com/office/drawing/2014/main" id="{00000000-0008-0000-0400-000032000000}"/>
            </a:ext>
          </a:extLst>
        </xdr:cNvPr>
        <xdr:cNvSpPr txBox="1"/>
      </xdr:nvSpPr>
      <xdr:spPr>
        <a:xfrm>
          <a:off x="63383449" y="22842468"/>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19,0%</a:t>
          </a:r>
        </a:p>
      </xdr:txBody>
    </xdr:sp>
    <xdr:clientData/>
  </xdr:twoCellAnchor>
  <xdr:twoCellAnchor>
    <xdr:from>
      <xdr:col>65</xdr:col>
      <xdr:colOff>3137079</xdr:colOff>
      <xdr:row>117</xdr:row>
      <xdr:rowOff>156926</xdr:rowOff>
    </xdr:from>
    <xdr:to>
      <xdr:col>65</xdr:col>
      <xdr:colOff>3699041</xdr:colOff>
      <xdr:row>119</xdr:row>
      <xdr:rowOff>61683</xdr:rowOff>
    </xdr:to>
    <xdr:sp macro="" textlink="">
      <xdr:nvSpPr>
        <xdr:cNvPr id="51" name="CuadroTexto 84">
          <a:extLst>
            <a:ext uri="{FF2B5EF4-FFF2-40B4-BE49-F238E27FC236}">
              <a16:creationId xmlns:a16="http://schemas.microsoft.com/office/drawing/2014/main" id="{00000000-0008-0000-0400-000033000000}"/>
            </a:ext>
          </a:extLst>
        </xdr:cNvPr>
        <xdr:cNvSpPr txBox="1"/>
      </xdr:nvSpPr>
      <xdr:spPr>
        <a:xfrm>
          <a:off x="64063461" y="2287125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14,0%</a:t>
          </a:r>
        </a:p>
      </xdr:txBody>
    </xdr:sp>
    <xdr:clientData/>
  </xdr:twoCellAnchor>
  <xdr:twoCellAnchor>
    <xdr:from>
      <xdr:col>65</xdr:col>
      <xdr:colOff>475287</xdr:colOff>
      <xdr:row>119</xdr:row>
      <xdr:rowOff>56381</xdr:rowOff>
    </xdr:from>
    <xdr:to>
      <xdr:col>65</xdr:col>
      <xdr:colOff>1132493</xdr:colOff>
      <xdr:row>120</xdr:row>
      <xdr:rowOff>146014</xdr:rowOff>
    </xdr:to>
    <xdr:sp macro="" textlink="">
      <xdr:nvSpPr>
        <xdr:cNvPr id="53" name="CuadroTexto 81">
          <a:extLst>
            <a:ext uri="{FF2B5EF4-FFF2-40B4-BE49-F238E27FC236}">
              <a16:creationId xmlns:a16="http://schemas.microsoft.com/office/drawing/2014/main" id="{00000000-0008-0000-0400-000035000000}"/>
            </a:ext>
          </a:extLst>
        </xdr:cNvPr>
        <xdr:cNvSpPr txBox="1"/>
      </xdr:nvSpPr>
      <xdr:spPr>
        <a:xfrm>
          <a:off x="61120962" y="23144981"/>
          <a:ext cx="657206" cy="280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73,4%</a:t>
          </a:r>
        </a:p>
      </xdr:txBody>
    </xdr:sp>
    <xdr:clientData/>
  </xdr:twoCellAnchor>
  <xdr:twoCellAnchor>
    <xdr:from>
      <xdr:col>65</xdr:col>
      <xdr:colOff>1152347</xdr:colOff>
      <xdr:row>119</xdr:row>
      <xdr:rowOff>66505</xdr:rowOff>
    </xdr:from>
    <xdr:to>
      <xdr:col>65</xdr:col>
      <xdr:colOff>1790497</xdr:colOff>
      <xdr:row>120</xdr:row>
      <xdr:rowOff>152220</xdr:rowOff>
    </xdr:to>
    <xdr:sp macro="" textlink="">
      <xdr:nvSpPr>
        <xdr:cNvPr id="54" name="CuadroTexto 82">
          <a:extLst>
            <a:ext uri="{FF2B5EF4-FFF2-40B4-BE49-F238E27FC236}">
              <a16:creationId xmlns:a16="http://schemas.microsoft.com/office/drawing/2014/main" id="{00000000-0008-0000-0400-000036000000}"/>
            </a:ext>
          </a:extLst>
        </xdr:cNvPr>
        <xdr:cNvSpPr txBox="1"/>
      </xdr:nvSpPr>
      <xdr:spPr>
        <a:xfrm>
          <a:off x="61798022" y="23155105"/>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72,7%</a:t>
          </a:r>
        </a:p>
      </xdr:txBody>
    </xdr:sp>
    <xdr:clientData/>
  </xdr:twoCellAnchor>
  <xdr:twoCellAnchor>
    <xdr:from>
      <xdr:col>65</xdr:col>
      <xdr:colOff>1809734</xdr:colOff>
      <xdr:row>119</xdr:row>
      <xdr:rowOff>66105</xdr:rowOff>
    </xdr:from>
    <xdr:to>
      <xdr:col>65</xdr:col>
      <xdr:colOff>2381241</xdr:colOff>
      <xdr:row>120</xdr:row>
      <xdr:rowOff>155707</xdr:rowOff>
    </xdr:to>
    <xdr:sp macro="" textlink="">
      <xdr:nvSpPr>
        <xdr:cNvPr id="55" name="CuadroTexto 83">
          <a:extLst>
            <a:ext uri="{FF2B5EF4-FFF2-40B4-BE49-F238E27FC236}">
              <a16:creationId xmlns:a16="http://schemas.microsoft.com/office/drawing/2014/main" id="{00000000-0008-0000-0400-000037000000}"/>
            </a:ext>
          </a:extLst>
        </xdr:cNvPr>
        <xdr:cNvSpPr txBox="1"/>
      </xdr:nvSpPr>
      <xdr:spPr>
        <a:xfrm>
          <a:off x="62455409" y="23154705"/>
          <a:ext cx="571507" cy="280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77,0%</a:t>
          </a:r>
        </a:p>
      </xdr:txBody>
    </xdr:sp>
    <xdr:clientData/>
  </xdr:twoCellAnchor>
  <xdr:twoCellAnchor>
    <xdr:from>
      <xdr:col>65</xdr:col>
      <xdr:colOff>2438210</xdr:colOff>
      <xdr:row>119</xdr:row>
      <xdr:rowOff>66100</xdr:rowOff>
    </xdr:from>
    <xdr:to>
      <xdr:col>65</xdr:col>
      <xdr:colOff>3000172</xdr:colOff>
      <xdr:row>120</xdr:row>
      <xdr:rowOff>161357</xdr:rowOff>
    </xdr:to>
    <xdr:sp macro="" textlink="">
      <xdr:nvSpPr>
        <xdr:cNvPr id="56" name="CuadroTexto 84">
          <a:extLst>
            <a:ext uri="{FF2B5EF4-FFF2-40B4-BE49-F238E27FC236}">
              <a16:creationId xmlns:a16="http://schemas.microsoft.com/office/drawing/2014/main" id="{00000000-0008-0000-0400-000038000000}"/>
            </a:ext>
          </a:extLst>
        </xdr:cNvPr>
        <xdr:cNvSpPr txBox="1"/>
      </xdr:nvSpPr>
      <xdr:spPr>
        <a:xfrm>
          <a:off x="63083885" y="2315470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81,0%</a:t>
          </a:r>
        </a:p>
      </xdr:txBody>
    </xdr:sp>
    <xdr:clientData/>
  </xdr:twoCellAnchor>
  <xdr:twoCellAnchor>
    <xdr:from>
      <xdr:col>65</xdr:col>
      <xdr:colOff>3114665</xdr:colOff>
      <xdr:row>119</xdr:row>
      <xdr:rowOff>75637</xdr:rowOff>
    </xdr:from>
    <xdr:to>
      <xdr:col>65</xdr:col>
      <xdr:colOff>3676627</xdr:colOff>
      <xdr:row>120</xdr:row>
      <xdr:rowOff>170894</xdr:rowOff>
    </xdr:to>
    <xdr:sp macro="" textlink="">
      <xdr:nvSpPr>
        <xdr:cNvPr id="57" name="CuadroTexto 84">
          <a:extLst>
            <a:ext uri="{FF2B5EF4-FFF2-40B4-BE49-F238E27FC236}">
              <a16:creationId xmlns:a16="http://schemas.microsoft.com/office/drawing/2014/main" id="{00000000-0008-0000-0400-000039000000}"/>
            </a:ext>
          </a:extLst>
        </xdr:cNvPr>
        <xdr:cNvSpPr txBox="1"/>
      </xdr:nvSpPr>
      <xdr:spPr>
        <a:xfrm>
          <a:off x="63760340" y="23164237"/>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86,0%</a:t>
          </a:r>
        </a:p>
      </xdr:txBody>
    </xdr:sp>
    <xdr:clientData/>
  </xdr:twoCellAnchor>
  <xdr:twoCellAnchor>
    <xdr:from>
      <xdr:col>65</xdr:col>
      <xdr:colOff>3772086</xdr:colOff>
      <xdr:row>116</xdr:row>
      <xdr:rowOff>142696</xdr:rowOff>
    </xdr:from>
    <xdr:to>
      <xdr:col>65</xdr:col>
      <xdr:colOff>4267395</xdr:colOff>
      <xdr:row>118</xdr:row>
      <xdr:rowOff>47453</xdr:rowOff>
    </xdr:to>
    <xdr:sp macro="" textlink="">
      <xdr:nvSpPr>
        <xdr:cNvPr id="58" name="CuadroTexto 84">
          <a:extLst>
            <a:ext uri="{FF2B5EF4-FFF2-40B4-BE49-F238E27FC236}">
              <a16:creationId xmlns:a16="http://schemas.microsoft.com/office/drawing/2014/main" id="{00000000-0008-0000-0400-00003A000000}"/>
            </a:ext>
          </a:extLst>
        </xdr:cNvPr>
        <xdr:cNvSpPr txBox="1"/>
      </xdr:nvSpPr>
      <xdr:spPr>
        <a:xfrm>
          <a:off x="64417761" y="22659796"/>
          <a:ext cx="495309"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102,0</a:t>
          </a:r>
        </a:p>
      </xdr:txBody>
    </xdr:sp>
    <xdr:clientData/>
  </xdr:twoCellAnchor>
  <xdr:twoCellAnchor>
    <xdr:from>
      <xdr:col>65</xdr:col>
      <xdr:colOff>3778958</xdr:colOff>
      <xdr:row>118</xdr:row>
      <xdr:rowOff>27127</xdr:rowOff>
    </xdr:from>
    <xdr:to>
      <xdr:col>65</xdr:col>
      <xdr:colOff>4340920</xdr:colOff>
      <xdr:row>119</xdr:row>
      <xdr:rowOff>112058</xdr:rowOff>
    </xdr:to>
    <xdr:sp macro="" textlink="">
      <xdr:nvSpPr>
        <xdr:cNvPr id="59" name="CuadroTexto 84">
          <a:extLst>
            <a:ext uri="{FF2B5EF4-FFF2-40B4-BE49-F238E27FC236}">
              <a16:creationId xmlns:a16="http://schemas.microsoft.com/office/drawing/2014/main" id="{00000000-0008-0000-0400-00003B000000}"/>
            </a:ext>
          </a:extLst>
        </xdr:cNvPr>
        <xdr:cNvSpPr txBox="1"/>
      </xdr:nvSpPr>
      <xdr:spPr>
        <a:xfrm>
          <a:off x="64705340" y="22931951"/>
          <a:ext cx="561962" cy="2754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9,5%</a:t>
          </a:r>
        </a:p>
      </xdr:txBody>
    </xdr:sp>
    <xdr:clientData/>
  </xdr:twoCellAnchor>
  <xdr:twoCellAnchor>
    <xdr:from>
      <xdr:col>65</xdr:col>
      <xdr:colOff>3753230</xdr:colOff>
      <xdr:row>119</xdr:row>
      <xdr:rowOff>104790</xdr:rowOff>
    </xdr:from>
    <xdr:to>
      <xdr:col>65</xdr:col>
      <xdr:colOff>4315192</xdr:colOff>
      <xdr:row>121</xdr:row>
      <xdr:rowOff>9547</xdr:rowOff>
    </xdr:to>
    <xdr:sp macro="" textlink="">
      <xdr:nvSpPr>
        <xdr:cNvPr id="60" name="CuadroTexto 84">
          <a:extLst>
            <a:ext uri="{FF2B5EF4-FFF2-40B4-BE49-F238E27FC236}">
              <a16:creationId xmlns:a16="http://schemas.microsoft.com/office/drawing/2014/main" id="{00000000-0008-0000-0400-00003C000000}"/>
            </a:ext>
          </a:extLst>
        </xdr:cNvPr>
        <xdr:cNvSpPr txBox="1"/>
      </xdr:nvSpPr>
      <xdr:spPr>
        <a:xfrm>
          <a:off x="64398905" y="2319339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90,5%</a:t>
          </a:r>
        </a:p>
      </xdr:txBody>
    </xdr:sp>
    <xdr:clientData/>
  </xdr:twoCellAnchor>
  <xdr:twoCellAnchor>
    <xdr:from>
      <xdr:col>65</xdr:col>
      <xdr:colOff>4457303</xdr:colOff>
      <xdr:row>118</xdr:row>
      <xdr:rowOff>22370</xdr:rowOff>
    </xdr:from>
    <xdr:to>
      <xdr:col>65</xdr:col>
      <xdr:colOff>4914500</xdr:colOff>
      <xdr:row>119</xdr:row>
      <xdr:rowOff>113739</xdr:rowOff>
    </xdr:to>
    <xdr:sp macro="" textlink="">
      <xdr:nvSpPr>
        <xdr:cNvPr id="61" name="CuadroTexto 84">
          <a:extLst>
            <a:ext uri="{FF2B5EF4-FFF2-40B4-BE49-F238E27FC236}">
              <a16:creationId xmlns:a16="http://schemas.microsoft.com/office/drawing/2014/main" id="{00000000-0008-0000-0400-00003D000000}"/>
            </a:ext>
          </a:extLst>
        </xdr:cNvPr>
        <xdr:cNvSpPr txBox="1"/>
      </xdr:nvSpPr>
      <xdr:spPr>
        <a:xfrm>
          <a:off x="65102978" y="22920470"/>
          <a:ext cx="457197" cy="281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57,1</a:t>
          </a:r>
        </a:p>
      </xdr:txBody>
    </xdr:sp>
    <xdr:clientData/>
  </xdr:twoCellAnchor>
  <xdr:twoCellAnchor>
    <xdr:from>
      <xdr:col>65</xdr:col>
      <xdr:colOff>4447973</xdr:colOff>
      <xdr:row>118</xdr:row>
      <xdr:rowOff>171271</xdr:rowOff>
    </xdr:from>
    <xdr:to>
      <xdr:col>65</xdr:col>
      <xdr:colOff>5009935</xdr:colOff>
      <xdr:row>120</xdr:row>
      <xdr:rowOff>76028</xdr:rowOff>
    </xdr:to>
    <xdr:sp macro="" textlink="">
      <xdr:nvSpPr>
        <xdr:cNvPr id="62" name="CuadroTexto 84">
          <a:extLst>
            <a:ext uri="{FF2B5EF4-FFF2-40B4-BE49-F238E27FC236}">
              <a16:creationId xmlns:a16="http://schemas.microsoft.com/office/drawing/2014/main" id="{00000000-0008-0000-0400-00003E000000}"/>
            </a:ext>
          </a:extLst>
        </xdr:cNvPr>
        <xdr:cNvSpPr txBox="1"/>
      </xdr:nvSpPr>
      <xdr:spPr>
        <a:xfrm>
          <a:off x="65093648" y="23069371"/>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8,2%</a:t>
          </a:r>
        </a:p>
      </xdr:txBody>
    </xdr:sp>
    <xdr:clientData/>
  </xdr:twoCellAnchor>
  <xdr:twoCellAnchor>
    <xdr:from>
      <xdr:col>65</xdr:col>
      <xdr:colOff>4419008</xdr:colOff>
      <xdr:row>120</xdr:row>
      <xdr:rowOff>152998</xdr:rowOff>
    </xdr:from>
    <xdr:to>
      <xdr:col>65</xdr:col>
      <xdr:colOff>4980970</xdr:colOff>
      <xdr:row>122</xdr:row>
      <xdr:rowOff>57755</xdr:rowOff>
    </xdr:to>
    <xdr:sp macro="" textlink="">
      <xdr:nvSpPr>
        <xdr:cNvPr id="63" name="CuadroTexto 84">
          <a:extLst>
            <a:ext uri="{FF2B5EF4-FFF2-40B4-BE49-F238E27FC236}">
              <a16:creationId xmlns:a16="http://schemas.microsoft.com/office/drawing/2014/main" id="{00000000-0008-0000-0400-00003F000000}"/>
            </a:ext>
          </a:extLst>
        </xdr:cNvPr>
        <xdr:cNvSpPr txBox="1"/>
      </xdr:nvSpPr>
      <xdr:spPr>
        <a:xfrm>
          <a:off x="65064683" y="23432098"/>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91,8%</a:t>
          </a:r>
        </a:p>
      </xdr:txBody>
    </xdr:sp>
    <xdr:clientData/>
  </xdr:twoCellAnchor>
  <xdr:twoCellAnchor>
    <xdr:from>
      <xdr:col>65</xdr:col>
      <xdr:colOff>5133578</xdr:colOff>
      <xdr:row>119</xdr:row>
      <xdr:rowOff>84962</xdr:rowOff>
    </xdr:from>
    <xdr:to>
      <xdr:col>65</xdr:col>
      <xdr:colOff>5590775</xdr:colOff>
      <xdr:row>120</xdr:row>
      <xdr:rowOff>184107</xdr:rowOff>
    </xdr:to>
    <xdr:sp macro="" textlink="">
      <xdr:nvSpPr>
        <xdr:cNvPr id="64" name="CuadroTexto 84">
          <a:extLst>
            <a:ext uri="{FF2B5EF4-FFF2-40B4-BE49-F238E27FC236}">
              <a16:creationId xmlns:a16="http://schemas.microsoft.com/office/drawing/2014/main" id="{00000000-0008-0000-0400-000040000000}"/>
            </a:ext>
          </a:extLst>
        </xdr:cNvPr>
        <xdr:cNvSpPr txBox="1"/>
      </xdr:nvSpPr>
      <xdr:spPr>
        <a:xfrm>
          <a:off x="65779253" y="23173562"/>
          <a:ext cx="457197" cy="28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13,7</a:t>
          </a:r>
        </a:p>
      </xdr:txBody>
    </xdr:sp>
    <xdr:clientData/>
  </xdr:twoCellAnchor>
  <xdr:twoCellAnchor>
    <xdr:from>
      <xdr:col>65</xdr:col>
      <xdr:colOff>5057766</xdr:colOff>
      <xdr:row>120</xdr:row>
      <xdr:rowOff>56971</xdr:rowOff>
    </xdr:from>
    <xdr:to>
      <xdr:col>65</xdr:col>
      <xdr:colOff>5619728</xdr:colOff>
      <xdr:row>121</xdr:row>
      <xdr:rowOff>156115</xdr:rowOff>
    </xdr:to>
    <xdr:sp macro="" textlink="">
      <xdr:nvSpPr>
        <xdr:cNvPr id="65" name="CuadroTexto 84">
          <a:extLst>
            <a:ext uri="{FF2B5EF4-FFF2-40B4-BE49-F238E27FC236}">
              <a16:creationId xmlns:a16="http://schemas.microsoft.com/office/drawing/2014/main" id="{00000000-0008-0000-0400-000041000000}"/>
            </a:ext>
          </a:extLst>
        </xdr:cNvPr>
        <xdr:cNvSpPr txBox="1"/>
      </xdr:nvSpPr>
      <xdr:spPr>
        <a:xfrm>
          <a:off x="65703441" y="23336071"/>
          <a:ext cx="561962" cy="289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12,2%</a:t>
          </a:r>
        </a:p>
      </xdr:txBody>
    </xdr:sp>
    <xdr:clientData/>
  </xdr:twoCellAnchor>
  <xdr:twoCellAnchor>
    <xdr:from>
      <xdr:col>65</xdr:col>
      <xdr:colOff>5076428</xdr:colOff>
      <xdr:row>121</xdr:row>
      <xdr:rowOff>19065</xdr:rowOff>
    </xdr:from>
    <xdr:to>
      <xdr:col>65</xdr:col>
      <xdr:colOff>5638390</xdr:colOff>
      <xdr:row>122</xdr:row>
      <xdr:rowOff>114322</xdr:rowOff>
    </xdr:to>
    <xdr:sp macro="" textlink="">
      <xdr:nvSpPr>
        <xdr:cNvPr id="66" name="CuadroTexto 84">
          <a:extLst>
            <a:ext uri="{FF2B5EF4-FFF2-40B4-BE49-F238E27FC236}">
              <a16:creationId xmlns:a16="http://schemas.microsoft.com/office/drawing/2014/main" id="{00000000-0008-0000-0400-000042000000}"/>
            </a:ext>
          </a:extLst>
        </xdr:cNvPr>
        <xdr:cNvSpPr txBox="1"/>
      </xdr:nvSpPr>
      <xdr:spPr>
        <a:xfrm>
          <a:off x="65722103" y="2348866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87,8%</a:t>
          </a:r>
        </a:p>
      </xdr:txBody>
    </xdr:sp>
    <xdr:clientData/>
  </xdr:twoCellAnchor>
  <xdr:twoCellAnchor>
    <xdr:from>
      <xdr:col>65</xdr:col>
      <xdr:colOff>762000</xdr:colOff>
      <xdr:row>171</xdr:row>
      <xdr:rowOff>28575</xdr:rowOff>
    </xdr:from>
    <xdr:to>
      <xdr:col>65</xdr:col>
      <xdr:colOff>1419206</xdr:colOff>
      <xdr:row>172</xdr:row>
      <xdr:rowOff>114320</xdr:rowOff>
    </xdr:to>
    <xdr:sp macro="" textlink="">
      <xdr:nvSpPr>
        <xdr:cNvPr id="71" name="CuadroTexto 81">
          <a:extLst>
            <a:ext uri="{FF2B5EF4-FFF2-40B4-BE49-F238E27FC236}">
              <a16:creationId xmlns:a16="http://schemas.microsoft.com/office/drawing/2014/main" id="{00000000-0008-0000-0400-000047000000}"/>
            </a:ext>
          </a:extLst>
        </xdr:cNvPr>
        <xdr:cNvSpPr txBox="1"/>
      </xdr:nvSpPr>
      <xdr:spPr>
        <a:xfrm>
          <a:off x="61407675" y="33023175"/>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131,3</a:t>
          </a:r>
        </a:p>
      </xdr:txBody>
    </xdr:sp>
    <xdr:clientData/>
  </xdr:twoCellAnchor>
  <xdr:twoCellAnchor>
    <xdr:from>
      <xdr:col>65</xdr:col>
      <xdr:colOff>1324371</xdr:colOff>
      <xdr:row>171</xdr:row>
      <xdr:rowOff>48417</xdr:rowOff>
    </xdr:from>
    <xdr:to>
      <xdr:col>65</xdr:col>
      <xdr:colOff>1962521</xdr:colOff>
      <xdr:row>172</xdr:row>
      <xdr:rowOff>134132</xdr:rowOff>
    </xdr:to>
    <xdr:sp macro="" textlink="">
      <xdr:nvSpPr>
        <xdr:cNvPr id="72" name="CuadroTexto 82">
          <a:extLst>
            <a:ext uri="{FF2B5EF4-FFF2-40B4-BE49-F238E27FC236}">
              <a16:creationId xmlns:a16="http://schemas.microsoft.com/office/drawing/2014/main" id="{00000000-0008-0000-0400-000048000000}"/>
            </a:ext>
          </a:extLst>
        </xdr:cNvPr>
        <xdr:cNvSpPr txBox="1"/>
      </xdr:nvSpPr>
      <xdr:spPr>
        <a:xfrm>
          <a:off x="61970046" y="33043017"/>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132,1</a:t>
          </a:r>
        </a:p>
      </xdr:txBody>
    </xdr:sp>
    <xdr:clientData/>
  </xdr:twoCellAnchor>
  <xdr:twoCellAnchor>
    <xdr:from>
      <xdr:col>65</xdr:col>
      <xdr:colOff>1886704</xdr:colOff>
      <xdr:row>171</xdr:row>
      <xdr:rowOff>72844</xdr:rowOff>
    </xdr:from>
    <xdr:to>
      <xdr:col>65</xdr:col>
      <xdr:colOff>2448695</xdr:colOff>
      <xdr:row>172</xdr:row>
      <xdr:rowOff>158558</xdr:rowOff>
    </xdr:to>
    <xdr:sp macro="" textlink="">
      <xdr:nvSpPr>
        <xdr:cNvPr id="73" name="CuadroTexto 83">
          <a:extLst>
            <a:ext uri="{FF2B5EF4-FFF2-40B4-BE49-F238E27FC236}">
              <a16:creationId xmlns:a16="http://schemas.microsoft.com/office/drawing/2014/main" id="{00000000-0008-0000-0400-000049000000}"/>
            </a:ext>
          </a:extLst>
        </xdr:cNvPr>
        <xdr:cNvSpPr txBox="1"/>
      </xdr:nvSpPr>
      <xdr:spPr>
        <a:xfrm>
          <a:off x="62813086" y="33074168"/>
          <a:ext cx="561991"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125,9	</a:t>
          </a:r>
        </a:p>
      </xdr:txBody>
    </xdr:sp>
    <xdr:clientData/>
  </xdr:twoCellAnchor>
  <xdr:twoCellAnchor>
    <xdr:from>
      <xdr:col>65</xdr:col>
      <xdr:colOff>2400684</xdr:colOff>
      <xdr:row>172</xdr:row>
      <xdr:rowOff>10302</xdr:rowOff>
    </xdr:from>
    <xdr:to>
      <xdr:col>65</xdr:col>
      <xdr:colOff>2943605</xdr:colOff>
      <xdr:row>173</xdr:row>
      <xdr:rowOff>105559</xdr:rowOff>
    </xdr:to>
    <xdr:sp macro="" textlink="">
      <xdr:nvSpPr>
        <xdr:cNvPr id="74" name="CuadroTexto 84">
          <a:extLst>
            <a:ext uri="{FF2B5EF4-FFF2-40B4-BE49-F238E27FC236}">
              <a16:creationId xmlns:a16="http://schemas.microsoft.com/office/drawing/2014/main" id="{00000000-0008-0000-0400-00004A000000}"/>
            </a:ext>
          </a:extLst>
        </xdr:cNvPr>
        <xdr:cNvSpPr txBox="1"/>
      </xdr:nvSpPr>
      <xdr:spPr>
        <a:xfrm>
          <a:off x="63046359" y="33195402"/>
          <a:ext cx="542921"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113,9</a:t>
          </a:r>
        </a:p>
      </xdr:txBody>
    </xdr:sp>
    <xdr:clientData/>
  </xdr:twoCellAnchor>
  <xdr:twoCellAnchor>
    <xdr:from>
      <xdr:col>65</xdr:col>
      <xdr:colOff>2953122</xdr:colOff>
      <xdr:row>172</xdr:row>
      <xdr:rowOff>47839</xdr:rowOff>
    </xdr:from>
    <xdr:to>
      <xdr:col>65</xdr:col>
      <xdr:colOff>3496056</xdr:colOff>
      <xdr:row>173</xdr:row>
      <xdr:rowOff>146983</xdr:rowOff>
    </xdr:to>
    <xdr:sp macro="" textlink="">
      <xdr:nvSpPr>
        <xdr:cNvPr id="75" name="CuadroTexto 84">
          <a:extLst>
            <a:ext uri="{FF2B5EF4-FFF2-40B4-BE49-F238E27FC236}">
              <a16:creationId xmlns:a16="http://schemas.microsoft.com/office/drawing/2014/main" id="{00000000-0008-0000-0400-00004B000000}"/>
            </a:ext>
          </a:extLst>
        </xdr:cNvPr>
        <xdr:cNvSpPr txBox="1"/>
      </xdr:nvSpPr>
      <xdr:spPr>
        <a:xfrm>
          <a:off x="63598797" y="33232939"/>
          <a:ext cx="542934" cy="289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107,3</a:t>
          </a:r>
        </a:p>
      </xdr:txBody>
    </xdr:sp>
    <xdr:clientData/>
  </xdr:twoCellAnchor>
  <xdr:twoCellAnchor>
    <xdr:from>
      <xdr:col>65</xdr:col>
      <xdr:colOff>3524816</xdr:colOff>
      <xdr:row>172</xdr:row>
      <xdr:rowOff>114121</xdr:rowOff>
    </xdr:from>
    <xdr:to>
      <xdr:col>65</xdr:col>
      <xdr:colOff>4020125</xdr:colOff>
      <xdr:row>174</xdr:row>
      <xdr:rowOff>18878</xdr:rowOff>
    </xdr:to>
    <xdr:sp macro="" textlink="">
      <xdr:nvSpPr>
        <xdr:cNvPr id="76" name="CuadroTexto 84">
          <a:extLst>
            <a:ext uri="{FF2B5EF4-FFF2-40B4-BE49-F238E27FC236}">
              <a16:creationId xmlns:a16="http://schemas.microsoft.com/office/drawing/2014/main" id="{00000000-0008-0000-0400-00004C000000}"/>
            </a:ext>
          </a:extLst>
        </xdr:cNvPr>
        <xdr:cNvSpPr txBox="1"/>
      </xdr:nvSpPr>
      <xdr:spPr>
        <a:xfrm>
          <a:off x="64170491" y="33299221"/>
          <a:ext cx="495309"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102,0</a:t>
          </a:r>
        </a:p>
      </xdr:txBody>
    </xdr:sp>
    <xdr:clientData/>
  </xdr:twoCellAnchor>
  <xdr:twoCellAnchor>
    <xdr:from>
      <xdr:col>65</xdr:col>
      <xdr:colOff>4067158</xdr:colOff>
      <xdr:row>174</xdr:row>
      <xdr:rowOff>136670</xdr:rowOff>
    </xdr:from>
    <xdr:to>
      <xdr:col>65</xdr:col>
      <xdr:colOff>4524355</xdr:colOff>
      <xdr:row>176</xdr:row>
      <xdr:rowOff>37539</xdr:rowOff>
    </xdr:to>
    <xdr:sp macro="" textlink="">
      <xdr:nvSpPr>
        <xdr:cNvPr id="77" name="CuadroTexto 84">
          <a:extLst>
            <a:ext uri="{FF2B5EF4-FFF2-40B4-BE49-F238E27FC236}">
              <a16:creationId xmlns:a16="http://schemas.microsoft.com/office/drawing/2014/main" id="{00000000-0008-0000-0400-00004D000000}"/>
            </a:ext>
          </a:extLst>
        </xdr:cNvPr>
        <xdr:cNvSpPr txBox="1"/>
      </xdr:nvSpPr>
      <xdr:spPr>
        <a:xfrm>
          <a:off x="64712833" y="33702770"/>
          <a:ext cx="457197" cy="281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57,1</a:t>
          </a:r>
        </a:p>
      </xdr:txBody>
    </xdr:sp>
    <xdr:clientData/>
  </xdr:twoCellAnchor>
  <xdr:twoCellAnchor>
    <xdr:from>
      <xdr:col>65</xdr:col>
      <xdr:colOff>4638658</xdr:colOff>
      <xdr:row>176</xdr:row>
      <xdr:rowOff>180212</xdr:rowOff>
    </xdr:from>
    <xdr:to>
      <xdr:col>65</xdr:col>
      <xdr:colOff>5095855</xdr:colOff>
      <xdr:row>178</xdr:row>
      <xdr:rowOff>88857</xdr:rowOff>
    </xdr:to>
    <xdr:sp macro="" textlink="">
      <xdr:nvSpPr>
        <xdr:cNvPr id="78" name="CuadroTexto 84">
          <a:extLst>
            <a:ext uri="{FF2B5EF4-FFF2-40B4-BE49-F238E27FC236}">
              <a16:creationId xmlns:a16="http://schemas.microsoft.com/office/drawing/2014/main" id="{00000000-0008-0000-0400-00004E000000}"/>
            </a:ext>
          </a:extLst>
        </xdr:cNvPr>
        <xdr:cNvSpPr txBox="1"/>
      </xdr:nvSpPr>
      <xdr:spPr>
        <a:xfrm>
          <a:off x="65284333" y="34127312"/>
          <a:ext cx="457197" cy="28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13,7</a:t>
          </a:r>
        </a:p>
      </xdr:txBody>
    </xdr:sp>
    <xdr:clientData/>
  </xdr:twoCellAnchor>
  <xdr:twoCellAnchor>
    <xdr:from>
      <xdr:col>65</xdr:col>
      <xdr:colOff>733425</xdr:colOff>
      <xdr:row>151</xdr:row>
      <xdr:rowOff>171450</xdr:rowOff>
    </xdr:from>
    <xdr:to>
      <xdr:col>65</xdr:col>
      <xdr:colOff>1390631</xdr:colOff>
      <xdr:row>153</xdr:row>
      <xdr:rowOff>62807</xdr:rowOff>
    </xdr:to>
    <xdr:sp macro="" textlink="">
      <xdr:nvSpPr>
        <xdr:cNvPr id="79" name="CuadroTexto 81">
          <a:extLst>
            <a:ext uri="{FF2B5EF4-FFF2-40B4-BE49-F238E27FC236}">
              <a16:creationId xmlns:a16="http://schemas.microsoft.com/office/drawing/2014/main" id="{00000000-0008-0000-0400-00004F000000}"/>
            </a:ext>
          </a:extLst>
        </xdr:cNvPr>
        <xdr:cNvSpPr txBox="1"/>
      </xdr:nvSpPr>
      <xdr:spPr>
        <a:xfrm>
          <a:off x="61607700" y="29356050"/>
          <a:ext cx="657206" cy="272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52.192,8</a:t>
          </a:r>
        </a:p>
      </xdr:txBody>
    </xdr:sp>
    <xdr:clientData/>
  </xdr:twoCellAnchor>
  <xdr:twoCellAnchor>
    <xdr:from>
      <xdr:col>65</xdr:col>
      <xdr:colOff>1276163</xdr:colOff>
      <xdr:row>153</xdr:row>
      <xdr:rowOff>62997</xdr:rowOff>
    </xdr:from>
    <xdr:to>
      <xdr:col>65</xdr:col>
      <xdr:colOff>1914313</xdr:colOff>
      <xdr:row>154</xdr:row>
      <xdr:rowOff>148712</xdr:rowOff>
    </xdr:to>
    <xdr:sp macro="" textlink="">
      <xdr:nvSpPr>
        <xdr:cNvPr id="80" name="CuadroTexto 82">
          <a:extLst>
            <a:ext uri="{FF2B5EF4-FFF2-40B4-BE49-F238E27FC236}">
              <a16:creationId xmlns:a16="http://schemas.microsoft.com/office/drawing/2014/main" id="{00000000-0008-0000-0400-000050000000}"/>
            </a:ext>
          </a:extLst>
        </xdr:cNvPr>
        <xdr:cNvSpPr txBox="1"/>
      </xdr:nvSpPr>
      <xdr:spPr>
        <a:xfrm>
          <a:off x="62150438" y="29628597"/>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36.792,2</a:t>
          </a:r>
        </a:p>
      </xdr:txBody>
    </xdr:sp>
    <xdr:clientData/>
  </xdr:twoCellAnchor>
  <xdr:twoCellAnchor>
    <xdr:from>
      <xdr:col>65</xdr:col>
      <xdr:colOff>1809530</xdr:colOff>
      <xdr:row>156</xdr:row>
      <xdr:rowOff>16333</xdr:rowOff>
    </xdr:from>
    <xdr:to>
      <xdr:col>65</xdr:col>
      <xdr:colOff>2419147</xdr:colOff>
      <xdr:row>157</xdr:row>
      <xdr:rowOff>102047</xdr:rowOff>
    </xdr:to>
    <xdr:sp macro="" textlink="">
      <xdr:nvSpPr>
        <xdr:cNvPr id="81" name="CuadroTexto 83">
          <a:extLst>
            <a:ext uri="{FF2B5EF4-FFF2-40B4-BE49-F238E27FC236}">
              <a16:creationId xmlns:a16="http://schemas.microsoft.com/office/drawing/2014/main" id="{00000000-0008-0000-0400-000051000000}"/>
            </a:ext>
          </a:extLst>
        </xdr:cNvPr>
        <xdr:cNvSpPr txBox="1"/>
      </xdr:nvSpPr>
      <xdr:spPr>
        <a:xfrm>
          <a:off x="62683805" y="30153433"/>
          <a:ext cx="60961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15.544,2</a:t>
          </a:r>
        </a:p>
      </xdr:txBody>
    </xdr:sp>
    <xdr:clientData/>
  </xdr:twoCellAnchor>
  <xdr:twoCellAnchor>
    <xdr:from>
      <xdr:col>65</xdr:col>
      <xdr:colOff>2371332</xdr:colOff>
      <xdr:row>157</xdr:row>
      <xdr:rowOff>101664</xdr:rowOff>
    </xdr:from>
    <xdr:to>
      <xdr:col>65</xdr:col>
      <xdr:colOff>2914253</xdr:colOff>
      <xdr:row>159</xdr:row>
      <xdr:rowOff>6421</xdr:rowOff>
    </xdr:to>
    <xdr:sp macro="" textlink="">
      <xdr:nvSpPr>
        <xdr:cNvPr id="82" name="CuadroTexto 84">
          <a:extLst>
            <a:ext uri="{FF2B5EF4-FFF2-40B4-BE49-F238E27FC236}">
              <a16:creationId xmlns:a16="http://schemas.microsoft.com/office/drawing/2014/main" id="{00000000-0008-0000-0400-000052000000}"/>
            </a:ext>
          </a:extLst>
        </xdr:cNvPr>
        <xdr:cNvSpPr txBox="1"/>
      </xdr:nvSpPr>
      <xdr:spPr>
        <a:xfrm>
          <a:off x="63017007" y="30429264"/>
          <a:ext cx="542921"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7.511,6</a:t>
          </a:r>
        </a:p>
      </xdr:txBody>
    </xdr:sp>
    <xdr:clientData/>
  </xdr:twoCellAnchor>
  <xdr:twoCellAnchor>
    <xdr:from>
      <xdr:col>65</xdr:col>
      <xdr:colOff>2933294</xdr:colOff>
      <xdr:row>158</xdr:row>
      <xdr:rowOff>24707</xdr:rowOff>
    </xdr:from>
    <xdr:to>
      <xdr:col>65</xdr:col>
      <xdr:colOff>3476228</xdr:colOff>
      <xdr:row>159</xdr:row>
      <xdr:rowOff>119965</xdr:rowOff>
    </xdr:to>
    <xdr:sp macro="" textlink="">
      <xdr:nvSpPr>
        <xdr:cNvPr id="83" name="CuadroTexto 84">
          <a:extLst>
            <a:ext uri="{FF2B5EF4-FFF2-40B4-BE49-F238E27FC236}">
              <a16:creationId xmlns:a16="http://schemas.microsoft.com/office/drawing/2014/main" id="{00000000-0008-0000-0400-000053000000}"/>
            </a:ext>
          </a:extLst>
        </xdr:cNvPr>
        <xdr:cNvSpPr txBox="1"/>
      </xdr:nvSpPr>
      <xdr:spPr>
        <a:xfrm>
          <a:off x="63578969" y="30542807"/>
          <a:ext cx="542934" cy="28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3.331,5</a:t>
          </a:r>
        </a:p>
      </xdr:txBody>
    </xdr:sp>
    <xdr:clientData/>
  </xdr:twoCellAnchor>
  <xdr:twoCellAnchor>
    <xdr:from>
      <xdr:col>65</xdr:col>
      <xdr:colOff>3485355</xdr:colOff>
      <xdr:row>158</xdr:row>
      <xdr:rowOff>65523</xdr:rowOff>
    </xdr:from>
    <xdr:to>
      <xdr:col>65</xdr:col>
      <xdr:colOff>4037620</xdr:colOff>
      <xdr:row>159</xdr:row>
      <xdr:rowOff>156893</xdr:rowOff>
    </xdr:to>
    <xdr:sp macro="" textlink="">
      <xdr:nvSpPr>
        <xdr:cNvPr id="84" name="CuadroTexto 84">
          <a:extLst>
            <a:ext uri="{FF2B5EF4-FFF2-40B4-BE49-F238E27FC236}">
              <a16:creationId xmlns:a16="http://schemas.microsoft.com/office/drawing/2014/main" id="{00000000-0008-0000-0400-000054000000}"/>
            </a:ext>
          </a:extLst>
        </xdr:cNvPr>
        <xdr:cNvSpPr txBox="1"/>
      </xdr:nvSpPr>
      <xdr:spPr>
        <a:xfrm>
          <a:off x="64131030" y="30583623"/>
          <a:ext cx="552265" cy="281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1.070,9</a:t>
          </a:r>
        </a:p>
      </xdr:txBody>
    </xdr:sp>
    <xdr:clientData/>
  </xdr:twoCellAnchor>
  <xdr:twoCellAnchor>
    <xdr:from>
      <xdr:col>65</xdr:col>
      <xdr:colOff>4009036</xdr:colOff>
      <xdr:row>158</xdr:row>
      <xdr:rowOff>65328</xdr:rowOff>
    </xdr:from>
    <xdr:to>
      <xdr:col>65</xdr:col>
      <xdr:colOff>4571020</xdr:colOff>
      <xdr:row>159</xdr:row>
      <xdr:rowOff>160586</xdr:rowOff>
    </xdr:to>
    <xdr:sp macro="" textlink="">
      <xdr:nvSpPr>
        <xdr:cNvPr id="85" name="CuadroTexto 84">
          <a:extLst>
            <a:ext uri="{FF2B5EF4-FFF2-40B4-BE49-F238E27FC236}">
              <a16:creationId xmlns:a16="http://schemas.microsoft.com/office/drawing/2014/main" id="{00000000-0008-0000-0400-000055000000}"/>
            </a:ext>
          </a:extLst>
        </xdr:cNvPr>
        <xdr:cNvSpPr txBox="1"/>
      </xdr:nvSpPr>
      <xdr:spPr>
        <a:xfrm>
          <a:off x="64654711" y="30583428"/>
          <a:ext cx="561984" cy="28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934,8</a:t>
          </a:r>
        </a:p>
      </xdr:txBody>
    </xdr:sp>
    <xdr:clientData/>
  </xdr:twoCellAnchor>
  <xdr:twoCellAnchor>
    <xdr:from>
      <xdr:col>65</xdr:col>
      <xdr:colOff>4636908</xdr:colOff>
      <xdr:row>158</xdr:row>
      <xdr:rowOff>94098</xdr:rowOff>
    </xdr:from>
    <xdr:to>
      <xdr:col>65</xdr:col>
      <xdr:colOff>5094105</xdr:colOff>
      <xdr:row>159</xdr:row>
      <xdr:rowOff>185468</xdr:rowOff>
    </xdr:to>
    <xdr:sp macro="" textlink="">
      <xdr:nvSpPr>
        <xdr:cNvPr id="86" name="CuadroTexto 84">
          <a:extLst>
            <a:ext uri="{FF2B5EF4-FFF2-40B4-BE49-F238E27FC236}">
              <a16:creationId xmlns:a16="http://schemas.microsoft.com/office/drawing/2014/main" id="{00000000-0008-0000-0400-000056000000}"/>
            </a:ext>
          </a:extLst>
        </xdr:cNvPr>
        <xdr:cNvSpPr txBox="1"/>
      </xdr:nvSpPr>
      <xdr:spPr>
        <a:xfrm>
          <a:off x="65282583" y="30612198"/>
          <a:ext cx="457197" cy="281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628,6</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209550</xdr:colOff>
      <xdr:row>15</xdr:row>
      <xdr:rowOff>11906</xdr:rowOff>
    </xdr:from>
    <xdr:to>
      <xdr:col>10</xdr:col>
      <xdr:colOff>26625</xdr:colOff>
      <xdr:row>33</xdr:row>
      <xdr:rowOff>200006</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 val="Alt4_Proy2002"/>
      <sheetName val="Fto__a_partir_del_impuesto4"/>
      <sheetName val="COP_FED2"/>
      <sheetName val="22_PCIAS2"/>
      <sheetName val="Tesoro_Nacional2"/>
      <sheetName val="Fondo_ATN2"/>
      <sheetName val="Coop__Eléct_2"/>
      <sheetName val="C_F_E_E_2"/>
      <sheetName val="Fto__a_partir_del_impuesto5"/>
      <sheetName val="[Alt4_Proy2002_x䕬䍘䱅䔮"/>
      <sheetName val="Stock 30-06-19"/>
      <sheetName val="Stock 31-12-18"/>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ctrlProp" Target="../ctrlProps/ctrlProp4.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T153"/>
  <sheetViews>
    <sheetView showGridLines="0" tabSelected="1" zoomScale="85" zoomScaleNormal="85" workbookViewId="0">
      <pane xSplit="3" topLeftCell="D1" activePane="topRight" state="frozen"/>
      <selection activeCell="F1" sqref="F1:F1048576"/>
      <selection pane="topRight"/>
    </sheetView>
  </sheetViews>
  <sheetFormatPr baseColWidth="10" defaultRowHeight="16.5" x14ac:dyDescent="0.3"/>
  <cols>
    <col min="1" max="1" width="11.85546875" style="23" bestFit="1" customWidth="1"/>
    <col min="2" max="2" width="46.140625" customWidth="1"/>
    <col min="3" max="3" width="12.85546875" customWidth="1"/>
    <col min="4" max="4" width="15.140625" customWidth="1"/>
    <col min="5" max="5" width="23.140625" customWidth="1"/>
    <col min="6" max="6" width="16.7109375" style="177" customWidth="1"/>
    <col min="7" max="9" width="16.7109375" customWidth="1"/>
    <col min="10" max="10" width="20.140625" customWidth="1"/>
    <col min="11" max="13" width="16.7109375" customWidth="1"/>
    <col min="14" max="14" width="22" customWidth="1"/>
    <col min="15" max="96" width="16.7109375" customWidth="1"/>
  </cols>
  <sheetData>
    <row r="2" spans="1:84" ht="20.25" x14ac:dyDescent="0.3">
      <c r="B2" s="183" t="s">
        <v>49</v>
      </c>
      <c r="C2" s="183"/>
      <c r="D2" s="183"/>
      <c r="E2" s="183"/>
      <c r="F2" s="183"/>
      <c r="G2" s="183"/>
      <c r="H2" s="183"/>
      <c r="I2" s="183"/>
      <c r="J2" s="183"/>
      <c r="K2" s="183"/>
      <c r="L2" s="183"/>
      <c r="M2" s="183"/>
      <c r="N2" s="183"/>
      <c r="O2" s="183"/>
      <c r="P2" s="183"/>
      <c r="Q2" s="183"/>
      <c r="R2" s="183"/>
      <c r="S2" s="183"/>
      <c r="T2" s="183"/>
      <c r="U2" s="183"/>
    </row>
    <row r="3" spans="1:84" ht="20.25" x14ac:dyDescent="0.3">
      <c r="B3" s="5" t="s">
        <v>48</v>
      </c>
      <c r="C3" s="8"/>
      <c r="D3" s="8"/>
      <c r="E3" s="8"/>
      <c r="F3" s="174"/>
      <c r="G3" s="8"/>
      <c r="H3" s="8"/>
      <c r="I3" s="8"/>
      <c r="J3" s="8"/>
      <c r="K3" s="8"/>
      <c r="L3" s="8"/>
      <c r="M3" s="8"/>
      <c r="N3" s="8"/>
      <c r="O3" s="8"/>
      <c r="P3" s="8"/>
      <c r="Q3" s="8"/>
      <c r="R3" s="8"/>
      <c r="S3" s="8"/>
      <c r="T3" s="8"/>
      <c r="U3" s="8"/>
    </row>
    <row r="4" spans="1:84" ht="17.25" x14ac:dyDescent="0.3">
      <c r="B4" s="5" t="s">
        <v>50</v>
      </c>
      <c r="C4" s="2"/>
      <c r="D4" s="2"/>
      <c r="E4" s="2"/>
      <c r="F4" s="175"/>
      <c r="G4" s="2"/>
      <c r="H4" s="2"/>
      <c r="I4" s="2"/>
      <c r="J4" s="2"/>
      <c r="K4" s="2"/>
      <c r="L4" s="2"/>
      <c r="M4" s="2"/>
      <c r="N4" s="2"/>
      <c r="O4" s="2"/>
      <c r="P4" s="2"/>
      <c r="Q4" s="2"/>
      <c r="R4" s="1"/>
    </row>
    <row r="5" spans="1:84" ht="17.25" x14ac:dyDescent="0.3">
      <c r="B5" s="5"/>
      <c r="C5" s="2"/>
      <c r="D5" s="2"/>
      <c r="E5" s="2"/>
      <c r="F5" s="175"/>
      <c r="G5" s="2"/>
      <c r="H5" s="2"/>
      <c r="I5" s="2"/>
      <c r="J5" s="2"/>
      <c r="K5" s="2"/>
      <c r="L5" s="2"/>
      <c r="M5" s="2"/>
      <c r="N5" s="2"/>
      <c r="O5" s="2"/>
      <c r="P5" s="2"/>
      <c r="Q5" s="2"/>
      <c r="R5" s="1"/>
    </row>
    <row r="6" spans="1:84" ht="30" customHeight="1" x14ac:dyDescent="0.3">
      <c r="B6" s="184" t="s">
        <v>0</v>
      </c>
      <c r="C6" s="184" t="s">
        <v>1</v>
      </c>
      <c r="D6" s="185" t="s">
        <v>140</v>
      </c>
      <c r="E6" s="189" t="s">
        <v>100</v>
      </c>
      <c r="F6" s="191" t="s">
        <v>101</v>
      </c>
      <c r="G6" s="184" t="s">
        <v>51</v>
      </c>
      <c r="H6" s="186" t="s">
        <v>57</v>
      </c>
      <c r="I6" s="186" t="s">
        <v>56</v>
      </c>
      <c r="J6" s="184" t="s">
        <v>55</v>
      </c>
      <c r="K6" s="186" t="s">
        <v>58</v>
      </c>
      <c r="L6" s="186" t="s">
        <v>59</v>
      </c>
      <c r="M6" s="186" t="s">
        <v>60</v>
      </c>
      <c r="N6" s="186" t="s">
        <v>61</v>
      </c>
      <c r="O6" s="2"/>
      <c r="P6" s="2"/>
      <c r="Q6" s="2"/>
      <c r="R6" s="1"/>
    </row>
    <row r="7" spans="1:84" ht="32.25" customHeight="1" x14ac:dyDescent="0.3">
      <c r="B7" s="184"/>
      <c r="C7" s="184"/>
      <c r="D7" s="185"/>
      <c r="E7" s="190"/>
      <c r="F7" s="192"/>
      <c r="G7" s="184"/>
      <c r="H7" s="187"/>
      <c r="I7" s="187"/>
      <c r="J7" s="184"/>
      <c r="K7" s="187"/>
      <c r="L7" s="187"/>
      <c r="M7" s="187"/>
      <c r="N7" s="187"/>
      <c r="P7" s="67">
        <v>2023</v>
      </c>
      <c r="Q7" s="67">
        <v>2023</v>
      </c>
      <c r="R7" s="67">
        <v>2024</v>
      </c>
      <c r="S7" s="67">
        <v>2024</v>
      </c>
      <c r="T7" s="67">
        <v>2025</v>
      </c>
      <c r="U7" s="67">
        <v>2025</v>
      </c>
      <c r="V7" s="67">
        <v>2026</v>
      </c>
      <c r="W7" s="67">
        <v>2026</v>
      </c>
      <c r="X7" s="67">
        <v>2027</v>
      </c>
      <c r="Y7" s="67">
        <v>2027</v>
      </c>
      <c r="Z7" s="67">
        <v>2028</v>
      </c>
      <c r="AA7" s="67">
        <v>2028</v>
      </c>
      <c r="AB7" s="67">
        <v>2029</v>
      </c>
      <c r="AC7" s="67">
        <v>2029</v>
      </c>
      <c r="AD7" s="68" t="s">
        <v>188</v>
      </c>
      <c r="AE7" s="68" t="s">
        <v>188</v>
      </c>
      <c r="AF7" s="136"/>
      <c r="AI7" s="137"/>
      <c r="AN7" s="136"/>
      <c r="AO7" s="136"/>
      <c r="AP7" s="136"/>
      <c r="AQ7" s="136"/>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row>
    <row r="8" spans="1:84" ht="21" customHeight="1" x14ac:dyDescent="0.3">
      <c r="B8" s="184"/>
      <c r="C8" s="184"/>
      <c r="D8" s="185"/>
      <c r="E8" s="26">
        <v>45107</v>
      </c>
      <c r="F8" s="26">
        <f>+$E$8</f>
        <v>45107</v>
      </c>
      <c r="G8" s="184"/>
      <c r="H8" s="188"/>
      <c r="I8" s="188"/>
      <c r="J8" s="184"/>
      <c r="K8" s="188"/>
      <c r="L8" s="188"/>
      <c r="M8" s="188"/>
      <c r="N8" s="188"/>
      <c r="O8" s="30"/>
      <c r="P8" s="20" t="s">
        <v>2</v>
      </c>
      <c r="Q8" s="29" t="s">
        <v>103</v>
      </c>
      <c r="R8" s="20" t="s">
        <v>2</v>
      </c>
      <c r="S8" s="29" t="s">
        <v>103</v>
      </c>
      <c r="T8" s="20" t="s">
        <v>2</v>
      </c>
      <c r="U8" s="29" t="s">
        <v>103</v>
      </c>
      <c r="V8" s="20" t="s">
        <v>2</v>
      </c>
      <c r="W8" s="29" t="s">
        <v>103</v>
      </c>
      <c r="X8" s="20" t="s">
        <v>2</v>
      </c>
      <c r="Y8" s="29" t="s">
        <v>103</v>
      </c>
      <c r="Z8" s="20" t="s">
        <v>2</v>
      </c>
      <c r="AA8" s="29" t="s">
        <v>103</v>
      </c>
      <c r="AB8" s="20" t="s">
        <v>2</v>
      </c>
      <c r="AC8" s="29" t="s">
        <v>103</v>
      </c>
      <c r="AD8" s="20" t="s">
        <v>2</v>
      </c>
      <c r="AE8" s="20" t="s">
        <v>103</v>
      </c>
      <c r="AF8" s="30"/>
      <c r="AI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row>
    <row r="9" spans="1:84" ht="27.95" customHeight="1" x14ac:dyDescent="0.3">
      <c r="B9" s="18" t="s">
        <v>93</v>
      </c>
      <c r="C9" s="18"/>
      <c r="D9" s="18"/>
      <c r="E9" s="18"/>
      <c r="F9" s="35">
        <f>+SUM(F10:F17)</f>
        <v>27.177973049381514</v>
      </c>
      <c r="G9" s="85">
        <f>+F9/$F$47</f>
        <v>3.2040404812540738E-2</v>
      </c>
      <c r="H9" s="18"/>
      <c r="I9" s="18"/>
      <c r="J9" s="18"/>
      <c r="K9" s="18"/>
      <c r="L9" s="18"/>
      <c r="M9" s="18"/>
      <c r="N9" s="18"/>
      <c r="O9" s="31"/>
      <c r="P9" s="94">
        <f t="shared" ref="P9:AD9" si="0">+SUM(P10:P17)</f>
        <v>13661.312733109948</v>
      </c>
      <c r="Q9" s="94">
        <f t="shared" si="0"/>
        <v>0</v>
      </c>
      <c r="R9" s="94">
        <f t="shared" si="0"/>
        <v>681.26974589167776</v>
      </c>
      <c r="S9" s="94">
        <f t="shared" si="0"/>
        <v>0</v>
      </c>
      <c r="T9" s="94">
        <f t="shared" si="0"/>
        <v>186.6352642536049</v>
      </c>
      <c r="U9" s="94">
        <f t="shared" si="0"/>
        <v>0</v>
      </c>
      <c r="V9" s="94">
        <f t="shared" si="0"/>
        <v>43.780216864027345</v>
      </c>
      <c r="W9" s="94">
        <f t="shared" si="0"/>
        <v>0</v>
      </c>
      <c r="X9" s="94">
        <f t="shared" si="0"/>
        <v>0</v>
      </c>
      <c r="Y9" s="94">
        <f t="shared" si="0"/>
        <v>0</v>
      </c>
      <c r="Z9" s="94">
        <f t="shared" si="0"/>
        <v>0</v>
      </c>
      <c r="AA9" s="94">
        <f t="shared" si="0"/>
        <v>0</v>
      </c>
      <c r="AB9" s="94">
        <f t="shared" si="0"/>
        <v>0</v>
      </c>
      <c r="AC9" s="94">
        <f t="shared" si="0"/>
        <v>0</v>
      </c>
      <c r="AD9" s="94">
        <f t="shared" si="0"/>
        <v>0</v>
      </c>
      <c r="AE9" s="94">
        <f>+SUM(AE10:AE17)</f>
        <v>0</v>
      </c>
      <c r="AF9" s="138"/>
      <c r="AI9" s="138"/>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row>
    <row r="10" spans="1:84" ht="27.95" customHeight="1" x14ac:dyDescent="0.3">
      <c r="A10" s="89"/>
      <c r="B10" s="9" t="s">
        <v>129</v>
      </c>
      <c r="C10" s="9" t="s">
        <v>130</v>
      </c>
      <c r="D10" s="9" t="s">
        <v>2</v>
      </c>
      <c r="E10" s="10">
        <v>2210.9683504300001</v>
      </c>
      <c r="F10" s="12">
        <f t="shared" ref="F10:F17" si="1">+IF($D10="USD",$E10,$E10/$C$57)</f>
        <v>8.6138827327554299</v>
      </c>
      <c r="G10" s="9"/>
      <c r="H10" s="40" t="s">
        <v>161</v>
      </c>
      <c r="I10" s="27">
        <v>44135</v>
      </c>
      <c r="J10" s="43" t="s">
        <v>164</v>
      </c>
      <c r="K10" s="28">
        <v>38</v>
      </c>
      <c r="L10" s="10" t="s">
        <v>162</v>
      </c>
      <c r="M10" s="27">
        <v>45291</v>
      </c>
      <c r="N10" s="10" t="s">
        <v>163</v>
      </c>
      <c r="O10" s="13"/>
      <c r="P10" s="95">
        <f>+F68+F115</f>
        <v>4070.6111212610999</v>
      </c>
      <c r="Q10" s="95">
        <f t="shared" ref="Q10:AE17" si="2">+G68+G115</f>
        <v>0</v>
      </c>
      <c r="R10" s="95">
        <f t="shared" si="2"/>
        <v>0</v>
      </c>
      <c r="S10" s="95">
        <f t="shared" si="2"/>
        <v>0</v>
      </c>
      <c r="T10" s="95">
        <f t="shared" si="2"/>
        <v>0</v>
      </c>
      <c r="U10" s="95">
        <f t="shared" si="2"/>
        <v>0</v>
      </c>
      <c r="V10" s="95">
        <f t="shared" si="2"/>
        <v>0</v>
      </c>
      <c r="W10" s="95">
        <f t="shared" si="2"/>
        <v>0</v>
      </c>
      <c r="X10" s="95">
        <f t="shared" si="2"/>
        <v>0</v>
      </c>
      <c r="Y10" s="95">
        <f t="shared" si="2"/>
        <v>0</v>
      </c>
      <c r="Z10" s="95">
        <f t="shared" si="2"/>
        <v>0</v>
      </c>
      <c r="AA10" s="95">
        <f t="shared" si="2"/>
        <v>0</v>
      </c>
      <c r="AB10" s="95">
        <f t="shared" si="2"/>
        <v>0</v>
      </c>
      <c r="AC10" s="95">
        <f t="shared" si="2"/>
        <v>0</v>
      </c>
      <c r="AD10" s="95">
        <f t="shared" si="2"/>
        <v>0</v>
      </c>
      <c r="AE10" s="95">
        <f t="shared" si="2"/>
        <v>0</v>
      </c>
      <c r="AF10" s="133"/>
      <c r="AI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row>
    <row r="11" spans="1:84" ht="27.95" customHeight="1" x14ac:dyDescent="0.3">
      <c r="A11" s="89"/>
      <c r="B11" s="9" t="s">
        <v>3</v>
      </c>
      <c r="C11" s="9" t="s">
        <v>4</v>
      </c>
      <c r="D11" s="9" t="s">
        <v>2</v>
      </c>
      <c r="E11" s="10">
        <v>2092.8550871900002</v>
      </c>
      <c r="F11" s="12">
        <f t="shared" si="1"/>
        <v>8.1537161281386972</v>
      </c>
      <c r="G11" s="9"/>
      <c r="H11" s="40" t="s">
        <v>161</v>
      </c>
      <c r="I11" s="27">
        <v>43769</v>
      </c>
      <c r="J11" s="43">
        <v>0.25</v>
      </c>
      <c r="K11" s="28">
        <v>48</v>
      </c>
      <c r="L11" s="10" t="s">
        <v>162</v>
      </c>
      <c r="M11" s="27">
        <v>45229</v>
      </c>
      <c r="N11" s="10" t="s">
        <v>163</v>
      </c>
      <c r="O11" s="13"/>
      <c r="P11" s="95">
        <f t="shared" ref="P11:P17" si="3">+F69+F116</f>
        <v>5831.3249963535436</v>
      </c>
      <c r="Q11" s="95">
        <f t="shared" si="2"/>
        <v>0</v>
      </c>
      <c r="R11" s="95">
        <f t="shared" si="2"/>
        <v>0</v>
      </c>
      <c r="S11" s="95">
        <f t="shared" si="2"/>
        <v>0</v>
      </c>
      <c r="T11" s="95">
        <f t="shared" si="2"/>
        <v>0</v>
      </c>
      <c r="U11" s="95">
        <f t="shared" si="2"/>
        <v>0</v>
      </c>
      <c r="V11" s="95">
        <f t="shared" si="2"/>
        <v>0</v>
      </c>
      <c r="W11" s="95">
        <f t="shared" si="2"/>
        <v>0</v>
      </c>
      <c r="X11" s="95">
        <f t="shared" si="2"/>
        <v>0</v>
      </c>
      <c r="Y11" s="95">
        <f t="shared" si="2"/>
        <v>0</v>
      </c>
      <c r="Z11" s="95">
        <f t="shared" si="2"/>
        <v>0</v>
      </c>
      <c r="AA11" s="95">
        <f t="shared" si="2"/>
        <v>0</v>
      </c>
      <c r="AB11" s="95">
        <f t="shared" si="2"/>
        <v>0</v>
      </c>
      <c r="AC11" s="95">
        <f t="shared" si="2"/>
        <v>0</v>
      </c>
      <c r="AD11" s="95">
        <f t="shared" si="2"/>
        <v>0</v>
      </c>
      <c r="AE11" s="95">
        <f t="shared" si="2"/>
        <v>0</v>
      </c>
      <c r="AF11" s="133"/>
      <c r="AI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row>
    <row r="12" spans="1:84" ht="27.95" customHeight="1" x14ac:dyDescent="0.3">
      <c r="A12" s="89"/>
      <c r="B12" s="9" t="s">
        <v>124</v>
      </c>
      <c r="C12" s="9" t="s">
        <v>125</v>
      </c>
      <c r="D12" s="9" t="s">
        <v>2</v>
      </c>
      <c r="E12" s="10">
        <v>1551.4073508700001</v>
      </c>
      <c r="F12" s="12">
        <f t="shared" si="1"/>
        <v>6.0442479823512221</v>
      </c>
      <c r="G12" s="9"/>
      <c r="H12" s="40" t="s">
        <v>161</v>
      </c>
      <c r="I12" s="27">
        <v>44019</v>
      </c>
      <c r="J12" s="43" t="s">
        <v>164</v>
      </c>
      <c r="K12" s="28">
        <v>42</v>
      </c>
      <c r="L12" s="10" t="s">
        <v>162</v>
      </c>
      <c r="M12" s="27">
        <v>45291</v>
      </c>
      <c r="N12" s="10" t="s">
        <v>163</v>
      </c>
      <c r="O12" s="13"/>
      <c r="P12" s="95">
        <f t="shared" si="3"/>
        <v>2856.2941730295056</v>
      </c>
      <c r="Q12" s="95">
        <f t="shared" si="2"/>
        <v>0</v>
      </c>
      <c r="R12" s="95">
        <f t="shared" si="2"/>
        <v>0</v>
      </c>
      <c r="S12" s="95">
        <f t="shared" si="2"/>
        <v>0</v>
      </c>
      <c r="T12" s="95">
        <f t="shared" si="2"/>
        <v>0</v>
      </c>
      <c r="U12" s="95">
        <f t="shared" si="2"/>
        <v>0</v>
      </c>
      <c r="V12" s="95">
        <f t="shared" si="2"/>
        <v>0</v>
      </c>
      <c r="W12" s="95">
        <f t="shared" si="2"/>
        <v>0</v>
      </c>
      <c r="X12" s="95">
        <f t="shared" si="2"/>
        <v>0</v>
      </c>
      <c r="Y12" s="95">
        <f t="shared" si="2"/>
        <v>0</v>
      </c>
      <c r="Z12" s="95">
        <f t="shared" si="2"/>
        <v>0</v>
      </c>
      <c r="AA12" s="95">
        <f t="shared" si="2"/>
        <v>0</v>
      </c>
      <c r="AB12" s="95">
        <f t="shared" si="2"/>
        <v>0</v>
      </c>
      <c r="AC12" s="95">
        <f t="shared" si="2"/>
        <v>0</v>
      </c>
      <c r="AD12" s="95">
        <f t="shared" si="2"/>
        <v>0</v>
      </c>
      <c r="AE12" s="95">
        <f t="shared" si="2"/>
        <v>0</v>
      </c>
      <c r="AF12" s="133"/>
      <c r="AI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row>
    <row r="13" spans="1:84" ht="27.95" customHeight="1" x14ac:dyDescent="0.3">
      <c r="A13" s="89"/>
      <c r="B13" s="9" t="s">
        <v>7</v>
      </c>
      <c r="C13" s="9" t="s">
        <v>8</v>
      </c>
      <c r="D13" s="9" t="s">
        <v>2</v>
      </c>
      <c r="E13" s="10">
        <v>691.54680999000004</v>
      </c>
      <c r="F13" s="12">
        <f t="shared" si="1"/>
        <v>2.6942507450667188</v>
      </c>
      <c r="G13" s="9"/>
      <c r="H13" s="40" t="s">
        <v>161</v>
      </c>
      <c r="I13" s="27">
        <v>41699</v>
      </c>
      <c r="J13" s="43" t="s">
        <v>165</v>
      </c>
      <c r="K13" s="28">
        <v>127</v>
      </c>
      <c r="L13" s="10" t="s">
        <v>162</v>
      </c>
      <c r="M13" s="27">
        <v>45566</v>
      </c>
      <c r="N13" s="10" t="s">
        <v>163</v>
      </c>
      <c r="O13" s="13"/>
      <c r="P13" s="95">
        <f t="shared" si="3"/>
        <v>543.79661771214421</v>
      </c>
      <c r="Q13" s="95">
        <f t="shared" si="2"/>
        <v>0</v>
      </c>
      <c r="R13" s="95">
        <f t="shared" si="2"/>
        <v>452.28165102677855</v>
      </c>
      <c r="S13" s="95">
        <f t="shared" si="2"/>
        <v>0</v>
      </c>
      <c r="T13" s="95">
        <f t="shared" si="2"/>
        <v>0</v>
      </c>
      <c r="U13" s="95">
        <f t="shared" si="2"/>
        <v>0</v>
      </c>
      <c r="V13" s="95">
        <f t="shared" si="2"/>
        <v>0</v>
      </c>
      <c r="W13" s="95">
        <f t="shared" si="2"/>
        <v>0</v>
      </c>
      <c r="X13" s="95">
        <f t="shared" si="2"/>
        <v>0</v>
      </c>
      <c r="Y13" s="95">
        <f t="shared" si="2"/>
        <v>0</v>
      </c>
      <c r="Z13" s="95">
        <f t="shared" si="2"/>
        <v>0</v>
      </c>
      <c r="AA13" s="95">
        <f t="shared" si="2"/>
        <v>0</v>
      </c>
      <c r="AB13" s="95">
        <f t="shared" si="2"/>
        <v>0</v>
      </c>
      <c r="AC13" s="95">
        <f t="shared" si="2"/>
        <v>0</v>
      </c>
      <c r="AD13" s="95">
        <f t="shared" si="2"/>
        <v>0</v>
      </c>
      <c r="AE13" s="95">
        <f t="shared" si="2"/>
        <v>0</v>
      </c>
      <c r="AF13" s="133"/>
      <c r="AI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row>
    <row r="14" spans="1:84" ht="27.95" customHeight="1" x14ac:dyDescent="0.3">
      <c r="A14" s="89"/>
      <c r="B14" s="9" t="s">
        <v>9</v>
      </c>
      <c r="C14" s="9" t="s">
        <v>10</v>
      </c>
      <c r="D14" s="9" t="s">
        <v>2</v>
      </c>
      <c r="E14" s="10">
        <v>319.57622966999998</v>
      </c>
      <c r="F14" s="12">
        <f t="shared" si="1"/>
        <v>1.2450617694360571</v>
      </c>
      <c r="G14" s="9"/>
      <c r="H14" s="40" t="s">
        <v>161</v>
      </c>
      <c r="I14" s="27">
        <v>43158</v>
      </c>
      <c r="J14" s="43" t="s">
        <v>165</v>
      </c>
      <c r="K14" s="28">
        <v>96</v>
      </c>
      <c r="L14" s="10" t="s">
        <v>162</v>
      </c>
      <c r="M14" s="27">
        <v>46080</v>
      </c>
      <c r="N14" s="10" t="s">
        <v>163</v>
      </c>
      <c r="O14" s="13"/>
      <c r="P14" s="95">
        <f t="shared" si="3"/>
        <v>146.83249104743962</v>
      </c>
      <c r="Q14" s="95">
        <f t="shared" si="2"/>
        <v>0</v>
      </c>
      <c r="R14" s="95">
        <f t="shared" si="2"/>
        <v>139.81526871418077</v>
      </c>
      <c r="S14" s="95">
        <f t="shared" si="2"/>
        <v>0</v>
      </c>
      <c r="T14" s="95">
        <f t="shared" si="2"/>
        <v>127.09697938958473</v>
      </c>
      <c r="U14" s="95">
        <f t="shared" si="2"/>
        <v>0</v>
      </c>
      <c r="V14" s="95">
        <f t="shared" si="2"/>
        <v>20.154174439398748</v>
      </c>
      <c r="W14" s="95">
        <f t="shared" si="2"/>
        <v>0</v>
      </c>
      <c r="X14" s="95">
        <f t="shared" si="2"/>
        <v>0</v>
      </c>
      <c r="Y14" s="95">
        <f t="shared" si="2"/>
        <v>0</v>
      </c>
      <c r="Z14" s="95">
        <f t="shared" si="2"/>
        <v>0</v>
      </c>
      <c r="AA14" s="95">
        <f t="shared" si="2"/>
        <v>0</v>
      </c>
      <c r="AB14" s="95">
        <f t="shared" si="2"/>
        <v>0</v>
      </c>
      <c r="AC14" s="95">
        <f t="shared" si="2"/>
        <v>0</v>
      </c>
      <c r="AD14" s="95">
        <f t="shared" si="2"/>
        <v>0</v>
      </c>
      <c r="AE14" s="95">
        <f t="shared" si="2"/>
        <v>0</v>
      </c>
      <c r="AF14" s="133"/>
      <c r="AI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row>
    <row r="15" spans="1:84" ht="27.95" customHeight="1" x14ac:dyDescent="0.3">
      <c r="A15" s="89"/>
      <c r="B15" s="9" t="s">
        <v>11</v>
      </c>
      <c r="C15" s="9" t="s">
        <v>12</v>
      </c>
      <c r="D15" s="9" t="s">
        <v>2</v>
      </c>
      <c r="E15" s="10">
        <v>76.110177300000004</v>
      </c>
      <c r="F15" s="12">
        <f t="shared" si="1"/>
        <v>0.29652353092432066</v>
      </c>
      <c r="G15" s="9"/>
      <c r="H15" s="40" t="s">
        <v>166</v>
      </c>
      <c r="I15" s="27">
        <v>40603</v>
      </c>
      <c r="J15" s="43" t="s">
        <v>167</v>
      </c>
      <c r="K15" s="28">
        <v>187</v>
      </c>
      <c r="L15" s="10" t="s">
        <v>168</v>
      </c>
      <c r="M15" s="27">
        <v>46296</v>
      </c>
      <c r="N15" s="10" t="s">
        <v>163</v>
      </c>
      <c r="O15" s="13"/>
      <c r="P15" s="95">
        <f t="shared" si="3"/>
        <v>81.706238209999995</v>
      </c>
      <c r="Q15" s="95">
        <f t="shared" si="2"/>
        <v>0</v>
      </c>
      <c r="R15" s="95">
        <f t="shared" si="2"/>
        <v>74.105328589999999</v>
      </c>
      <c r="S15" s="95">
        <f t="shared" si="2"/>
        <v>0</v>
      </c>
      <c r="T15" s="95">
        <f t="shared" si="2"/>
        <v>45.852285940000002</v>
      </c>
      <c r="U15" s="95">
        <f t="shared" si="2"/>
        <v>0</v>
      </c>
      <c r="V15" s="95">
        <f t="shared" si="2"/>
        <v>22.53952396</v>
      </c>
      <c r="W15" s="95">
        <f t="shared" si="2"/>
        <v>0</v>
      </c>
      <c r="X15" s="95">
        <f t="shared" si="2"/>
        <v>0</v>
      </c>
      <c r="Y15" s="95">
        <f t="shared" si="2"/>
        <v>0</v>
      </c>
      <c r="Z15" s="95">
        <f t="shared" si="2"/>
        <v>0</v>
      </c>
      <c r="AA15" s="95">
        <f t="shared" si="2"/>
        <v>0</v>
      </c>
      <c r="AB15" s="95">
        <f t="shared" si="2"/>
        <v>0</v>
      </c>
      <c r="AC15" s="95">
        <f t="shared" si="2"/>
        <v>0</v>
      </c>
      <c r="AD15" s="95">
        <f t="shared" si="2"/>
        <v>0</v>
      </c>
      <c r="AE15" s="95">
        <f t="shared" si="2"/>
        <v>0</v>
      </c>
      <c r="AF15" s="133"/>
      <c r="AI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row>
    <row r="16" spans="1:84" ht="27.95" customHeight="1" x14ac:dyDescent="0.3">
      <c r="A16" s="89"/>
      <c r="B16" s="9" t="s">
        <v>13</v>
      </c>
      <c r="C16" s="9" t="s">
        <v>14</v>
      </c>
      <c r="D16" s="9" t="s">
        <v>2</v>
      </c>
      <c r="E16" s="10">
        <v>33.442227000000003</v>
      </c>
      <c r="F16" s="12">
        <f t="shared" si="1"/>
        <v>0.1302901607090679</v>
      </c>
      <c r="G16" s="9"/>
      <c r="H16" s="40" t="s">
        <v>161</v>
      </c>
      <c r="I16" s="27">
        <v>43104</v>
      </c>
      <c r="J16" s="43" t="s">
        <v>165</v>
      </c>
      <c r="K16" s="28">
        <v>96</v>
      </c>
      <c r="L16" s="10" t="s">
        <v>162</v>
      </c>
      <c r="M16" s="27">
        <v>46026</v>
      </c>
      <c r="N16" s="10" t="s">
        <v>163</v>
      </c>
      <c r="O16" s="13"/>
      <c r="P16" s="95">
        <f t="shared" si="3"/>
        <v>15.838699816215525</v>
      </c>
      <c r="Q16" s="95">
        <f t="shared" si="2"/>
        <v>0</v>
      </c>
      <c r="R16" s="95">
        <f t="shared" si="2"/>
        <v>15.067497560718474</v>
      </c>
      <c r="S16" s="95">
        <f t="shared" si="2"/>
        <v>0</v>
      </c>
      <c r="T16" s="95">
        <f t="shared" si="2"/>
        <v>13.685998924020174</v>
      </c>
      <c r="U16" s="95">
        <f t="shared" si="2"/>
        <v>0</v>
      </c>
      <c r="V16" s="95">
        <f t="shared" si="2"/>
        <v>1.0865184646285977</v>
      </c>
      <c r="W16" s="95">
        <f t="shared" si="2"/>
        <v>0</v>
      </c>
      <c r="X16" s="95">
        <f t="shared" si="2"/>
        <v>0</v>
      </c>
      <c r="Y16" s="95">
        <f t="shared" si="2"/>
        <v>0</v>
      </c>
      <c r="Z16" s="95">
        <f t="shared" si="2"/>
        <v>0</v>
      </c>
      <c r="AA16" s="95">
        <f t="shared" si="2"/>
        <v>0</v>
      </c>
      <c r="AB16" s="95">
        <f t="shared" si="2"/>
        <v>0</v>
      </c>
      <c r="AC16" s="95">
        <f t="shared" si="2"/>
        <v>0</v>
      </c>
      <c r="AD16" s="95">
        <f t="shared" si="2"/>
        <v>0</v>
      </c>
      <c r="AE16" s="95">
        <f t="shared" si="2"/>
        <v>0</v>
      </c>
      <c r="AF16" s="133"/>
      <c r="AI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row>
    <row r="17" spans="1:98" ht="27.95" customHeight="1" x14ac:dyDescent="0.3">
      <c r="A17" s="89"/>
      <c r="B17" s="9" t="s">
        <v>5</v>
      </c>
      <c r="C17" s="9" t="s">
        <v>6</v>
      </c>
      <c r="D17" s="9" t="s">
        <v>2</v>
      </c>
      <c r="E17" s="10">
        <v>0</v>
      </c>
      <c r="F17" s="12">
        <f t="shared" si="1"/>
        <v>0</v>
      </c>
      <c r="G17" s="9"/>
      <c r="H17" s="40" t="s">
        <v>161</v>
      </c>
      <c r="I17" s="27">
        <v>43482</v>
      </c>
      <c r="J17" s="43">
        <v>0.12</v>
      </c>
      <c r="K17" s="28">
        <v>48</v>
      </c>
      <c r="L17" s="10" t="s">
        <v>169</v>
      </c>
      <c r="M17" s="27">
        <v>44943</v>
      </c>
      <c r="N17" s="10" t="s">
        <v>163</v>
      </c>
      <c r="O17" s="13"/>
      <c r="P17" s="95">
        <f t="shared" si="3"/>
        <v>114.90839568000001</v>
      </c>
      <c r="Q17" s="95">
        <f t="shared" si="2"/>
        <v>0</v>
      </c>
      <c r="R17" s="95">
        <f t="shared" si="2"/>
        <v>0</v>
      </c>
      <c r="S17" s="95">
        <f t="shared" si="2"/>
        <v>0</v>
      </c>
      <c r="T17" s="95">
        <f t="shared" si="2"/>
        <v>0</v>
      </c>
      <c r="U17" s="95">
        <f t="shared" si="2"/>
        <v>0</v>
      </c>
      <c r="V17" s="95">
        <f t="shared" si="2"/>
        <v>0</v>
      </c>
      <c r="W17" s="95">
        <f t="shared" si="2"/>
        <v>0</v>
      </c>
      <c r="X17" s="95">
        <f t="shared" si="2"/>
        <v>0</v>
      </c>
      <c r="Y17" s="95">
        <f t="shared" si="2"/>
        <v>0</v>
      </c>
      <c r="Z17" s="95">
        <f t="shared" si="2"/>
        <v>0</v>
      </c>
      <c r="AA17" s="95">
        <f t="shared" si="2"/>
        <v>0</v>
      </c>
      <c r="AB17" s="95">
        <f t="shared" si="2"/>
        <v>0</v>
      </c>
      <c r="AC17" s="95">
        <f t="shared" si="2"/>
        <v>0</v>
      </c>
      <c r="AD17" s="95">
        <f t="shared" si="2"/>
        <v>0</v>
      </c>
      <c r="AE17" s="95">
        <f t="shared" si="2"/>
        <v>0</v>
      </c>
      <c r="AF17" s="133"/>
      <c r="AI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row>
    <row r="18" spans="1:98" ht="27.95" customHeight="1" x14ac:dyDescent="0.3">
      <c r="A18" s="89"/>
      <c r="B18" s="18" t="s">
        <v>94</v>
      </c>
      <c r="C18" s="18"/>
      <c r="D18" s="18"/>
      <c r="E18" s="18"/>
      <c r="F18" s="35">
        <f>+SUM(F19:F19)</f>
        <v>65.721286082789533</v>
      </c>
      <c r="G18" s="85">
        <f>+F18/$F$47</f>
        <v>7.7479531202246751E-2</v>
      </c>
      <c r="H18" s="41"/>
      <c r="I18" s="18"/>
      <c r="J18" s="44"/>
      <c r="K18" s="18"/>
      <c r="L18" s="18"/>
      <c r="M18" s="18"/>
      <c r="N18" s="18"/>
      <c r="O18" s="31"/>
      <c r="P18" s="94">
        <f>+P19</f>
        <v>18664.752526691474</v>
      </c>
      <c r="Q18" s="94">
        <f t="shared" ref="Q18:AE18" si="4">+Q19</f>
        <v>0</v>
      </c>
      <c r="R18" s="94">
        <f t="shared" si="4"/>
        <v>16437.862517860049</v>
      </c>
      <c r="S18" s="94">
        <f t="shared" si="4"/>
        <v>0</v>
      </c>
      <c r="T18" s="94">
        <f t="shared" si="4"/>
        <v>9994.9474077062041</v>
      </c>
      <c r="U18" s="94">
        <f t="shared" si="4"/>
        <v>0</v>
      </c>
      <c r="V18" s="94">
        <f t="shared" si="4"/>
        <v>5604.2094691180318</v>
      </c>
      <c r="W18" s="94">
        <f t="shared" si="4"/>
        <v>0</v>
      </c>
      <c r="X18" s="94">
        <f t="shared" si="4"/>
        <v>1903.513991346596</v>
      </c>
      <c r="Y18" s="94">
        <f t="shared" si="4"/>
        <v>0</v>
      </c>
      <c r="Z18" s="94">
        <f t="shared" si="4"/>
        <v>0</v>
      </c>
      <c r="AA18" s="94">
        <f t="shared" si="4"/>
        <v>0</v>
      </c>
      <c r="AB18" s="94">
        <f t="shared" si="4"/>
        <v>0</v>
      </c>
      <c r="AC18" s="94">
        <f t="shared" si="4"/>
        <v>0</v>
      </c>
      <c r="AD18" s="94">
        <f t="shared" si="4"/>
        <v>0</v>
      </c>
      <c r="AE18" s="94">
        <f t="shared" si="4"/>
        <v>0</v>
      </c>
      <c r="AF18" s="138"/>
      <c r="AI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138"/>
      <c r="BT18" s="138"/>
      <c r="BU18" s="138"/>
      <c r="BV18" s="138"/>
      <c r="BW18" s="138"/>
      <c r="BX18" s="138"/>
      <c r="BY18" s="138"/>
      <c r="BZ18" s="138"/>
      <c r="CA18" s="138"/>
      <c r="CB18" s="138"/>
      <c r="CC18" s="138"/>
      <c r="CD18" s="138"/>
      <c r="CE18" s="138"/>
      <c r="CF18" s="138"/>
    </row>
    <row r="19" spans="1:98" ht="27.95" customHeight="1" x14ac:dyDescent="0.3">
      <c r="A19" s="89"/>
      <c r="B19" s="9" t="s">
        <v>154</v>
      </c>
      <c r="C19" s="9" t="s">
        <v>155</v>
      </c>
      <c r="D19" s="9" t="s">
        <v>2</v>
      </c>
      <c r="E19" s="10">
        <v>16869.011105300004</v>
      </c>
      <c r="F19" s="12">
        <f>+IF($D19="USD",$E19,$E19/$C$57)</f>
        <v>65.721286082789533</v>
      </c>
      <c r="G19" s="9"/>
      <c r="H19" s="40" t="s">
        <v>161</v>
      </c>
      <c r="I19" s="27">
        <v>44684</v>
      </c>
      <c r="J19" s="43" t="s">
        <v>170</v>
      </c>
      <c r="K19" s="28">
        <v>60</v>
      </c>
      <c r="L19" s="10" t="s">
        <v>162</v>
      </c>
      <c r="M19" s="27">
        <v>46510</v>
      </c>
      <c r="N19" s="10" t="s">
        <v>163</v>
      </c>
      <c r="O19" s="13"/>
      <c r="P19" s="95">
        <f t="shared" ref="P19" si="5">+F77+F124</f>
        <v>18664.752526691474</v>
      </c>
      <c r="Q19" s="95">
        <f t="shared" ref="Q19" si="6">+G77+G124</f>
        <v>0</v>
      </c>
      <c r="R19" s="95">
        <f t="shared" ref="R19" si="7">+H77+H124</f>
        <v>16437.862517860049</v>
      </c>
      <c r="S19" s="95">
        <f t="shared" ref="S19" si="8">+I77+I124</f>
        <v>0</v>
      </c>
      <c r="T19" s="95">
        <f t="shared" ref="T19" si="9">+J77+J124</f>
        <v>9994.9474077062041</v>
      </c>
      <c r="U19" s="95">
        <f t="shared" ref="U19" si="10">+K77+K124</f>
        <v>0</v>
      </c>
      <c r="V19" s="95">
        <f t="shared" ref="V19" si="11">+L77+L124</f>
        <v>5604.2094691180318</v>
      </c>
      <c r="W19" s="95">
        <f t="shared" ref="W19" si="12">+M77+M124</f>
        <v>0</v>
      </c>
      <c r="X19" s="95">
        <f t="shared" ref="X19" si="13">+N77+N124</f>
        <v>1903.513991346596</v>
      </c>
      <c r="Y19" s="95">
        <f t="shared" ref="Y19" si="14">+O77+O124</f>
        <v>0</v>
      </c>
      <c r="Z19" s="95">
        <f t="shared" ref="Z19" si="15">+P77+P124</f>
        <v>0</v>
      </c>
      <c r="AA19" s="95">
        <f t="shared" ref="AA19" si="16">+Q77+Q124</f>
        <v>0</v>
      </c>
      <c r="AB19" s="95">
        <f t="shared" ref="AB19" si="17">+R77+R124</f>
        <v>0</v>
      </c>
      <c r="AC19" s="95">
        <f t="shared" ref="AC19" si="18">+S77+S124</f>
        <v>0</v>
      </c>
      <c r="AD19" s="95">
        <f t="shared" ref="AD19" si="19">+T77+T124</f>
        <v>0</v>
      </c>
      <c r="AE19" s="95">
        <f t="shared" ref="AE19" si="20">+U77+U124</f>
        <v>0</v>
      </c>
      <c r="AF19" s="133"/>
      <c r="AI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3"/>
      <c r="BL19" s="133"/>
      <c r="BM19" s="133"/>
      <c r="BN19" s="133"/>
      <c r="BO19" s="133"/>
      <c r="BP19" s="133"/>
      <c r="BQ19" s="133"/>
      <c r="BR19" s="133"/>
      <c r="BS19" s="133"/>
      <c r="BT19" s="133"/>
      <c r="BU19" s="133"/>
      <c r="BV19" s="133"/>
      <c r="BW19" s="133"/>
      <c r="BX19" s="133"/>
      <c r="BY19" s="133"/>
      <c r="BZ19" s="133"/>
      <c r="CA19" s="133"/>
      <c r="CB19" s="133"/>
      <c r="CC19" s="133"/>
      <c r="CD19" s="133"/>
      <c r="CE19" s="133"/>
      <c r="CF19" s="133"/>
    </row>
    <row r="20" spans="1:98" ht="27.95" customHeight="1" x14ac:dyDescent="0.3">
      <c r="A20" s="89"/>
      <c r="B20" s="18" t="s">
        <v>15</v>
      </c>
      <c r="C20" s="18"/>
      <c r="D20" s="18"/>
      <c r="E20" s="18"/>
      <c r="F20" s="35">
        <f>+SUM(F21,F33)</f>
        <v>190.61310215</v>
      </c>
      <c r="G20" s="85">
        <f>+F20/$F$47</f>
        <v>0.22471583676837747</v>
      </c>
      <c r="H20" s="41"/>
      <c r="I20" s="18"/>
      <c r="J20" s="44"/>
      <c r="K20" s="18"/>
      <c r="L20" s="18"/>
      <c r="M20" s="18"/>
      <c r="N20" s="18"/>
      <c r="O20" s="31"/>
      <c r="P20" s="94">
        <f t="shared" ref="P20:AD20" si="21">+P21+P33</f>
        <v>0</v>
      </c>
      <c r="Q20" s="94">
        <f t="shared" si="21"/>
        <v>26.755647245707422</v>
      </c>
      <c r="R20" s="94">
        <f t="shared" si="21"/>
        <v>0</v>
      </c>
      <c r="S20" s="94">
        <f t="shared" si="21"/>
        <v>28.31797945416011</v>
      </c>
      <c r="T20" s="94">
        <f t="shared" si="21"/>
        <v>0</v>
      </c>
      <c r="U20" s="94">
        <f t="shared" si="21"/>
        <v>26.749034346100398</v>
      </c>
      <c r="V20" s="94">
        <f t="shared" si="21"/>
        <v>0</v>
      </c>
      <c r="W20" s="94">
        <f t="shared" si="21"/>
        <v>19.320070077452939</v>
      </c>
      <c r="X20" s="94">
        <f t="shared" si="21"/>
        <v>0</v>
      </c>
      <c r="Y20" s="94">
        <f t="shared" si="21"/>
        <v>17.28135162885626</v>
      </c>
      <c r="Z20" s="94">
        <f t="shared" si="21"/>
        <v>0</v>
      </c>
      <c r="AA20" s="94">
        <f t="shared" si="21"/>
        <v>16.537496122098151</v>
      </c>
      <c r="AB20" s="94">
        <f t="shared" si="21"/>
        <v>0</v>
      </c>
      <c r="AC20" s="94">
        <f t="shared" si="21"/>
        <v>16.08752011335854</v>
      </c>
      <c r="AD20" s="94">
        <f t="shared" si="21"/>
        <v>0</v>
      </c>
      <c r="AE20" s="94">
        <f>+AE21+AE33</f>
        <v>13.688159905634009</v>
      </c>
      <c r="AF20" s="138"/>
      <c r="AI20" s="138"/>
      <c r="AN20" s="138"/>
      <c r="AO20" s="138"/>
      <c r="AP20" s="138"/>
      <c r="AQ20" s="138"/>
      <c r="AR20" s="138"/>
      <c r="AS20" s="138"/>
      <c r="AT20" s="138"/>
      <c r="AU20" s="138"/>
      <c r="AV20" s="138"/>
      <c r="AW20" s="138"/>
      <c r="AX20" s="138"/>
      <c r="AY20" s="138"/>
      <c r="AZ20" s="138"/>
      <c r="BA20" s="138"/>
      <c r="BB20" s="138"/>
      <c r="BC20" s="138"/>
      <c r="BD20" s="138"/>
      <c r="BE20" s="138"/>
      <c r="BF20" s="138"/>
      <c r="BG20" s="138"/>
      <c r="BH20" s="138"/>
      <c r="BI20" s="138"/>
      <c r="BJ20" s="138"/>
      <c r="BK20" s="138"/>
      <c r="BL20" s="138"/>
      <c r="BM20" s="138"/>
      <c r="BN20" s="138"/>
      <c r="BO20" s="138"/>
      <c r="BP20" s="138"/>
      <c r="BQ20" s="138"/>
      <c r="BR20" s="138"/>
      <c r="BS20" s="138"/>
      <c r="BT20" s="138"/>
      <c r="BU20" s="138"/>
      <c r="BV20" s="138"/>
      <c r="BW20" s="138"/>
      <c r="BX20" s="138"/>
      <c r="BY20" s="138"/>
      <c r="BZ20" s="138"/>
      <c r="CA20" s="138"/>
      <c r="CB20" s="138"/>
      <c r="CC20" s="138"/>
      <c r="CD20" s="138"/>
      <c r="CE20" s="138"/>
      <c r="CF20" s="138"/>
    </row>
    <row r="21" spans="1:98" ht="27.95" customHeight="1" x14ac:dyDescent="0.3">
      <c r="A21" s="89"/>
      <c r="B21" s="19" t="s">
        <v>16</v>
      </c>
      <c r="C21" s="19"/>
      <c r="D21" s="19"/>
      <c r="E21" s="19"/>
      <c r="F21" s="36">
        <f>+SUM(F22:F32)</f>
        <v>158.33404142000001</v>
      </c>
      <c r="G21" s="19"/>
      <c r="H21" s="42"/>
      <c r="I21" s="19"/>
      <c r="J21" s="45"/>
      <c r="K21" s="19"/>
      <c r="L21" s="19"/>
      <c r="M21" s="19"/>
      <c r="N21" s="19"/>
      <c r="O21" s="32"/>
      <c r="P21" s="97">
        <f>+SUM(P22:P32)</f>
        <v>0</v>
      </c>
      <c r="Q21" s="97">
        <f t="shared" ref="Q21:AE21" si="22">+SUM(Q22:Q32)</f>
        <v>23.409837896293908</v>
      </c>
      <c r="R21" s="97">
        <f t="shared" si="22"/>
        <v>0</v>
      </c>
      <c r="S21" s="97">
        <f t="shared" si="22"/>
        <v>24.324549735382028</v>
      </c>
      <c r="T21" s="97">
        <f t="shared" si="22"/>
        <v>0</v>
      </c>
      <c r="U21" s="97">
        <f t="shared" si="22"/>
        <v>22.731840757483084</v>
      </c>
      <c r="V21" s="97">
        <f t="shared" si="22"/>
        <v>0</v>
      </c>
      <c r="W21" s="97">
        <f t="shared" si="22"/>
        <v>15.745377268827296</v>
      </c>
      <c r="X21" s="97">
        <f t="shared" si="22"/>
        <v>0</v>
      </c>
      <c r="Y21" s="97">
        <f t="shared" si="22"/>
        <v>14.120878276188668</v>
      </c>
      <c r="Z21" s="97">
        <f t="shared" si="22"/>
        <v>0</v>
      </c>
      <c r="AA21" s="97">
        <f t="shared" si="22"/>
        <v>13.511501342563776</v>
      </c>
      <c r="AB21" s="97">
        <f t="shared" si="22"/>
        <v>0</v>
      </c>
      <c r="AC21" s="97">
        <f t="shared" si="22"/>
        <v>13.146632942153094</v>
      </c>
      <c r="AD21" s="97">
        <f t="shared" si="22"/>
        <v>0</v>
      </c>
      <c r="AE21" s="97">
        <f t="shared" si="22"/>
        <v>11.150440072609831</v>
      </c>
      <c r="AF21" s="134"/>
      <c r="AI21" s="134"/>
      <c r="AN21" s="134"/>
      <c r="AO21" s="134"/>
      <c r="AP21" s="134"/>
      <c r="AQ21" s="134"/>
      <c r="AR21" s="134"/>
      <c r="AS21" s="134"/>
      <c r="AT21" s="134"/>
      <c r="AU21" s="134"/>
      <c r="AV21" s="134"/>
      <c r="AW21" s="134"/>
      <c r="AX21" s="134"/>
      <c r="AY21" s="134"/>
      <c r="AZ21" s="134"/>
      <c r="BA21" s="134"/>
      <c r="BB21" s="134"/>
      <c r="BC21" s="134"/>
      <c r="BD21" s="134"/>
      <c r="BE21" s="134"/>
      <c r="BF21" s="134"/>
      <c r="BG21" s="134"/>
      <c r="BH21" s="134"/>
      <c r="BI21" s="134"/>
      <c r="BJ21" s="134"/>
      <c r="BK21" s="134"/>
      <c r="BL21" s="134"/>
      <c r="BM21" s="134"/>
      <c r="BN21" s="134"/>
      <c r="BO21" s="134"/>
      <c r="BP21" s="134"/>
      <c r="BQ21" s="134"/>
      <c r="BR21" s="134"/>
      <c r="BS21" s="134"/>
      <c r="BT21" s="134"/>
      <c r="BU21" s="134"/>
      <c r="BV21" s="134"/>
      <c r="BW21" s="134"/>
      <c r="BX21" s="134"/>
      <c r="BY21" s="134"/>
      <c r="BZ21" s="134"/>
      <c r="CA21" s="134"/>
      <c r="CB21" s="134"/>
      <c r="CC21" s="134"/>
      <c r="CD21" s="134"/>
      <c r="CE21" s="134"/>
      <c r="CF21" s="134"/>
    </row>
    <row r="22" spans="1:98" ht="27.95" customHeight="1" x14ac:dyDescent="0.3">
      <c r="A22" s="89"/>
      <c r="B22" s="9" t="s">
        <v>23</v>
      </c>
      <c r="C22" s="9" t="s">
        <v>24</v>
      </c>
      <c r="D22" s="9" t="s">
        <v>103</v>
      </c>
      <c r="E22" s="12">
        <v>43.880169270000003</v>
      </c>
      <c r="F22" s="12">
        <f t="shared" ref="F22:F32" si="23">+IF($D22="USD",$E22,$E22/$C$57)</f>
        <v>43.880169270000003</v>
      </c>
      <c r="G22" s="9"/>
      <c r="H22" s="40" t="s">
        <v>161</v>
      </c>
      <c r="I22" s="27">
        <v>42050</v>
      </c>
      <c r="J22" s="43" t="s">
        <v>171</v>
      </c>
      <c r="K22" s="28">
        <v>300</v>
      </c>
      <c r="L22" s="10" t="s">
        <v>169</v>
      </c>
      <c r="M22" s="27">
        <v>51181</v>
      </c>
      <c r="N22" s="10" t="s">
        <v>163</v>
      </c>
      <c r="O22" s="13"/>
      <c r="P22" s="95">
        <f t="shared" ref="P22:P32" si="24">+F80+F127</f>
        <v>0</v>
      </c>
      <c r="Q22" s="95">
        <f t="shared" ref="Q22:Q32" si="25">+G80+G127</f>
        <v>4.9337176876536288</v>
      </c>
      <c r="R22" s="95">
        <f t="shared" ref="R22:R32" si="26">+H80+H127</f>
        <v>0</v>
      </c>
      <c r="S22" s="95">
        <f t="shared" ref="S22:S32" si="27">+I80+I127</f>
        <v>5.3404817906777851</v>
      </c>
      <c r="T22" s="95">
        <f t="shared" ref="T22:T32" si="28">+J80+J127</f>
        <v>0</v>
      </c>
      <c r="U22" s="95">
        <f t="shared" ref="U22:U32" si="29">+K80+K127</f>
        <v>4.8464412940651638</v>
      </c>
      <c r="V22" s="95">
        <f t="shared" ref="V22:V32" si="30">+L80+L127</f>
        <v>0</v>
      </c>
      <c r="W22" s="95">
        <f t="shared" ref="W22:W32" si="31">+M80+M127</f>
        <v>4.2546869797404954</v>
      </c>
      <c r="X22" s="95">
        <f t="shared" ref="X22:X32" si="32">+N80+N127</f>
        <v>0</v>
      </c>
      <c r="Y22" s="95">
        <f t="shared" ref="Y22:Y32" si="33">+O80+O127</f>
        <v>3.7341507812410111</v>
      </c>
      <c r="Z22" s="95">
        <f t="shared" ref="Z22:Z32" si="34">+P80+P127</f>
        <v>0</v>
      </c>
      <c r="AA22" s="95">
        <f t="shared" ref="AA22:AA32" si="35">+Q80+Q127</f>
        <v>3.5414231375377385</v>
      </c>
      <c r="AB22" s="95">
        <f t="shared" ref="AB22:AB32" si="36">+R80+R127</f>
        <v>0</v>
      </c>
      <c r="AC22" s="95">
        <f t="shared" ref="AC22:AC32" si="37">+S80+S127</f>
        <v>3.452495961295365</v>
      </c>
      <c r="AD22" s="95">
        <f t="shared" ref="AD22:AD32" si="38">+T80+T127</f>
        <v>0</v>
      </c>
      <c r="AE22" s="95">
        <f t="shared" ref="AE22:AE32" si="39">+U80+U127</f>
        <v>2.8707871873850128</v>
      </c>
      <c r="AF22" s="133"/>
      <c r="AI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c r="BK22" s="133"/>
      <c r="BL22" s="133"/>
      <c r="BM22" s="133"/>
      <c r="BN22" s="133"/>
      <c r="BO22" s="133"/>
      <c r="BP22" s="133"/>
      <c r="BQ22" s="133"/>
      <c r="BR22" s="133"/>
      <c r="BS22" s="133"/>
      <c r="BT22" s="133"/>
      <c r="BU22" s="133"/>
      <c r="BV22" s="133"/>
      <c r="BW22" s="133"/>
      <c r="BX22" s="133"/>
      <c r="BY22" s="133"/>
      <c r="BZ22" s="133"/>
      <c r="CA22" s="133"/>
      <c r="CB22" s="133"/>
      <c r="CC22" s="133"/>
      <c r="CD22" s="133"/>
      <c r="CE22" s="133"/>
      <c r="CF22" s="133"/>
      <c r="CS22" s="139"/>
      <c r="CT22" s="140"/>
    </row>
    <row r="23" spans="1:98" ht="27.95" customHeight="1" x14ac:dyDescent="0.3">
      <c r="A23" s="89"/>
      <c r="B23" s="9" t="s">
        <v>17</v>
      </c>
      <c r="C23" s="9" t="s">
        <v>18</v>
      </c>
      <c r="D23" s="9" t="s">
        <v>103</v>
      </c>
      <c r="E23" s="12">
        <v>38.495683270000001</v>
      </c>
      <c r="F23" s="12">
        <f t="shared" si="23"/>
        <v>38.495683270000001</v>
      </c>
      <c r="G23" s="9"/>
      <c r="H23" s="40" t="s">
        <v>161</v>
      </c>
      <c r="I23" s="27">
        <v>39557</v>
      </c>
      <c r="J23" s="43" t="s">
        <v>171</v>
      </c>
      <c r="K23" s="28">
        <v>344</v>
      </c>
      <c r="L23" s="10" t="s">
        <v>169</v>
      </c>
      <c r="M23" s="27">
        <v>50028</v>
      </c>
      <c r="N23" s="10" t="s">
        <v>163</v>
      </c>
      <c r="O23" s="13"/>
      <c r="P23" s="95">
        <f t="shared" si="24"/>
        <v>0</v>
      </c>
      <c r="Q23" s="95">
        <f t="shared" si="25"/>
        <v>5.0318666848628339</v>
      </c>
      <c r="R23" s="95">
        <f t="shared" si="26"/>
        <v>0</v>
      </c>
      <c r="S23" s="95">
        <f t="shared" si="27"/>
        <v>5.1974738766113298</v>
      </c>
      <c r="T23" s="95">
        <f t="shared" si="28"/>
        <v>0</v>
      </c>
      <c r="U23" s="95">
        <f t="shared" si="29"/>
        <v>4.6528062468603197</v>
      </c>
      <c r="V23" s="95">
        <f t="shared" si="30"/>
        <v>0</v>
      </c>
      <c r="W23" s="95">
        <f t="shared" si="31"/>
        <v>4.1095886016482357</v>
      </c>
      <c r="X23" s="95">
        <f t="shared" si="32"/>
        <v>0</v>
      </c>
      <c r="Y23" s="95">
        <f t="shared" si="33"/>
        <v>3.7347379111522794</v>
      </c>
      <c r="Z23" s="95">
        <f t="shared" si="34"/>
        <v>0</v>
      </c>
      <c r="AA23" s="95">
        <f t="shared" si="35"/>
        <v>3.602672522480348</v>
      </c>
      <c r="AB23" s="95">
        <f t="shared" si="36"/>
        <v>0</v>
      </c>
      <c r="AC23" s="95">
        <f t="shared" si="37"/>
        <v>3.5144547131400548</v>
      </c>
      <c r="AD23" s="95">
        <f t="shared" si="38"/>
        <v>0</v>
      </c>
      <c r="AE23" s="95">
        <f t="shared" si="39"/>
        <v>3.1724717525351691</v>
      </c>
      <c r="AF23" s="133"/>
      <c r="AI23" s="133"/>
      <c r="AN23" s="133"/>
      <c r="AO23" s="133"/>
      <c r="AP23" s="133"/>
      <c r="AQ23" s="133"/>
      <c r="AR23" s="133"/>
      <c r="AS23" s="133"/>
      <c r="AT23" s="133"/>
      <c r="AU23" s="133"/>
      <c r="AV23" s="133"/>
      <c r="AW23" s="133"/>
      <c r="AX23" s="133"/>
      <c r="AY23" s="133"/>
      <c r="AZ23" s="133"/>
      <c r="BA23" s="133"/>
      <c r="BB23" s="133"/>
      <c r="BC23" s="133"/>
      <c r="BD23" s="133"/>
      <c r="BE23" s="133"/>
      <c r="BF23" s="133"/>
      <c r="BG23" s="133"/>
      <c r="BH23" s="133"/>
      <c r="BI23" s="133"/>
      <c r="BJ23" s="133"/>
      <c r="BK23" s="133"/>
      <c r="BL23" s="133"/>
      <c r="BM23" s="133"/>
      <c r="BN23" s="133"/>
      <c r="BO23" s="133"/>
      <c r="BP23" s="133"/>
      <c r="BQ23" s="133"/>
      <c r="BR23" s="133"/>
      <c r="BS23" s="133"/>
      <c r="BT23" s="133"/>
      <c r="BU23" s="133"/>
      <c r="BV23" s="133"/>
      <c r="BW23" s="133"/>
      <c r="BX23" s="133"/>
      <c r="BY23" s="133"/>
      <c r="BZ23" s="133"/>
      <c r="CA23" s="133"/>
      <c r="CB23" s="133"/>
      <c r="CC23" s="133"/>
      <c r="CD23" s="133"/>
      <c r="CE23" s="133"/>
      <c r="CF23" s="133"/>
      <c r="CS23" s="139"/>
      <c r="CT23" s="140"/>
    </row>
    <row r="24" spans="1:98" ht="27.95" customHeight="1" x14ac:dyDescent="0.3">
      <c r="A24" s="89"/>
      <c r="B24" s="9" t="s">
        <v>19</v>
      </c>
      <c r="C24" s="9" t="s">
        <v>20</v>
      </c>
      <c r="D24" s="9" t="s">
        <v>103</v>
      </c>
      <c r="E24" s="12">
        <v>28.918855369999999</v>
      </c>
      <c r="F24" s="12">
        <f t="shared" si="23"/>
        <v>28.918855369999999</v>
      </c>
      <c r="G24" s="9"/>
      <c r="H24" s="40" t="s">
        <v>161</v>
      </c>
      <c r="I24" s="27">
        <v>39555</v>
      </c>
      <c r="J24" s="43" t="s">
        <v>171</v>
      </c>
      <c r="K24" s="28">
        <v>300</v>
      </c>
      <c r="L24" s="10" t="s">
        <v>169</v>
      </c>
      <c r="M24" s="27">
        <v>48686</v>
      </c>
      <c r="N24" s="10" t="s">
        <v>163</v>
      </c>
      <c r="O24" s="13"/>
      <c r="P24" s="95">
        <f t="shared" si="24"/>
        <v>0</v>
      </c>
      <c r="Q24" s="95">
        <f t="shared" si="25"/>
        <v>4.3953604199999985</v>
      </c>
      <c r="R24" s="95">
        <f t="shared" si="26"/>
        <v>0</v>
      </c>
      <c r="S24" s="95">
        <f t="shared" si="27"/>
        <v>4.888405269999998</v>
      </c>
      <c r="T24" s="95">
        <f t="shared" si="28"/>
        <v>0</v>
      </c>
      <c r="U24" s="95">
        <f t="shared" si="29"/>
        <v>4.4365200199999979</v>
      </c>
      <c r="V24" s="95">
        <f t="shared" si="30"/>
        <v>0</v>
      </c>
      <c r="W24" s="95">
        <f t="shared" si="31"/>
        <v>3.9899760599999983</v>
      </c>
      <c r="X24" s="95">
        <f t="shared" si="32"/>
        <v>0</v>
      </c>
      <c r="Y24" s="95">
        <f t="shared" si="33"/>
        <v>3.644647689999998</v>
      </c>
      <c r="Z24" s="95">
        <f t="shared" si="34"/>
        <v>0</v>
      </c>
      <c r="AA24" s="95">
        <f t="shared" si="35"/>
        <v>3.4887778299999983</v>
      </c>
      <c r="AB24" s="95">
        <f t="shared" si="36"/>
        <v>0</v>
      </c>
      <c r="AC24" s="95">
        <f t="shared" si="37"/>
        <v>3.3723671599999978</v>
      </c>
      <c r="AD24" s="95">
        <f t="shared" si="38"/>
        <v>0</v>
      </c>
      <c r="AE24" s="95">
        <f t="shared" si="39"/>
        <v>2.7283158268003178</v>
      </c>
      <c r="AF24" s="133"/>
      <c r="AI24" s="133"/>
      <c r="AN24" s="133"/>
      <c r="AO24" s="133"/>
      <c r="AP24" s="133"/>
      <c r="AQ24" s="133"/>
      <c r="AR24" s="133"/>
      <c r="AS24" s="133"/>
      <c r="AT24" s="133"/>
      <c r="AU24" s="133"/>
      <c r="AV24" s="133"/>
      <c r="AW24" s="133"/>
      <c r="AX24" s="133"/>
      <c r="AY24" s="133"/>
      <c r="AZ24" s="133"/>
      <c r="BA24" s="133"/>
      <c r="BB24" s="133"/>
      <c r="BC24" s="133"/>
      <c r="BD24" s="133"/>
      <c r="BE24" s="133"/>
      <c r="BF24" s="133"/>
      <c r="BG24" s="133"/>
      <c r="BH24" s="133"/>
      <c r="BI24" s="133"/>
      <c r="BJ24" s="133"/>
      <c r="BK24" s="133"/>
      <c r="BL24" s="133"/>
      <c r="BM24" s="133"/>
      <c r="BN24" s="133"/>
      <c r="BO24" s="133"/>
      <c r="BP24" s="133"/>
      <c r="BQ24" s="133"/>
      <c r="BR24" s="133"/>
      <c r="BS24" s="133"/>
      <c r="BT24" s="133"/>
      <c r="BU24" s="133"/>
      <c r="BV24" s="133"/>
      <c r="BW24" s="133"/>
      <c r="BX24" s="133"/>
      <c r="BY24" s="133"/>
      <c r="BZ24" s="133"/>
      <c r="CA24" s="133"/>
      <c r="CB24" s="133"/>
      <c r="CC24" s="133"/>
      <c r="CD24" s="133"/>
      <c r="CE24" s="133"/>
      <c r="CF24" s="133"/>
      <c r="CS24" s="139"/>
      <c r="CT24" s="140"/>
    </row>
    <row r="25" spans="1:98" ht="27.95" customHeight="1" x14ac:dyDescent="0.3">
      <c r="A25" s="89"/>
      <c r="B25" s="9" t="s">
        <v>133</v>
      </c>
      <c r="C25" s="9" t="s">
        <v>134</v>
      </c>
      <c r="D25" s="9" t="s">
        <v>103</v>
      </c>
      <c r="E25" s="12">
        <v>14.423999999999999</v>
      </c>
      <c r="F25" s="12">
        <f>+IF($D25="USD",$E25,$E25/$C$57)</f>
        <v>14.423999999999999</v>
      </c>
      <c r="G25" s="9"/>
      <c r="H25" s="40" t="s">
        <v>161</v>
      </c>
      <c r="I25" s="27">
        <v>44313</v>
      </c>
      <c r="J25" s="43" t="s">
        <v>171</v>
      </c>
      <c r="K25" s="28">
        <v>283</v>
      </c>
      <c r="L25" s="10" t="s">
        <v>169</v>
      </c>
      <c r="M25" s="27">
        <v>52916</v>
      </c>
      <c r="N25" s="10" t="s">
        <v>163</v>
      </c>
      <c r="O25" s="13"/>
      <c r="P25" s="95">
        <f t="shared" si="24"/>
        <v>0</v>
      </c>
      <c r="Q25" s="95">
        <f t="shared" si="25"/>
        <v>0.90103471849315053</v>
      </c>
      <c r="R25" s="95">
        <f t="shared" si="26"/>
        <v>0</v>
      </c>
      <c r="S25" s="95">
        <f t="shared" si="27"/>
        <v>0.93727942356164362</v>
      </c>
      <c r="T25" s="95">
        <f t="shared" si="28"/>
        <v>0</v>
      </c>
      <c r="U25" s="95">
        <f t="shared" si="29"/>
        <v>1.5000076776986302</v>
      </c>
      <c r="V25" s="95">
        <f t="shared" si="30"/>
        <v>0</v>
      </c>
      <c r="W25" s="95">
        <f t="shared" si="31"/>
        <v>1.2907946709041096</v>
      </c>
      <c r="X25" s="95">
        <f t="shared" si="32"/>
        <v>0</v>
      </c>
      <c r="Y25" s="95">
        <f t="shared" si="33"/>
        <v>1.1327001225205477</v>
      </c>
      <c r="Z25" s="95">
        <f t="shared" si="34"/>
        <v>0</v>
      </c>
      <c r="AA25" s="95">
        <f t="shared" si="35"/>
        <v>1.0853388197260272</v>
      </c>
      <c r="AB25" s="95">
        <f t="shared" si="36"/>
        <v>0</v>
      </c>
      <c r="AC25" s="95">
        <f t="shared" si="37"/>
        <v>1.0619225424657532</v>
      </c>
      <c r="AD25" s="95">
        <f t="shared" si="38"/>
        <v>0</v>
      </c>
      <c r="AE25" s="95">
        <f t="shared" si="39"/>
        <v>0.88894519232876679</v>
      </c>
      <c r="AF25" s="133"/>
      <c r="AI25" s="133"/>
      <c r="AN25" s="133"/>
      <c r="AO25" s="133"/>
      <c r="AP25" s="133"/>
      <c r="AQ25" s="133"/>
      <c r="AR25" s="133"/>
      <c r="AS25" s="133"/>
      <c r="AT25" s="133"/>
      <c r="AU25" s="133"/>
      <c r="AV25" s="133"/>
      <c r="AW25" s="133"/>
      <c r="AX25" s="133"/>
      <c r="AY25" s="133"/>
      <c r="AZ25" s="133"/>
      <c r="BA25" s="133"/>
      <c r="BB25" s="133"/>
      <c r="BC25" s="133"/>
      <c r="BD25" s="133"/>
      <c r="BE25" s="133"/>
      <c r="BF25" s="133"/>
      <c r="BG25" s="133"/>
      <c r="BH25" s="133"/>
      <c r="BI25" s="133"/>
      <c r="BJ25" s="133"/>
      <c r="BK25" s="133"/>
      <c r="BL25" s="133"/>
      <c r="BM25" s="133"/>
      <c r="BN25" s="133"/>
      <c r="BO25" s="133"/>
      <c r="BP25" s="133"/>
      <c r="BQ25" s="133"/>
      <c r="BR25" s="133"/>
      <c r="BS25" s="133"/>
      <c r="BT25" s="133"/>
      <c r="BU25" s="133"/>
      <c r="BV25" s="133"/>
      <c r="BW25" s="133"/>
      <c r="BX25" s="133"/>
      <c r="BY25" s="133"/>
      <c r="BZ25" s="133"/>
      <c r="CA25" s="133"/>
      <c r="CB25" s="133"/>
      <c r="CC25" s="133"/>
      <c r="CD25" s="133"/>
      <c r="CE25" s="133"/>
      <c r="CF25" s="133"/>
      <c r="CS25" s="139"/>
      <c r="CT25" s="140"/>
    </row>
    <row r="26" spans="1:98" ht="27.95" customHeight="1" x14ac:dyDescent="0.3">
      <c r="A26" s="89"/>
      <c r="B26" s="9" t="s">
        <v>21</v>
      </c>
      <c r="C26" s="9" t="s">
        <v>22</v>
      </c>
      <c r="D26" s="9" t="s">
        <v>103</v>
      </c>
      <c r="E26" s="12">
        <v>12.17702463</v>
      </c>
      <c r="F26" s="12">
        <f>+IF($D26="USD",$E26,$E26/$C$57)</f>
        <v>12.17702463</v>
      </c>
      <c r="G26" s="9"/>
      <c r="H26" s="40" t="s">
        <v>161</v>
      </c>
      <c r="I26" s="27">
        <v>38588</v>
      </c>
      <c r="J26" s="43" t="s">
        <v>171</v>
      </c>
      <c r="K26" s="28">
        <v>240</v>
      </c>
      <c r="L26" s="10" t="s">
        <v>169</v>
      </c>
      <c r="M26" s="27">
        <v>45893</v>
      </c>
      <c r="N26" s="10" t="s">
        <v>163</v>
      </c>
      <c r="O26" s="13"/>
      <c r="P26" s="95">
        <f t="shared" si="24"/>
        <v>0</v>
      </c>
      <c r="Q26" s="95">
        <f t="shared" si="25"/>
        <v>5.6174370701447334</v>
      </c>
      <c r="R26" s="95">
        <f t="shared" si="26"/>
        <v>0</v>
      </c>
      <c r="S26" s="95">
        <f t="shared" si="27"/>
        <v>5.4325309932878714</v>
      </c>
      <c r="T26" s="95">
        <f t="shared" si="28"/>
        <v>0</v>
      </c>
      <c r="U26" s="95">
        <f t="shared" si="29"/>
        <v>5.0838584070958275</v>
      </c>
      <c r="V26" s="95">
        <f t="shared" si="30"/>
        <v>0</v>
      </c>
      <c r="W26" s="95">
        <f t="shared" si="31"/>
        <v>0</v>
      </c>
      <c r="X26" s="95">
        <f t="shared" si="32"/>
        <v>0</v>
      </c>
      <c r="Y26" s="95">
        <f t="shared" si="33"/>
        <v>0</v>
      </c>
      <c r="Z26" s="95">
        <f t="shared" si="34"/>
        <v>0</v>
      </c>
      <c r="AA26" s="95">
        <f t="shared" si="35"/>
        <v>0</v>
      </c>
      <c r="AB26" s="95">
        <f t="shared" si="36"/>
        <v>0</v>
      </c>
      <c r="AC26" s="95">
        <f t="shared" si="37"/>
        <v>0</v>
      </c>
      <c r="AD26" s="95">
        <f t="shared" si="38"/>
        <v>0</v>
      </c>
      <c r="AE26" s="95">
        <f t="shared" si="39"/>
        <v>0</v>
      </c>
      <c r="AF26" s="133"/>
      <c r="AI26" s="133"/>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133"/>
      <c r="BM26" s="133"/>
      <c r="BN26" s="133"/>
      <c r="BO26" s="133"/>
      <c r="BP26" s="133"/>
      <c r="BQ26" s="133"/>
      <c r="BR26" s="133"/>
      <c r="BS26" s="133"/>
      <c r="BT26" s="133"/>
      <c r="BU26" s="133"/>
      <c r="BV26" s="133"/>
      <c r="BW26" s="133"/>
      <c r="BX26" s="133"/>
      <c r="BY26" s="133"/>
      <c r="BZ26" s="133"/>
      <c r="CA26" s="133"/>
      <c r="CB26" s="133"/>
      <c r="CC26" s="133"/>
      <c r="CD26" s="133"/>
      <c r="CE26" s="133"/>
      <c r="CF26" s="133"/>
      <c r="CS26" s="139"/>
      <c r="CT26" s="140"/>
    </row>
    <row r="27" spans="1:98" ht="27.95" customHeight="1" x14ac:dyDescent="0.3">
      <c r="A27" s="89"/>
      <c r="B27" s="9" t="s">
        <v>27</v>
      </c>
      <c r="C27" s="9" t="s">
        <v>28</v>
      </c>
      <c r="D27" s="9" t="s">
        <v>103</v>
      </c>
      <c r="E27" s="12">
        <v>11.942434069999999</v>
      </c>
      <c r="F27" s="12">
        <f t="shared" si="23"/>
        <v>11.942434069999999</v>
      </c>
      <c r="G27" s="9"/>
      <c r="H27" s="40" t="s">
        <v>161</v>
      </c>
      <c r="I27" s="27">
        <v>43084</v>
      </c>
      <c r="J27" s="43" t="s">
        <v>171</v>
      </c>
      <c r="K27" s="28">
        <v>292</v>
      </c>
      <c r="L27" s="10" t="s">
        <v>169</v>
      </c>
      <c r="M27" s="27">
        <v>51971</v>
      </c>
      <c r="N27" s="10" t="s">
        <v>163</v>
      </c>
      <c r="O27" s="13"/>
      <c r="P27" s="95">
        <f t="shared" si="24"/>
        <v>0</v>
      </c>
      <c r="Q27" s="95">
        <f t="shared" si="25"/>
        <v>1.1592499692854399</v>
      </c>
      <c r="R27" s="95">
        <f t="shared" si="26"/>
        <v>0</v>
      </c>
      <c r="S27" s="95">
        <f t="shared" si="27"/>
        <v>1.3107999908272538</v>
      </c>
      <c r="T27" s="95">
        <f t="shared" si="28"/>
        <v>0</v>
      </c>
      <c r="U27" s="95">
        <f t="shared" si="29"/>
        <v>1.170159315458283</v>
      </c>
      <c r="V27" s="95">
        <f t="shared" si="30"/>
        <v>0</v>
      </c>
      <c r="W27" s="95">
        <f t="shared" si="31"/>
        <v>1.0168757341605501</v>
      </c>
      <c r="X27" s="95">
        <f t="shared" si="32"/>
        <v>0</v>
      </c>
      <c r="Y27" s="95">
        <f t="shared" si="33"/>
        <v>0.8933044210540575</v>
      </c>
      <c r="Z27" s="95">
        <f t="shared" si="34"/>
        <v>0</v>
      </c>
      <c r="AA27" s="95">
        <f t="shared" si="35"/>
        <v>0.85378008879154932</v>
      </c>
      <c r="AB27" s="95">
        <f t="shared" si="36"/>
        <v>0</v>
      </c>
      <c r="AC27" s="95">
        <f t="shared" si="37"/>
        <v>0.83424665029918388</v>
      </c>
      <c r="AD27" s="95">
        <f t="shared" si="38"/>
        <v>0</v>
      </c>
      <c r="AE27" s="95">
        <f t="shared" si="39"/>
        <v>0.68599734791527422</v>
      </c>
      <c r="AF27" s="133"/>
      <c r="AI27" s="133"/>
      <c r="AN27" s="133"/>
      <c r="AO27" s="133"/>
      <c r="AP27" s="133"/>
      <c r="AQ27" s="133"/>
      <c r="AR27" s="133"/>
      <c r="AS27" s="133"/>
      <c r="AT27" s="133"/>
      <c r="AU27" s="133"/>
      <c r="AV27" s="133"/>
      <c r="AW27" s="133"/>
      <c r="AX27" s="133"/>
      <c r="AY27" s="133"/>
      <c r="AZ27" s="133"/>
      <c r="BA27" s="133"/>
      <c r="BB27" s="133"/>
      <c r="BC27" s="133"/>
      <c r="BD27" s="133"/>
      <c r="BE27" s="133"/>
      <c r="BF27" s="133"/>
      <c r="BG27" s="133"/>
      <c r="BH27" s="133"/>
      <c r="BI27" s="133"/>
      <c r="BJ27" s="133"/>
      <c r="BK27" s="133"/>
      <c r="BL27" s="133"/>
      <c r="BM27" s="133"/>
      <c r="BN27" s="133"/>
      <c r="BO27" s="133"/>
      <c r="BP27" s="133"/>
      <c r="BQ27" s="133"/>
      <c r="BR27" s="133"/>
      <c r="BS27" s="133"/>
      <c r="BT27" s="133"/>
      <c r="BU27" s="133"/>
      <c r="BV27" s="133"/>
      <c r="BW27" s="133"/>
      <c r="BX27" s="133"/>
      <c r="BY27" s="133"/>
      <c r="BZ27" s="133"/>
      <c r="CA27" s="133"/>
      <c r="CB27" s="133"/>
      <c r="CC27" s="133"/>
      <c r="CD27" s="133"/>
      <c r="CE27" s="133"/>
      <c r="CF27" s="133"/>
      <c r="CS27" s="139"/>
      <c r="CT27" s="140"/>
    </row>
    <row r="28" spans="1:98" ht="27.95" customHeight="1" x14ac:dyDescent="0.3">
      <c r="A28" s="89"/>
      <c r="B28" s="9" t="s">
        <v>25</v>
      </c>
      <c r="C28" s="9" t="s">
        <v>26</v>
      </c>
      <c r="D28" s="9" t="s">
        <v>103</v>
      </c>
      <c r="E28" s="12">
        <v>3.7412622400000002</v>
      </c>
      <c r="F28" s="12">
        <f t="shared" si="23"/>
        <v>3.7412622400000002</v>
      </c>
      <c r="G28" s="9"/>
      <c r="H28" s="40" t="s">
        <v>161</v>
      </c>
      <c r="I28" s="27">
        <v>40852</v>
      </c>
      <c r="J28" s="43" t="s">
        <v>171</v>
      </c>
      <c r="K28" s="28">
        <v>252</v>
      </c>
      <c r="L28" s="10" t="s">
        <v>169</v>
      </c>
      <c r="M28" s="27">
        <v>48523</v>
      </c>
      <c r="N28" s="10" t="s">
        <v>163</v>
      </c>
      <c r="O28" s="13"/>
      <c r="P28" s="95">
        <f t="shared" si="24"/>
        <v>0</v>
      </c>
      <c r="Q28" s="95">
        <f t="shared" si="25"/>
        <v>0.61706691075638398</v>
      </c>
      <c r="R28" s="95">
        <f t="shared" si="26"/>
        <v>0</v>
      </c>
      <c r="S28" s="95">
        <f t="shared" si="27"/>
        <v>0.64984489736075846</v>
      </c>
      <c r="T28" s="95">
        <f t="shared" si="28"/>
        <v>0</v>
      </c>
      <c r="U28" s="95">
        <f t="shared" si="29"/>
        <v>0.58947743273169961</v>
      </c>
      <c r="V28" s="95">
        <f t="shared" si="30"/>
        <v>0</v>
      </c>
      <c r="W28" s="95">
        <f t="shared" si="31"/>
        <v>0.53105688105193427</v>
      </c>
      <c r="X28" s="95">
        <f t="shared" si="32"/>
        <v>0</v>
      </c>
      <c r="Y28" s="95">
        <f t="shared" si="33"/>
        <v>0.48751953991249686</v>
      </c>
      <c r="Z28" s="95">
        <f t="shared" si="34"/>
        <v>0</v>
      </c>
      <c r="AA28" s="95">
        <f t="shared" si="35"/>
        <v>0.4672864052881413</v>
      </c>
      <c r="AB28" s="95">
        <f t="shared" si="36"/>
        <v>0</v>
      </c>
      <c r="AC28" s="95">
        <f t="shared" si="37"/>
        <v>0.45152886688699168</v>
      </c>
      <c r="AD28" s="95">
        <f t="shared" si="38"/>
        <v>0</v>
      </c>
      <c r="AE28" s="95">
        <f t="shared" si="39"/>
        <v>0.42074643370998993</v>
      </c>
      <c r="AF28" s="133"/>
      <c r="AI28" s="133"/>
      <c r="AN28" s="133"/>
      <c r="AO28" s="133"/>
      <c r="AP28" s="133"/>
      <c r="AQ28" s="133"/>
      <c r="AR28" s="133"/>
      <c r="AS28" s="133"/>
      <c r="AT28" s="133"/>
      <c r="AU28" s="133"/>
      <c r="AV28" s="133"/>
      <c r="AW28" s="133"/>
      <c r="AX28" s="133"/>
      <c r="AY28" s="133"/>
      <c r="AZ28" s="133"/>
      <c r="BA28" s="133"/>
      <c r="BB28" s="133"/>
      <c r="BC28" s="133"/>
      <c r="BD28" s="133"/>
      <c r="BE28" s="133"/>
      <c r="BF28" s="133"/>
      <c r="BG28" s="133"/>
      <c r="BH28" s="133"/>
      <c r="BI28" s="133"/>
      <c r="BJ28" s="133"/>
      <c r="BK28" s="133"/>
      <c r="BL28" s="133"/>
      <c r="BM28" s="133"/>
      <c r="BN28" s="133"/>
      <c r="BO28" s="133"/>
      <c r="BP28" s="133"/>
      <c r="BQ28" s="133"/>
      <c r="BR28" s="133"/>
      <c r="BS28" s="133"/>
      <c r="BT28" s="133"/>
      <c r="BU28" s="133"/>
      <c r="BV28" s="133"/>
      <c r="BW28" s="133"/>
      <c r="BX28" s="133"/>
      <c r="BY28" s="133"/>
      <c r="BZ28" s="133"/>
      <c r="CA28" s="133"/>
      <c r="CB28" s="133"/>
      <c r="CC28" s="133"/>
      <c r="CD28" s="133"/>
      <c r="CE28" s="133"/>
      <c r="CF28" s="133"/>
      <c r="CS28" s="139"/>
      <c r="CT28" s="140"/>
    </row>
    <row r="29" spans="1:98" ht="27.95" customHeight="1" x14ac:dyDescent="0.3">
      <c r="A29" s="89"/>
      <c r="B29" s="9" t="s">
        <v>157</v>
      </c>
      <c r="C29" s="9" t="s">
        <v>242</v>
      </c>
      <c r="D29" s="9" t="s">
        <v>103</v>
      </c>
      <c r="E29" s="12">
        <v>3.74427676</v>
      </c>
      <c r="F29" s="12">
        <f t="shared" si="23"/>
        <v>3.74427676</v>
      </c>
      <c r="G29" s="9"/>
      <c r="H29" s="40" t="s">
        <v>161</v>
      </c>
      <c r="I29" s="27">
        <v>44774</v>
      </c>
      <c r="J29" s="43" t="s">
        <v>172</v>
      </c>
      <c r="K29" s="28">
        <v>173</v>
      </c>
      <c r="L29" s="10" t="s">
        <v>169</v>
      </c>
      <c r="M29" s="27">
        <v>50055</v>
      </c>
      <c r="N29" s="10" t="s">
        <v>163</v>
      </c>
      <c r="O29" s="13"/>
      <c r="P29" s="95">
        <f t="shared" si="24"/>
        <v>0</v>
      </c>
      <c r="Q29" s="95">
        <f t="shared" si="25"/>
        <v>9.1411902900425168E-2</v>
      </c>
      <c r="R29" s="95">
        <f t="shared" si="26"/>
        <v>0</v>
      </c>
      <c r="S29" s="95">
        <f t="shared" si="27"/>
        <v>0.26399584993503999</v>
      </c>
      <c r="T29" s="95">
        <f t="shared" si="28"/>
        <v>0</v>
      </c>
      <c r="U29" s="95">
        <f t="shared" si="29"/>
        <v>0.39978619314763381</v>
      </c>
      <c r="V29" s="95">
        <f t="shared" si="30"/>
        <v>0</v>
      </c>
      <c r="W29" s="95">
        <f t="shared" si="31"/>
        <v>0.50017070089643945</v>
      </c>
      <c r="X29" s="95">
        <f t="shared" si="32"/>
        <v>0</v>
      </c>
      <c r="Y29" s="95">
        <f t="shared" si="33"/>
        <v>0.44214669988274252</v>
      </c>
      <c r="Z29" s="95">
        <f t="shared" si="34"/>
        <v>0</v>
      </c>
      <c r="AA29" s="95">
        <f t="shared" si="35"/>
        <v>0.42110794831444076</v>
      </c>
      <c r="AB29" s="95">
        <f t="shared" si="36"/>
        <v>0</v>
      </c>
      <c r="AC29" s="95">
        <f t="shared" si="37"/>
        <v>0.40905899764021331</v>
      </c>
      <c r="AD29" s="95">
        <f t="shared" si="38"/>
        <v>0</v>
      </c>
      <c r="AE29" s="95">
        <f t="shared" si="39"/>
        <v>0.33666620653104334</v>
      </c>
      <c r="AF29" s="133"/>
      <c r="AI29" s="133"/>
      <c r="AN29" s="133"/>
      <c r="AO29" s="133"/>
      <c r="AP29" s="133"/>
      <c r="AQ29" s="133"/>
      <c r="AR29" s="133"/>
      <c r="AS29" s="133"/>
      <c r="AT29" s="133"/>
      <c r="AU29" s="133"/>
      <c r="AV29" s="133"/>
      <c r="AW29" s="133"/>
      <c r="AX29" s="133"/>
      <c r="AY29" s="133"/>
      <c r="AZ29" s="133"/>
      <c r="BA29" s="133"/>
      <c r="BB29" s="133"/>
      <c r="BC29" s="133"/>
      <c r="BD29" s="133"/>
      <c r="BE29" s="133"/>
      <c r="BF29" s="133"/>
      <c r="BG29" s="133"/>
      <c r="BH29" s="133"/>
      <c r="BI29" s="133"/>
      <c r="BJ29" s="133"/>
      <c r="BK29" s="133"/>
      <c r="BL29" s="133"/>
      <c r="BM29" s="133"/>
      <c r="BN29" s="133"/>
      <c r="BO29" s="133"/>
      <c r="BP29" s="133"/>
      <c r="BQ29" s="133"/>
      <c r="BR29" s="133"/>
      <c r="BS29" s="133"/>
      <c r="BT29" s="133"/>
      <c r="BU29" s="133"/>
      <c r="BV29" s="133"/>
      <c r="BW29" s="133"/>
      <c r="BX29" s="133"/>
      <c r="BY29" s="133"/>
      <c r="BZ29" s="133"/>
      <c r="CA29" s="133"/>
      <c r="CB29" s="133"/>
      <c r="CC29" s="133"/>
      <c r="CD29" s="133"/>
      <c r="CE29" s="133"/>
      <c r="CF29" s="133"/>
      <c r="CS29" s="139"/>
      <c r="CT29" s="140"/>
    </row>
    <row r="30" spans="1:98" ht="27.95" customHeight="1" x14ac:dyDescent="0.3">
      <c r="A30" s="89"/>
      <c r="B30" s="9" t="s">
        <v>31</v>
      </c>
      <c r="C30" s="9" t="s">
        <v>32</v>
      </c>
      <c r="D30" s="9" t="s">
        <v>103</v>
      </c>
      <c r="E30" s="12">
        <v>0.53512537999999998</v>
      </c>
      <c r="F30" s="12">
        <f t="shared" si="23"/>
        <v>0.53512537999999998</v>
      </c>
      <c r="G30" s="9"/>
      <c r="H30" s="40" t="s">
        <v>161</v>
      </c>
      <c r="I30" s="27">
        <v>40360</v>
      </c>
      <c r="J30" s="43" t="s">
        <v>171</v>
      </c>
      <c r="K30" s="28">
        <v>290</v>
      </c>
      <c r="L30" s="10" t="s">
        <v>168</v>
      </c>
      <c r="M30" s="27">
        <v>49188</v>
      </c>
      <c r="N30" s="10" t="s">
        <v>163</v>
      </c>
      <c r="O30" s="13"/>
      <c r="P30" s="95">
        <f t="shared" si="24"/>
        <v>0</v>
      </c>
      <c r="Q30" s="95">
        <f t="shared" si="25"/>
        <v>5.3897230425531913E-2</v>
      </c>
      <c r="R30" s="95">
        <f t="shared" si="26"/>
        <v>0</v>
      </c>
      <c r="S30" s="95">
        <f t="shared" si="27"/>
        <v>5.3340710425531915E-2</v>
      </c>
      <c r="T30" s="95">
        <f t="shared" si="28"/>
        <v>0</v>
      </c>
      <c r="U30" s="95">
        <f t="shared" si="29"/>
        <v>5.2784170425531914E-2</v>
      </c>
      <c r="V30" s="95">
        <f t="shared" si="30"/>
        <v>0</v>
      </c>
      <c r="W30" s="95">
        <f t="shared" si="31"/>
        <v>5.2227640425531914E-2</v>
      </c>
      <c r="X30" s="95">
        <f t="shared" si="32"/>
        <v>0</v>
      </c>
      <c r="Y30" s="95">
        <f t="shared" si="33"/>
        <v>5.1671110425531915E-2</v>
      </c>
      <c r="Z30" s="95">
        <f t="shared" si="34"/>
        <v>0</v>
      </c>
      <c r="AA30" s="95">
        <f t="shared" si="35"/>
        <v>5.111459042553191E-2</v>
      </c>
      <c r="AB30" s="95">
        <f t="shared" si="36"/>
        <v>0</v>
      </c>
      <c r="AC30" s="95">
        <f t="shared" si="37"/>
        <v>5.0558050425531909E-2</v>
      </c>
      <c r="AD30" s="95">
        <f t="shared" si="38"/>
        <v>0</v>
      </c>
      <c r="AE30" s="95">
        <f t="shared" si="39"/>
        <v>4.6510125404255316E-2</v>
      </c>
      <c r="AF30" s="133"/>
      <c r="AI30" s="133"/>
      <c r="AN30" s="133"/>
      <c r="AO30" s="133"/>
      <c r="AP30" s="133"/>
      <c r="AQ30" s="133"/>
      <c r="AR30" s="133"/>
      <c r="AS30" s="133"/>
      <c r="AT30" s="133"/>
      <c r="AU30" s="133"/>
      <c r="AV30" s="133"/>
      <c r="AW30" s="133"/>
      <c r="AX30" s="133"/>
      <c r="AY30" s="133"/>
      <c r="AZ30" s="133"/>
      <c r="BA30" s="133"/>
      <c r="BB30" s="133"/>
      <c r="BC30" s="133"/>
      <c r="BD30" s="133"/>
      <c r="BE30" s="133"/>
      <c r="BF30" s="133"/>
      <c r="BG30" s="133"/>
      <c r="BH30" s="133"/>
      <c r="BI30" s="133"/>
      <c r="BJ30" s="133"/>
      <c r="BK30" s="133"/>
      <c r="BL30" s="133"/>
      <c r="BM30" s="133"/>
      <c r="BN30" s="133"/>
      <c r="BO30" s="133"/>
      <c r="BP30" s="133"/>
      <c r="BQ30" s="133"/>
      <c r="BR30" s="133"/>
      <c r="BS30" s="133"/>
      <c r="BT30" s="133"/>
      <c r="BU30" s="133"/>
      <c r="BV30" s="133"/>
      <c r="BW30" s="133"/>
      <c r="BX30" s="133"/>
      <c r="BY30" s="133"/>
      <c r="BZ30" s="133"/>
      <c r="CA30" s="133"/>
      <c r="CB30" s="133"/>
      <c r="CC30" s="133"/>
      <c r="CD30" s="133"/>
      <c r="CE30" s="133"/>
      <c r="CF30" s="133"/>
      <c r="CS30" s="139"/>
      <c r="CT30" s="140"/>
    </row>
    <row r="31" spans="1:98" ht="27.95" customHeight="1" x14ac:dyDescent="0.3">
      <c r="A31" s="89"/>
      <c r="B31" s="9" t="s">
        <v>29</v>
      </c>
      <c r="C31" s="9" t="s">
        <v>30</v>
      </c>
      <c r="D31" s="9" t="s">
        <v>103</v>
      </c>
      <c r="E31" s="12">
        <v>0.36077973000000002</v>
      </c>
      <c r="F31" s="12">
        <f t="shared" si="23"/>
        <v>0.36077973000000002</v>
      </c>
      <c r="G31" s="9"/>
      <c r="H31" s="40" t="s">
        <v>161</v>
      </c>
      <c r="I31" s="27">
        <v>38643</v>
      </c>
      <c r="J31" s="43" t="s">
        <v>171</v>
      </c>
      <c r="K31" s="28">
        <v>228</v>
      </c>
      <c r="L31" s="10" t="s">
        <v>169</v>
      </c>
      <c r="M31" s="27">
        <v>45583</v>
      </c>
      <c r="N31" s="10" t="s">
        <v>163</v>
      </c>
      <c r="O31" s="13"/>
      <c r="P31" s="95">
        <f t="shared" si="24"/>
        <v>0</v>
      </c>
      <c r="Q31" s="95">
        <f t="shared" si="25"/>
        <v>0.26349495177178178</v>
      </c>
      <c r="R31" s="95">
        <f t="shared" si="26"/>
        <v>0</v>
      </c>
      <c r="S31" s="95">
        <f t="shared" si="27"/>
        <v>0.25039693269481939</v>
      </c>
      <c r="T31" s="95">
        <f t="shared" si="28"/>
        <v>0</v>
      </c>
      <c r="U31" s="95">
        <f t="shared" si="29"/>
        <v>0</v>
      </c>
      <c r="V31" s="95">
        <f t="shared" si="30"/>
        <v>0</v>
      </c>
      <c r="W31" s="95">
        <f t="shared" si="31"/>
        <v>0</v>
      </c>
      <c r="X31" s="95">
        <f t="shared" si="32"/>
        <v>0</v>
      </c>
      <c r="Y31" s="95">
        <f t="shared" si="33"/>
        <v>0</v>
      </c>
      <c r="Z31" s="95">
        <f t="shared" si="34"/>
        <v>0</v>
      </c>
      <c r="AA31" s="95">
        <f t="shared" si="35"/>
        <v>0</v>
      </c>
      <c r="AB31" s="95">
        <f t="shared" si="36"/>
        <v>0</v>
      </c>
      <c r="AC31" s="95">
        <f t="shared" si="37"/>
        <v>0</v>
      </c>
      <c r="AD31" s="95">
        <f t="shared" si="38"/>
        <v>0</v>
      </c>
      <c r="AE31" s="95">
        <f t="shared" si="39"/>
        <v>0</v>
      </c>
      <c r="AF31" s="133"/>
      <c r="AI31" s="133"/>
      <c r="AN31" s="133"/>
      <c r="AO31" s="133"/>
      <c r="AP31" s="133"/>
      <c r="AQ31" s="133"/>
      <c r="AR31" s="133"/>
      <c r="AS31" s="133"/>
      <c r="AT31" s="133"/>
      <c r="AU31" s="133"/>
      <c r="AV31" s="133"/>
      <c r="AW31" s="133"/>
      <c r="AX31" s="133"/>
      <c r="AY31" s="133"/>
      <c r="AZ31" s="133"/>
      <c r="BA31" s="133"/>
      <c r="BB31" s="133"/>
      <c r="BC31" s="133"/>
      <c r="BD31" s="133"/>
      <c r="BE31" s="133"/>
      <c r="BF31" s="133"/>
      <c r="BG31" s="133"/>
      <c r="BH31" s="133"/>
      <c r="BI31" s="133"/>
      <c r="BJ31" s="133"/>
      <c r="BK31" s="133"/>
      <c r="BL31" s="133"/>
      <c r="BM31" s="133"/>
      <c r="BN31" s="133"/>
      <c r="BO31" s="133"/>
      <c r="BP31" s="133"/>
      <c r="BQ31" s="133"/>
      <c r="BR31" s="133"/>
      <c r="BS31" s="133"/>
      <c r="BT31" s="133"/>
      <c r="BU31" s="133"/>
      <c r="BV31" s="133"/>
      <c r="BW31" s="133"/>
      <c r="BX31" s="133"/>
      <c r="BY31" s="133"/>
      <c r="BZ31" s="133"/>
      <c r="CA31" s="133"/>
      <c r="CB31" s="133"/>
      <c r="CC31" s="133"/>
      <c r="CD31" s="133"/>
      <c r="CE31" s="133"/>
      <c r="CF31" s="133"/>
      <c r="CS31" s="139"/>
      <c r="CT31" s="140"/>
    </row>
    <row r="32" spans="1:98" ht="27.95" customHeight="1" x14ac:dyDescent="0.3">
      <c r="A32" s="89"/>
      <c r="B32" s="9" t="s">
        <v>33</v>
      </c>
      <c r="C32" s="9" t="s">
        <v>34</v>
      </c>
      <c r="D32" s="9" t="s">
        <v>103</v>
      </c>
      <c r="E32" s="12">
        <v>0.1144307</v>
      </c>
      <c r="F32" s="12">
        <f t="shared" si="23"/>
        <v>0.1144307</v>
      </c>
      <c r="G32" s="9"/>
      <c r="H32" s="40" t="s">
        <v>161</v>
      </c>
      <c r="I32" s="27">
        <v>40360</v>
      </c>
      <c r="J32" s="43" t="s">
        <v>171</v>
      </c>
      <c r="K32" s="28">
        <v>158</v>
      </c>
      <c r="L32" s="10" t="s">
        <v>168</v>
      </c>
      <c r="M32" s="27">
        <v>45170</v>
      </c>
      <c r="N32" s="10" t="s">
        <v>163</v>
      </c>
      <c r="O32" s="13"/>
      <c r="P32" s="95">
        <f t="shared" si="24"/>
        <v>0</v>
      </c>
      <c r="Q32" s="95">
        <f t="shared" si="25"/>
        <v>0.34530035000000003</v>
      </c>
      <c r="R32" s="95">
        <f t="shared" si="26"/>
        <v>0</v>
      </c>
      <c r="S32" s="95">
        <f t="shared" si="27"/>
        <v>0</v>
      </c>
      <c r="T32" s="95">
        <f t="shared" si="28"/>
        <v>0</v>
      </c>
      <c r="U32" s="95">
        <f t="shared" si="29"/>
        <v>0</v>
      </c>
      <c r="V32" s="95">
        <f t="shared" si="30"/>
        <v>0</v>
      </c>
      <c r="W32" s="95">
        <f t="shared" si="31"/>
        <v>0</v>
      </c>
      <c r="X32" s="95">
        <f t="shared" si="32"/>
        <v>0</v>
      </c>
      <c r="Y32" s="95">
        <f t="shared" si="33"/>
        <v>0</v>
      </c>
      <c r="Z32" s="95">
        <f t="shared" si="34"/>
        <v>0</v>
      </c>
      <c r="AA32" s="95">
        <f t="shared" si="35"/>
        <v>0</v>
      </c>
      <c r="AB32" s="95">
        <f t="shared" si="36"/>
        <v>0</v>
      </c>
      <c r="AC32" s="95">
        <f t="shared" si="37"/>
        <v>0</v>
      </c>
      <c r="AD32" s="95">
        <f t="shared" si="38"/>
        <v>0</v>
      </c>
      <c r="AE32" s="95">
        <f t="shared" si="39"/>
        <v>0</v>
      </c>
      <c r="AF32" s="133"/>
      <c r="AI32" s="133"/>
      <c r="AN32" s="133"/>
      <c r="AO32" s="133"/>
      <c r="AP32" s="133"/>
      <c r="AQ32" s="133"/>
      <c r="AR32" s="133"/>
      <c r="AS32" s="133"/>
      <c r="AT32" s="133"/>
      <c r="AU32" s="133"/>
      <c r="AV32" s="133"/>
      <c r="AW32" s="133"/>
      <c r="AX32" s="133"/>
      <c r="AY32" s="133"/>
      <c r="AZ32" s="133"/>
      <c r="BA32" s="133"/>
      <c r="BB32" s="133"/>
      <c r="BC32" s="133"/>
      <c r="BD32" s="133"/>
      <c r="BE32" s="133"/>
      <c r="BF32" s="133"/>
      <c r="BG32" s="133"/>
      <c r="BH32" s="133"/>
      <c r="BI32" s="133"/>
      <c r="BJ32" s="133"/>
      <c r="BK32" s="133"/>
      <c r="BL32" s="133"/>
      <c r="BM32" s="133"/>
      <c r="BN32" s="133"/>
      <c r="BO32" s="133"/>
      <c r="BP32" s="133"/>
      <c r="BQ32" s="133"/>
      <c r="BR32" s="133"/>
      <c r="BS32" s="133"/>
      <c r="BT32" s="133"/>
      <c r="BU32" s="133"/>
      <c r="BV32" s="133"/>
      <c r="BW32" s="133"/>
      <c r="BX32" s="133"/>
      <c r="BY32" s="133"/>
      <c r="BZ32" s="133"/>
      <c r="CA32" s="133"/>
      <c r="CB32" s="133"/>
      <c r="CC32" s="133"/>
      <c r="CD32" s="133"/>
      <c r="CE32" s="133"/>
      <c r="CF32" s="133"/>
      <c r="CS32" s="139"/>
      <c r="CT32" s="140"/>
    </row>
    <row r="33" spans="1:98" ht="27.95" customHeight="1" x14ac:dyDescent="0.3">
      <c r="A33" s="89"/>
      <c r="B33" s="19" t="s">
        <v>35</v>
      </c>
      <c r="C33" s="19"/>
      <c r="D33" s="19"/>
      <c r="E33" s="19"/>
      <c r="F33" s="36">
        <f>+SUM(F34:F36)</f>
        <v>32.279060730000005</v>
      </c>
      <c r="G33" s="19"/>
      <c r="H33" s="42"/>
      <c r="I33" s="19"/>
      <c r="J33" s="45"/>
      <c r="K33" s="19"/>
      <c r="L33" s="19"/>
      <c r="M33" s="19"/>
      <c r="N33" s="19"/>
      <c r="O33" s="32"/>
      <c r="P33" s="97">
        <f>+SUM(P34:P36)</f>
        <v>0</v>
      </c>
      <c r="Q33" s="97">
        <f t="shared" ref="Q33:AD33" si="40">+SUM(Q34:Q36)</f>
        <v>3.3458093494135128</v>
      </c>
      <c r="R33" s="97">
        <f t="shared" si="40"/>
        <v>0</v>
      </c>
      <c r="S33" s="97">
        <f t="shared" si="40"/>
        <v>3.9934297187780818</v>
      </c>
      <c r="T33" s="97">
        <f t="shared" si="40"/>
        <v>0</v>
      </c>
      <c r="U33" s="97">
        <f t="shared" si="40"/>
        <v>4.0171935886173147</v>
      </c>
      <c r="V33" s="97">
        <f t="shared" si="40"/>
        <v>0</v>
      </c>
      <c r="W33" s="97">
        <f t="shared" si="40"/>
        <v>3.5746928086256431</v>
      </c>
      <c r="X33" s="97">
        <f t="shared" si="40"/>
        <v>0</v>
      </c>
      <c r="Y33" s="97">
        <f t="shared" si="40"/>
        <v>3.1604733526675917</v>
      </c>
      <c r="Z33" s="97">
        <f t="shared" si="40"/>
        <v>0</v>
      </c>
      <c r="AA33" s="97">
        <f t="shared" si="40"/>
        <v>3.0259947795343747</v>
      </c>
      <c r="AB33" s="97">
        <f t="shared" si="40"/>
        <v>0</v>
      </c>
      <c r="AC33" s="97">
        <f t="shared" si="40"/>
        <v>2.9408871712054463</v>
      </c>
      <c r="AD33" s="97">
        <f t="shared" si="40"/>
        <v>0</v>
      </c>
      <c r="AE33" s="97">
        <f>+SUM(AE34:AE36)</f>
        <v>2.5377198330241786</v>
      </c>
      <c r="AF33" s="134"/>
      <c r="AI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S33" s="139"/>
      <c r="CT33" s="140"/>
    </row>
    <row r="34" spans="1:98" ht="27.95" customHeight="1" x14ac:dyDescent="0.3">
      <c r="A34" s="89"/>
      <c r="B34" s="9" t="s">
        <v>36</v>
      </c>
      <c r="C34" s="9" t="s">
        <v>37</v>
      </c>
      <c r="D34" s="9" t="s">
        <v>103</v>
      </c>
      <c r="E34" s="12">
        <v>27.660644390000002</v>
      </c>
      <c r="F34" s="12">
        <f>+IF($D34="USD",$E34,$E34/$C$57)</f>
        <v>27.660644390000002</v>
      </c>
      <c r="G34" s="9"/>
      <c r="H34" s="40" t="s">
        <v>161</v>
      </c>
      <c r="I34" s="27">
        <v>39706</v>
      </c>
      <c r="J34" s="43" t="s">
        <v>171</v>
      </c>
      <c r="K34" s="28">
        <v>360</v>
      </c>
      <c r="L34" s="10" t="s">
        <v>169</v>
      </c>
      <c r="M34" s="27">
        <v>50663</v>
      </c>
      <c r="N34" s="10" t="s">
        <v>163</v>
      </c>
      <c r="O34" s="13"/>
      <c r="P34" s="95">
        <f t="shared" ref="P34:P36" si="41">+F92+F139</f>
        <v>0</v>
      </c>
      <c r="Q34" s="95">
        <f t="shared" ref="Q34:Q36" si="42">+G92+G139</f>
        <v>3.1281620471965441</v>
      </c>
      <c r="R34" s="95">
        <f t="shared" ref="R34:R36" si="43">+H92+H139</f>
        <v>0</v>
      </c>
      <c r="S34" s="95">
        <f t="shared" ref="S34:S36" si="44">+I92+I139</f>
        <v>3.6694487988786815</v>
      </c>
      <c r="T34" s="95">
        <f t="shared" ref="T34:T36" si="45">+J92+J139</f>
        <v>0</v>
      </c>
      <c r="U34" s="95">
        <f t="shared" ref="U34:U36" si="46">+K92+K139</f>
        <v>3.3569668369815631</v>
      </c>
      <c r="V34" s="95">
        <f t="shared" ref="V34:V36" si="47">+L92+L139</f>
        <v>0</v>
      </c>
      <c r="W34" s="95">
        <f t="shared" ref="W34:W36" si="48">+M92+M139</f>
        <v>2.9716457795783069</v>
      </c>
      <c r="X34" s="95">
        <f t="shared" ref="X34:X36" si="49">+N92+N139</f>
        <v>0</v>
      </c>
      <c r="Y34" s="95">
        <f t="shared" ref="Y34:Y36" si="50">+O92+O139</f>
        <v>2.6283377980359046</v>
      </c>
      <c r="Z34" s="95">
        <f t="shared" ref="Z34:Z36" si="51">+P92+P139</f>
        <v>0</v>
      </c>
      <c r="AA34" s="95">
        <f t="shared" ref="AA34:AA36" si="52">+Q92+Q139</f>
        <v>2.5248079015212772</v>
      </c>
      <c r="AB34" s="95">
        <f t="shared" ref="AB34:AB36" si="53">+R92+R139</f>
        <v>0</v>
      </c>
      <c r="AC34" s="95">
        <f t="shared" ref="AC34:AC36" si="54">+S92+S139</f>
        <v>2.4540569928538361</v>
      </c>
      <c r="AD34" s="95">
        <f t="shared" ref="AD34:AD36" si="55">+T92+T139</f>
        <v>0</v>
      </c>
      <c r="AE34" s="95">
        <f t="shared" ref="AE34:AE36" si="56">+U92+U139</f>
        <v>2.1108607263715498</v>
      </c>
      <c r="AF34" s="133"/>
      <c r="AI34" s="133"/>
      <c r="AN34" s="133"/>
      <c r="AO34" s="133"/>
      <c r="AP34" s="133"/>
      <c r="AQ34" s="133"/>
      <c r="AR34" s="133"/>
      <c r="AS34" s="133"/>
      <c r="AT34" s="133"/>
      <c r="AU34" s="133"/>
      <c r="AV34" s="133"/>
      <c r="AW34" s="133"/>
      <c r="AX34" s="133"/>
      <c r="AY34" s="133"/>
      <c r="AZ34" s="133"/>
      <c r="BA34" s="133"/>
      <c r="BB34" s="133"/>
      <c r="BC34" s="133"/>
      <c r="BD34" s="133"/>
      <c r="BE34" s="133"/>
      <c r="BF34" s="133"/>
      <c r="BG34" s="133"/>
      <c r="BH34" s="133"/>
      <c r="BI34" s="133"/>
      <c r="BJ34" s="133"/>
      <c r="BK34" s="133"/>
      <c r="BL34" s="133"/>
      <c r="BM34" s="133"/>
      <c r="BN34" s="133"/>
      <c r="BO34" s="133"/>
      <c r="BP34" s="133"/>
      <c r="BQ34" s="133"/>
      <c r="BR34" s="133"/>
      <c r="BS34" s="133"/>
      <c r="BT34" s="133"/>
      <c r="BU34" s="133"/>
      <c r="BV34" s="133"/>
      <c r="BW34" s="133"/>
      <c r="BX34" s="133"/>
      <c r="BY34" s="133"/>
      <c r="BZ34" s="133"/>
      <c r="CA34" s="133"/>
      <c r="CB34" s="133"/>
      <c r="CC34" s="133"/>
      <c r="CD34" s="133"/>
      <c r="CE34" s="133"/>
      <c r="CF34" s="133"/>
      <c r="CS34" s="139"/>
      <c r="CT34" s="140"/>
    </row>
    <row r="35" spans="1:98" ht="27.95" customHeight="1" x14ac:dyDescent="0.3">
      <c r="A35" s="89"/>
      <c r="B35" s="9" t="s">
        <v>219</v>
      </c>
      <c r="C35" s="9" t="s">
        <v>187</v>
      </c>
      <c r="D35" s="9" t="s">
        <v>103</v>
      </c>
      <c r="E35" s="12">
        <v>4.27401769</v>
      </c>
      <c r="F35" s="12">
        <f>+IF($D35="USD",$E35,$E35/$C$57)</f>
        <v>4.27401769</v>
      </c>
      <c r="G35" s="9"/>
      <c r="H35" s="40" t="s">
        <v>161</v>
      </c>
      <c r="I35" s="27">
        <v>43918</v>
      </c>
      <c r="J35" s="43" t="s">
        <v>172</v>
      </c>
      <c r="K35" s="28">
        <v>180</v>
      </c>
      <c r="L35" s="10" t="s">
        <v>169</v>
      </c>
      <c r="M35" s="27">
        <v>49396</v>
      </c>
      <c r="N35" s="10" t="s">
        <v>163</v>
      </c>
      <c r="O35" s="13"/>
      <c r="P35" s="95">
        <f t="shared" si="41"/>
        <v>0</v>
      </c>
      <c r="Q35" s="95">
        <f t="shared" si="42"/>
        <v>0.21712936885735382</v>
      </c>
      <c r="R35" s="95">
        <f t="shared" si="43"/>
        <v>0</v>
      </c>
      <c r="S35" s="95">
        <f t="shared" si="44"/>
        <v>0.29969857647990888</v>
      </c>
      <c r="T35" s="95">
        <f t="shared" si="45"/>
        <v>0</v>
      </c>
      <c r="U35" s="95">
        <f t="shared" si="46"/>
        <v>0.63780435352416087</v>
      </c>
      <c r="V35" s="95">
        <f t="shared" si="47"/>
        <v>0</v>
      </c>
      <c r="W35" s="95">
        <f t="shared" si="48"/>
        <v>0.57073853452628565</v>
      </c>
      <c r="X35" s="95">
        <f t="shared" si="49"/>
        <v>0</v>
      </c>
      <c r="Y35" s="95">
        <f t="shared" si="50"/>
        <v>0.50480089388514826</v>
      </c>
      <c r="Z35" s="95">
        <f t="shared" si="51"/>
        <v>0</v>
      </c>
      <c r="AA35" s="95">
        <f t="shared" si="52"/>
        <v>0.47531475646267146</v>
      </c>
      <c r="AB35" s="95">
        <f t="shared" si="53"/>
        <v>0</v>
      </c>
      <c r="AC35" s="95">
        <f t="shared" si="54"/>
        <v>0.46151953706790594</v>
      </c>
      <c r="AD35" s="95">
        <f t="shared" si="55"/>
        <v>0</v>
      </c>
      <c r="AE35" s="95">
        <f t="shared" si="56"/>
        <v>0.40769815780964225</v>
      </c>
      <c r="AF35" s="133"/>
      <c r="AI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3"/>
      <c r="BR35" s="133"/>
      <c r="BS35" s="133"/>
      <c r="BT35" s="133"/>
      <c r="BU35" s="133"/>
      <c r="BV35" s="133"/>
      <c r="BW35" s="133"/>
      <c r="BX35" s="133"/>
      <c r="BY35" s="133"/>
      <c r="BZ35" s="133"/>
      <c r="CA35" s="133"/>
      <c r="CB35" s="133"/>
      <c r="CC35" s="133"/>
      <c r="CD35" s="133"/>
      <c r="CE35" s="133"/>
      <c r="CF35" s="133"/>
      <c r="CS35" s="139"/>
      <c r="CT35" s="140"/>
    </row>
    <row r="36" spans="1:98" ht="27.95" customHeight="1" x14ac:dyDescent="0.3">
      <c r="A36" s="89"/>
      <c r="B36" s="9" t="s">
        <v>218</v>
      </c>
      <c r="C36" s="9" t="s">
        <v>160</v>
      </c>
      <c r="D36" s="9" t="s">
        <v>103</v>
      </c>
      <c r="E36" s="12">
        <v>0.34439864999999997</v>
      </c>
      <c r="F36" s="12">
        <f>+IF($D36="USD",$E36,$E36/$C$57)</f>
        <v>0.34439864999999997</v>
      </c>
      <c r="G36" s="9"/>
      <c r="H36" s="40" t="s">
        <v>161</v>
      </c>
      <c r="I36" s="27">
        <v>44837</v>
      </c>
      <c r="J36" s="43" t="s">
        <v>172</v>
      </c>
      <c r="K36" s="28">
        <v>327</v>
      </c>
      <c r="L36" s="10" t="s">
        <v>169</v>
      </c>
      <c r="M36" s="27">
        <v>54803</v>
      </c>
      <c r="N36" s="10" t="s">
        <v>163</v>
      </c>
      <c r="O36" s="13"/>
      <c r="P36" s="95">
        <f t="shared" si="41"/>
        <v>0</v>
      </c>
      <c r="Q36" s="95">
        <f t="shared" si="42"/>
        <v>5.1793335961482754E-4</v>
      </c>
      <c r="R36" s="95">
        <f t="shared" si="43"/>
        <v>0</v>
      </c>
      <c r="S36" s="95">
        <f t="shared" si="44"/>
        <v>2.4282343419491269E-2</v>
      </c>
      <c r="T36" s="95">
        <f t="shared" si="45"/>
        <v>0</v>
      </c>
      <c r="U36" s="95">
        <f t="shared" si="46"/>
        <v>2.2422398111590146E-2</v>
      </c>
      <c r="V36" s="95">
        <f t="shared" si="47"/>
        <v>0</v>
      </c>
      <c r="W36" s="95">
        <f t="shared" si="48"/>
        <v>3.2308494521050814E-2</v>
      </c>
      <c r="X36" s="95">
        <f t="shared" si="49"/>
        <v>0</v>
      </c>
      <c r="Y36" s="95">
        <f t="shared" si="50"/>
        <v>2.733466074653914E-2</v>
      </c>
      <c r="Z36" s="95">
        <f t="shared" si="51"/>
        <v>0</v>
      </c>
      <c r="AA36" s="95">
        <f t="shared" si="52"/>
        <v>2.5872121550425838E-2</v>
      </c>
      <c r="AB36" s="95">
        <f t="shared" si="53"/>
        <v>0</v>
      </c>
      <c r="AC36" s="95">
        <f t="shared" si="54"/>
        <v>2.5310641283704461E-2</v>
      </c>
      <c r="AD36" s="95">
        <f t="shared" si="55"/>
        <v>0</v>
      </c>
      <c r="AE36" s="95">
        <f t="shared" si="56"/>
        <v>1.9160948842986671E-2</v>
      </c>
      <c r="AF36" s="133"/>
      <c r="AI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3"/>
      <c r="BR36" s="133"/>
      <c r="BS36" s="133"/>
      <c r="BT36" s="133"/>
      <c r="BU36" s="133"/>
      <c r="BV36" s="133"/>
      <c r="BW36" s="133"/>
      <c r="BX36" s="133"/>
      <c r="BY36" s="133"/>
      <c r="BZ36" s="133"/>
      <c r="CA36" s="133"/>
      <c r="CB36" s="133"/>
      <c r="CC36" s="133"/>
      <c r="CD36" s="133"/>
      <c r="CE36" s="133"/>
      <c r="CF36" s="133"/>
      <c r="CS36" s="139"/>
      <c r="CT36" s="140"/>
    </row>
    <row r="37" spans="1:98" ht="27.95" customHeight="1" x14ac:dyDescent="0.3">
      <c r="A37" s="89"/>
      <c r="B37" s="18" t="s">
        <v>97</v>
      </c>
      <c r="C37" s="18"/>
      <c r="D37" s="18"/>
      <c r="E37" s="18"/>
      <c r="F37" s="35">
        <f>+SUM(F38:F45)</f>
        <v>564.72826515161091</v>
      </c>
      <c r="G37" s="85">
        <f>+F37/$F$47</f>
        <v>0.66576422721683504</v>
      </c>
      <c r="H37" s="41"/>
      <c r="I37" s="18"/>
      <c r="J37" s="44"/>
      <c r="K37" s="18"/>
      <c r="L37" s="18"/>
      <c r="M37" s="18"/>
      <c r="N37" s="18"/>
      <c r="O37" s="31"/>
      <c r="P37" s="94">
        <f>+SUM(P38:P45)</f>
        <v>19866.754828141668</v>
      </c>
      <c r="Q37" s="94">
        <f t="shared" ref="Q37:AE37" si="57">+SUM(Q38:Q45)</f>
        <v>104.5290126923077</v>
      </c>
      <c r="R37" s="94">
        <f t="shared" si="57"/>
        <v>19673.018677773955</v>
      </c>
      <c r="S37" s="94">
        <f t="shared" si="57"/>
        <v>103.75362913461539</v>
      </c>
      <c r="T37" s="94">
        <f t="shared" si="57"/>
        <v>5362.5722118918166</v>
      </c>
      <c r="U37" s="94">
        <f t="shared" si="57"/>
        <v>99.171135673076932</v>
      </c>
      <c r="V37" s="94">
        <f t="shared" si="57"/>
        <v>1863.6362541218482</v>
      </c>
      <c r="W37" s="94">
        <f t="shared" si="57"/>
        <v>94.58864221153847</v>
      </c>
      <c r="X37" s="94">
        <f t="shared" si="57"/>
        <v>1428.0120347555194</v>
      </c>
      <c r="Y37" s="94">
        <f t="shared" si="57"/>
        <v>90.006148750000008</v>
      </c>
      <c r="Z37" s="94">
        <f t="shared" si="57"/>
        <v>1070.9681111720199</v>
      </c>
      <c r="AA37" s="94">
        <f t="shared" si="57"/>
        <v>85.423655288461546</v>
      </c>
      <c r="AB37" s="94">
        <f t="shared" si="57"/>
        <v>934.84995813278181</v>
      </c>
      <c r="AC37" s="94">
        <f t="shared" si="57"/>
        <v>40.993392596153853</v>
      </c>
      <c r="AD37" s="94">
        <f t="shared" si="57"/>
        <v>628.59379914476426</v>
      </c>
      <c r="AE37" s="94">
        <f t="shared" si="57"/>
        <v>0</v>
      </c>
      <c r="AF37" s="138"/>
      <c r="AI37" s="138"/>
      <c r="AN37" s="138"/>
      <c r="AO37" s="138"/>
      <c r="AP37" s="138"/>
      <c r="AQ37" s="138"/>
      <c r="AR37" s="138"/>
      <c r="AS37" s="138"/>
      <c r="AT37" s="138"/>
      <c r="AU37" s="138"/>
      <c r="AV37" s="138"/>
      <c r="AW37" s="138"/>
      <c r="AX37" s="138"/>
      <c r="AY37" s="138"/>
      <c r="AZ37" s="138"/>
      <c r="BA37" s="138"/>
      <c r="BB37" s="138"/>
      <c r="BC37" s="138"/>
      <c r="BD37" s="138"/>
      <c r="BE37" s="138"/>
      <c r="BF37" s="138"/>
      <c r="BG37" s="138"/>
      <c r="BH37" s="138"/>
      <c r="BI37" s="138"/>
      <c r="BJ37" s="138"/>
      <c r="BK37" s="138"/>
      <c r="BL37" s="138"/>
      <c r="BM37" s="138"/>
      <c r="BN37" s="138"/>
      <c r="BO37" s="138"/>
      <c r="BP37" s="138"/>
      <c r="BQ37" s="138"/>
      <c r="BR37" s="138"/>
      <c r="BS37" s="138"/>
      <c r="BT37" s="138"/>
      <c r="BU37" s="138"/>
      <c r="BV37" s="138"/>
      <c r="BW37" s="138"/>
      <c r="BX37" s="138"/>
      <c r="BY37" s="138"/>
      <c r="BZ37" s="138"/>
      <c r="CA37" s="138"/>
      <c r="CB37" s="138"/>
      <c r="CC37" s="138"/>
      <c r="CD37" s="138"/>
      <c r="CE37" s="138"/>
      <c r="CF37" s="138"/>
    </row>
    <row r="38" spans="1:98" ht="27.95" customHeight="1" x14ac:dyDescent="0.3">
      <c r="A38" s="89"/>
      <c r="B38" s="9" t="s">
        <v>142</v>
      </c>
      <c r="C38" s="9" t="s">
        <v>131</v>
      </c>
      <c r="D38" s="9" t="s">
        <v>103</v>
      </c>
      <c r="E38" s="12">
        <v>478.17323076999998</v>
      </c>
      <c r="F38" s="12">
        <f t="shared" ref="F38" si="58">+IF($D38="USD",$E38,$E38/$C$57)</f>
        <v>478.17323076999998</v>
      </c>
      <c r="G38" s="9"/>
      <c r="H38" s="40" t="s">
        <v>173</v>
      </c>
      <c r="I38" s="27">
        <v>43970</v>
      </c>
      <c r="J38" s="43">
        <v>5.7500000000000002E-2</v>
      </c>
      <c r="K38" s="28">
        <v>106</v>
      </c>
      <c r="L38" s="10" t="s">
        <v>169</v>
      </c>
      <c r="M38" s="27">
        <v>47196</v>
      </c>
      <c r="N38" s="10" t="s">
        <v>141</v>
      </c>
      <c r="O38" s="13"/>
      <c r="P38" s="95">
        <f t="shared" ref="P38:P45" si="59">+F96+F143</f>
        <v>0</v>
      </c>
      <c r="Q38" s="95">
        <f t="shared" ref="Q38:Q45" si="60">+G96+G143</f>
        <v>104.5290126923077</v>
      </c>
      <c r="R38" s="95">
        <f t="shared" ref="R38:R45" si="61">+H96+H143</f>
        <v>0</v>
      </c>
      <c r="S38" s="95">
        <f t="shared" ref="S38:S45" si="62">+I96+I143</f>
        <v>103.75362913461539</v>
      </c>
      <c r="T38" s="95">
        <f t="shared" ref="T38:T45" si="63">+J96+J143</f>
        <v>0</v>
      </c>
      <c r="U38" s="95">
        <f t="shared" ref="U38:U45" si="64">+K96+K143</f>
        <v>99.171135673076932</v>
      </c>
      <c r="V38" s="95">
        <f t="shared" ref="V38:V45" si="65">+L96+L143</f>
        <v>0</v>
      </c>
      <c r="W38" s="95">
        <f t="shared" ref="W38:W45" si="66">+M96+M143</f>
        <v>94.58864221153847</v>
      </c>
      <c r="X38" s="95">
        <f t="shared" ref="X38:X45" si="67">+N96+N143</f>
        <v>0</v>
      </c>
      <c r="Y38" s="95">
        <f t="shared" ref="Y38:Y45" si="68">+O96+O143</f>
        <v>90.006148750000008</v>
      </c>
      <c r="Z38" s="95">
        <f t="shared" ref="Z38:Z45" si="69">+P96+P143</f>
        <v>0</v>
      </c>
      <c r="AA38" s="95">
        <f t="shared" ref="AA38:AA45" si="70">+Q96+Q143</f>
        <v>85.423655288461546</v>
      </c>
      <c r="AB38" s="95">
        <f t="shared" ref="AB38:AB45" si="71">+R96+R143</f>
        <v>0</v>
      </c>
      <c r="AC38" s="95">
        <f t="shared" ref="AC38:AC45" si="72">+S96+S143</f>
        <v>40.993392596153853</v>
      </c>
      <c r="AD38" s="95">
        <f t="shared" ref="AD38:AD45" si="73">+T96+T143</f>
        <v>0</v>
      </c>
      <c r="AE38" s="95">
        <f t="shared" ref="AE38:AE45" si="74">+U96+U143</f>
        <v>0</v>
      </c>
      <c r="AF38" s="133"/>
      <c r="AI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3"/>
      <c r="BQ38" s="133"/>
      <c r="BR38" s="133"/>
      <c r="BS38" s="133"/>
      <c r="BT38" s="133"/>
      <c r="BU38" s="133"/>
      <c r="BV38" s="133"/>
      <c r="BW38" s="133"/>
      <c r="BX38" s="133"/>
      <c r="BY38" s="133"/>
      <c r="BZ38" s="133"/>
      <c r="CA38" s="133"/>
      <c r="CB38" s="133"/>
      <c r="CC38" s="133"/>
      <c r="CD38" s="133"/>
      <c r="CE38" s="133"/>
      <c r="CF38" s="133"/>
    </row>
    <row r="39" spans="1:98" ht="27.95" customHeight="1" x14ac:dyDescent="0.3">
      <c r="A39" s="89"/>
      <c r="B39" s="9" t="s">
        <v>143</v>
      </c>
      <c r="C39" s="9" t="s">
        <v>144</v>
      </c>
      <c r="D39" s="9" t="s">
        <v>2</v>
      </c>
      <c r="E39" s="10">
        <v>8195.0571566199997</v>
      </c>
      <c r="F39" s="12">
        <f t="shared" ref="F39:F45" si="75">+IF($D39="USD",$E39,$E39/$C$57)</f>
        <v>31.927757501198009</v>
      </c>
      <c r="G39" s="9"/>
      <c r="H39" s="40" t="s">
        <v>161</v>
      </c>
      <c r="I39" s="27">
        <v>44547</v>
      </c>
      <c r="J39" s="43" t="s">
        <v>174</v>
      </c>
      <c r="K39" s="28">
        <v>36</v>
      </c>
      <c r="L39" s="10" t="s">
        <v>169</v>
      </c>
      <c r="M39" s="27">
        <v>45643</v>
      </c>
      <c r="N39" s="10" t="s">
        <v>141</v>
      </c>
      <c r="O39" s="13"/>
      <c r="P39" s="95">
        <f t="shared" si="59"/>
        <v>3079.7024794479448</v>
      </c>
      <c r="Q39" s="95">
        <f t="shared" si="60"/>
        <v>0</v>
      </c>
      <c r="R39" s="95">
        <f t="shared" si="61"/>
        <v>5638.2841425964034</v>
      </c>
      <c r="S39" s="95">
        <f t="shared" si="62"/>
        <v>0</v>
      </c>
      <c r="T39" s="95">
        <f t="shared" si="63"/>
        <v>0</v>
      </c>
      <c r="U39" s="95">
        <f t="shared" si="64"/>
        <v>0</v>
      </c>
      <c r="V39" s="95">
        <f t="shared" si="65"/>
        <v>0</v>
      </c>
      <c r="W39" s="95">
        <f t="shared" si="66"/>
        <v>0</v>
      </c>
      <c r="X39" s="95">
        <f t="shared" si="67"/>
        <v>0</v>
      </c>
      <c r="Y39" s="95">
        <f t="shared" si="68"/>
        <v>0</v>
      </c>
      <c r="Z39" s="95">
        <f t="shared" si="69"/>
        <v>0</v>
      </c>
      <c r="AA39" s="95">
        <f t="shared" si="70"/>
        <v>0</v>
      </c>
      <c r="AB39" s="95">
        <f t="shared" si="71"/>
        <v>0</v>
      </c>
      <c r="AC39" s="95">
        <f t="shared" si="72"/>
        <v>0</v>
      </c>
      <c r="AD39" s="95">
        <f t="shared" si="73"/>
        <v>0</v>
      </c>
      <c r="AE39" s="95">
        <f t="shared" si="74"/>
        <v>0</v>
      </c>
      <c r="AF39" s="133"/>
      <c r="AI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3"/>
      <c r="BQ39" s="133"/>
      <c r="BR39" s="133"/>
      <c r="BS39" s="133"/>
      <c r="BT39" s="133"/>
      <c r="BU39" s="133"/>
      <c r="BV39" s="133"/>
      <c r="BW39" s="133"/>
      <c r="BX39" s="133"/>
      <c r="BY39" s="133"/>
      <c r="BZ39" s="133"/>
      <c r="CA39" s="133"/>
      <c r="CB39" s="133"/>
      <c r="CC39" s="133"/>
      <c r="CD39" s="133"/>
      <c r="CE39" s="133"/>
      <c r="CF39" s="133"/>
    </row>
    <row r="40" spans="1:98" ht="27.95" customHeight="1" x14ac:dyDescent="0.3">
      <c r="A40" s="89"/>
      <c r="B40" s="9" t="s">
        <v>147</v>
      </c>
      <c r="C40" s="9" t="s">
        <v>148</v>
      </c>
      <c r="D40" s="9" t="s">
        <v>2</v>
      </c>
      <c r="E40" s="10">
        <v>4878.6538609999998</v>
      </c>
      <c r="F40" s="12">
        <f t="shared" si="75"/>
        <v>19.007125201129831</v>
      </c>
      <c r="G40" s="9"/>
      <c r="H40" s="40" t="s">
        <v>161</v>
      </c>
      <c r="I40" s="27">
        <v>44635</v>
      </c>
      <c r="J40" s="43" t="s">
        <v>176</v>
      </c>
      <c r="K40" s="28">
        <v>108</v>
      </c>
      <c r="L40" s="10" t="s">
        <v>168</v>
      </c>
      <c r="M40" s="27">
        <v>47922</v>
      </c>
      <c r="N40" s="10" t="s">
        <v>141</v>
      </c>
      <c r="O40" s="13"/>
      <c r="P40" s="95">
        <f t="shared" si="59"/>
        <v>4120.4473211975073</v>
      </c>
      <c r="Q40" s="95">
        <f t="shared" si="60"/>
        <v>0</v>
      </c>
      <c r="R40" s="95">
        <f t="shared" si="61"/>
        <v>4392.3793353214251</v>
      </c>
      <c r="S40" s="95">
        <f t="shared" si="62"/>
        <v>0</v>
      </c>
      <c r="T40" s="95">
        <f t="shared" si="63"/>
        <v>3266.4559817173031</v>
      </c>
      <c r="U40" s="95">
        <f t="shared" si="64"/>
        <v>0</v>
      </c>
      <c r="V40" s="95">
        <f t="shared" si="65"/>
        <v>1863.6362541218482</v>
      </c>
      <c r="W40" s="95">
        <f t="shared" si="66"/>
        <v>0</v>
      </c>
      <c r="X40" s="95">
        <f t="shared" si="67"/>
        <v>1428.0120347555194</v>
      </c>
      <c r="Y40" s="95">
        <f t="shared" si="68"/>
        <v>0</v>
      </c>
      <c r="Z40" s="95">
        <f t="shared" si="69"/>
        <v>1070.9681111720199</v>
      </c>
      <c r="AA40" s="95">
        <f t="shared" si="70"/>
        <v>0</v>
      </c>
      <c r="AB40" s="95">
        <f t="shared" si="71"/>
        <v>934.84995813278181</v>
      </c>
      <c r="AC40" s="95">
        <f t="shared" si="72"/>
        <v>0</v>
      </c>
      <c r="AD40" s="95">
        <f t="shared" si="73"/>
        <v>628.59379914476426</v>
      </c>
      <c r="AE40" s="95">
        <f t="shared" si="74"/>
        <v>0</v>
      </c>
      <c r="AF40" s="133"/>
      <c r="AI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3"/>
      <c r="BR40" s="133"/>
      <c r="BS40" s="133"/>
      <c r="BT40" s="133"/>
      <c r="BU40" s="133"/>
      <c r="BV40" s="133"/>
      <c r="BW40" s="133"/>
      <c r="BX40" s="133"/>
      <c r="BY40" s="133"/>
      <c r="BZ40" s="133"/>
      <c r="CA40" s="133"/>
      <c r="CB40" s="133"/>
      <c r="CC40" s="133"/>
      <c r="CD40" s="133"/>
      <c r="CE40" s="133"/>
      <c r="CF40" s="133"/>
    </row>
    <row r="41" spans="1:98" ht="27.95" customHeight="1" x14ac:dyDescent="0.3">
      <c r="A41" s="89"/>
      <c r="B41" s="9" t="s">
        <v>180</v>
      </c>
      <c r="C41" s="9" t="s">
        <v>182</v>
      </c>
      <c r="D41" s="9" t="s">
        <v>2</v>
      </c>
      <c r="E41" s="10">
        <v>4876.6733320000003</v>
      </c>
      <c r="F41" s="12">
        <f t="shared" si="75"/>
        <v>18.999409104899193</v>
      </c>
      <c r="G41" s="9"/>
      <c r="H41" s="40" t="s">
        <v>161</v>
      </c>
      <c r="I41" s="27">
        <v>45098</v>
      </c>
      <c r="J41" s="43" t="s">
        <v>184</v>
      </c>
      <c r="K41" s="28">
        <v>24</v>
      </c>
      <c r="L41" s="10" t="s">
        <v>168</v>
      </c>
      <c r="M41" s="27">
        <v>45829</v>
      </c>
      <c r="N41" s="10" t="s">
        <v>141</v>
      </c>
      <c r="O41" s="13"/>
      <c r="P41" s="95">
        <f t="shared" si="59"/>
        <v>3531.7624772139011</v>
      </c>
      <c r="Q41" s="95">
        <f t="shared" si="60"/>
        <v>0</v>
      </c>
      <c r="R41" s="95">
        <f t="shared" si="61"/>
        <v>5105.7312595992917</v>
      </c>
      <c r="S41" s="95">
        <f t="shared" si="62"/>
        <v>0</v>
      </c>
      <c r="T41" s="95">
        <f t="shared" si="63"/>
        <v>1565.8275087223092</v>
      </c>
      <c r="U41" s="95">
        <f t="shared" si="64"/>
        <v>0</v>
      </c>
      <c r="V41" s="95">
        <f t="shared" si="65"/>
        <v>0</v>
      </c>
      <c r="W41" s="95">
        <f t="shared" si="66"/>
        <v>0</v>
      </c>
      <c r="X41" s="95">
        <f t="shared" si="67"/>
        <v>0</v>
      </c>
      <c r="Y41" s="95">
        <f t="shared" si="68"/>
        <v>0</v>
      </c>
      <c r="Z41" s="95">
        <f t="shared" si="69"/>
        <v>0</v>
      </c>
      <c r="AA41" s="95">
        <f t="shared" si="70"/>
        <v>0</v>
      </c>
      <c r="AB41" s="95">
        <f t="shared" si="71"/>
        <v>0</v>
      </c>
      <c r="AC41" s="95">
        <f t="shared" si="72"/>
        <v>0</v>
      </c>
      <c r="AD41" s="95">
        <f t="shared" si="73"/>
        <v>0</v>
      </c>
      <c r="AE41" s="95">
        <f t="shared" si="74"/>
        <v>0</v>
      </c>
      <c r="AF41" s="133"/>
      <c r="AI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3"/>
      <c r="BR41" s="133"/>
      <c r="BS41" s="133"/>
      <c r="BT41" s="133"/>
      <c r="BU41" s="133"/>
      <c r="BV41" s="133"/>
      <c r="BW41" s="133"/>
      <c r="BX41" s="133"/>
      <c r="BY41" s="133"/>
      <c r="BZ41" s="133"/>
      <c r="CA41" s="133"/>
      <c r="CB41" s="133"/>
      <c r="CC41" s="133"/>
      <c r="CD41" s="133"/>
      <c r="CE41" s="133"/>
      <c r="CF41" s="133"/>
    </row>
    <row r="42" spans="1:98" ht="27.95" customHeight="1" x14ac:dyDescent="0.3">
      <c r="A42" s="89"/>
      <c r="B42" s="9" t="s">
        <v>205</v>
      </c>
      <c r="C42" s="9" t="s">
        <v>183</v>
      </c>
      <c r="D42" s="9" t="s">
        <v>2</v>
      </c>
      <c r="E42" s="10">
        <v>2633.1205110000001</v>
      </c>
      <c r="F42" s="12">
        <f t="shared" si="75"/>
        <v>10.258578011103536</v>
      </c>
      <c r="G42" s="9"/>
      <c r="H42" s="40" t="s">
        <v>161</v>
      </c>
      <c r="I42" s="27">
        <v>45098</v>
      </c>
      <c r="J42" s="43" t="s">
        <v>185</v>
      </c>
      <c r="K42" s="28">
        <v>18</v>
      </c>
      <c r="L42" s="10" t="s">
        <v>168</v>
      </c>
      <c r="M42" s="27">
        <v>45647</v>
      </c>
      <c r="N42" s="10" t="s">
        <v>141</v>
      </c>
      <c r="O42" s="13"/>
      <c r="P42" s="95">
        <f t="shared" si="59"/>
        <v>2096.7319475642416</v>
      </c>
      <c r="Q42" s="95">
        <f t="shared" si="60"/>
        <v>0</v>
      </c>
      <c r="R42" s="95">
        <f t="shared" si="61"/>
        <v>2834.5878781039623</v>
      </c>
      <c r="S42" s="95">
        <f t="shared" si="62"/>
        <v>0</v>
      </c>
      <c r="T42" s="95">
        <f t="shared" si="63"/>
        <v>0</v>
      </c>
      <c r="U42" s="95">
        <f t="shared" si="64"/>
        <v>0</v>
      </c>
      <c r="V42" s="95">
        <f t="shared" si="65"/>
        <v>0</v>
      </c>
      <c r="W42" s="95">
        <f t="shared" si="66"/>
        <v>0</v>
      </c>
      <c r="X42" s="95">
        <f t="shared" si="67"/>
        <v>0</v>
      </c>
      <c r="Y42" s="95">
        <f t="shared" si="68"/>
        <v>0</v>
      </c>
      <c r="Z42" s="95">
        <f t="shared" si="69"/>
        <v>0</v>
      </c>
      <c r="AA42" s="95">
        <f t="shared" si="70"/>
        <v>0</v>
      </c>
      <c r="AB42" s="95">
        <f t="shared" si="71"/>
        <v>0</v>
      </c>
      <c r="AC42" s="95">
        <f t="shared" si="72"/>
        <v>0</v>
      </c>
      <c r="AD42" s="95">
        <f t="shared" si="73"/>
        <v>0</v>
      </c>
      <c r="AE42" s="95">
        <f t="shared" si="74"/>
        <v>0</v>
      </c>
      <c r="AF42" s="133"/>
      <c r="AI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3"/>
      <c r="BR42" s="133"/>
      <c r="BS42" s="133"/>
      <c r="BT42" s="133"/>
      <c r="BU42" s="133"/>
      <c r="BV42" s="133"/>
      <c r="BW42" s="133"/>
      <c r="BX42" s="133"/>
      <c r="BY42" s="133"/>
      <c r="BZ42" s="133"/>
      <c r="CA42" s="133"/>
      <c r="CB42" s="133"/>
      <c r="CC42" s="133"/>
      <c r="CD42" s="133"/>
      <c r="CE42" s="133"/>
      <c r="CF42" s="133"/>
    </row>
    <row r="43" spans="1:98" ht="27.95" customHeight="1" x14ac:dyDescent="0.3">
      <c r="A43" s="89"/>
      <c r="B43" s="9" t="s">
        <v>136</v>
      </c>
      <c r="C43" s="9" t="s">
        <v>137</v>
      </c>
      <c r="D43" s="9" t="s">
        <v>2</v>
      </c>
      <c r="E43" s="10">
        <v>1615.38461538</v>
      </c>
      <c r="F43" s="12">
        <f t="shared" si="75"/>
        <v>6.2935019592091166</v>
      </c>
      <c r="G43" s="9"/>
      <c r="H43" s="40" t="s">
        <v>161</v>
      </c>
      <c r="I43" s="27">
        <v>44385</v>
      </c>
      <c r="J43" s="43" t="s">
        <v>177</v>
      </c>
      <c r="K43" s="28">
        <v>48</v>
      </c>
      <c r="L43" s="10" t="s">
        <v>168</v>
      </c>
      <c r="M43" s="27">
        <v>45805</v>
      </c>
      <c r="N43" s="10" t="s">
        <v>141</v>
      </c>
      <c r="O43" s="13"/>
      <c r="P43" s="95">
        <f t="shared" si="59"/>
        <v>2277.1605843280013</v>
      </c>
      <c r="Q43" s="95">
        <f t="shared" si="60"/>
        <v>0</v>
      </c>
      <c r="R43" s="95">
        <f t="shared" si="61"/>
        <v>1683.1812768450327</v>
      </c>
      <c r="S43" s="95">
        <f t="shared" si="62"/>
        <v>0</v>
      </c>
      <c r="T43" s="95">
        <f t="shared" si="63"/>
        <v>518.93578660907281</v>
      </c>
      <c r="U43" s="95">
        <f t="shared" si="64"/>
        <v>0</v>
      </c>
      <c r="V43" s="95">
        <f t="shared" si="65"/>
        <v>0</v>
      </c>
      <c r="W43" s="95">
        <f t="shared" si="66"/>
        <v>0</v>
      </c>
      <c r="X43" s="95">
        <f t="shared" si="67"/>
        <v>0</v>
      </c>
      <c r="Y43" s="95">
        <f t="shared" si="68"/>
        <v>0</v>
      </c>
      <c r="Z43" s="95">
        <f t="shared" si="69"/>
        <v>0</v>
      </c>
      <c r="AA43" s="95">
        <f t="shared" si="70"/>
        <v>0</v>
      </c>
      <c r="AB43" s="95">
        <f t="shared" si="71"/>
        <v>0</v>
      </c>
      <c r="AC43" s="95">
        <f t="shared" si="72"/>
        <v>0</v>
      </c>
      <c r="AD43" s="95">
        <f t="shared" si="73"/>
        <v>0</v>
      </c>
      <c r="AE43" s="95">
        <f t="shared" si="74"/>
        <v>0</v>
      </c>
      <c r="AF43" s="133"/>
      <c r="AI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3"/>
      <c r="BQ43" s="133"/>
      <c r="BR43" s="133"/>
      <c r="BS43" s="133"/>
      <c r="BT43" s="133"/>
      <c r="BU43" s="133"/>
      <c r="BV43" s="133"/>
      <c r="BW43" s="133"/>
      <c r="BX43" s="133"/>
      <c r="BY43" s="133"/>
      <c r="BZ43" s="133"/>
      <c r="CA43" s="133"/>
      <c r="CB43" s="133"/>
      <c r="CC43" s="133"/>
      <c r="CD43" s="133"/>
      <c r="CE43" s="133"/>
      <c r="CF43" s="133"/>
    </row>
    <row r="44" spans="1:98" ht="27.95" customHeight="1" x14ac:dyDescent="0.3">
      <c r="A44" s="89"/>
      <c r="B44" s="9" t="s">
        <v>38</v>
      </c>
      <c r="C44" s="9" t="s">
        <v>39</v>
      </c>
      <c r="D44" s="9" t="s">
        <v>2</v>
      </c>
      <c r="E44" s="10">
        <v>17.623973899999999</v>
      </c>
      <c r="F44" s="12">
        <f t="shared" si="75"/>
        <v>6.8662604071296388E-2</v>
      </c>
      <c r="G44" s="9"/>
      <c r="H44" s="40" t="s">
        <v>161</v>
      </c>
      <c r="I44" s="27">
        <v>43494</v>
      </c>
      <c r="J44" s="43" t="s">
        <v>178</v>
      </c>
      <c r="K44" s="28">
        <v>84</v>
      </c>
      <c r="L44" s="10" t="s">
        <v>169</v>
      </c>
      <c r="M44" s="27">
        <v>45870</v>
      </c>
      <c r="N44" s="10" t="s">
        <v>141</v>
      </c>
      <c r="O44" s="13"/>
      <c r="P44" s="95">
        <f t="shared" si="59"/>
        <v>19.453468531530454</v>
      </c>
      <c r="Q44" s="95">
        <f t="shared" si="60"/>
        <v>0</v>
      </c>
      <c r="R44" s="95">
        <f t="shared" si="61"/>
        <v>18.854785307841439</v>
      </c>
      <c r="S44" s="95">
        <f t="shared" si="62"/>
        <v>0</v>
      </c>
      <c r="T44" s="95">
        <f t="shared" si="63"/>
        <v>11.352934843130914</v>
      </c>
      <c r="U44" s="95">
        <f t="shared" si="64"/>
        <v>0</v>
      </c>
      <c r="V44" s="95">
        <f t="shared" si="65"/>
        <v>0</v>
      </c>
      <c r="W44" s="95">
        <f t="shared" si="66"/>
        <v>0</v>
      </c>
      <c r="X44" s="95">
        <f t="shared" si="67"/>
        <v>0</v>
      </c>
      <c r="Y44" s="95">
        <f t="shared" si="68"/>
        <v>0</v>
      </c>
      <c r="Z44" s="95">
        <f t="shared" si="69"/>
        <v>0</v>
      </c>
      <c r="AA44" s="95">
        <f t="shared" si="70"/>
        <v>0</v>
      </c>
      <c r="AB44" s="95">
        <f t="shared" si="71"/>
        <v>0</v>
      </c>
      <c r="AC44" s="95">
        <f t="shared" si="72"/>
        <v>0</v>
      </c>
      <c r="AD44" s="95">
        <f t="shared" si="73"/>
        <v>0</v>
      </c>
      <c r="AE44" s="95">
        <f t="shared" si="74"/>
        <v>0</v>
      </c>
      <c r="AF44" s="133"/>
      <c r="AI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3"/>
      <c r="BQ44" s="133"/>
      <c r="BR44" s="133"/>
      <c r="BS44" s="133"/>
      <c r="BT44" s="133"/>
      <c r="BU44" s="133"/>
      <c r="BV44" s="133"/>
      <c r="BW44" s="133"/>
      <c r="BX44" s="133"/>
      <c r="BY44" s="133"/>
      <c r="BZ44" s="133"/>
      <c r="CA44" s="133"/>
      <c r="CB44" s="133"/>
      <c r="CC44" s="133"/>
      <c r="CD44" s="133"/>
      <c r="CE44" s="133"/>
      <c r="CF44" s="133"/>
    </row>
    <row r="45" spans="1:98" ht="27.95" customHeight="1" x14ac:dyDescent="0.3">
      <c r="A45" s="89"/>
      <c r="B45" s="9" t="s">
        <v>203</v>
      </c>
      <c r="C45" s="9" t="s">
        <v>146</v>
      </c>
      <c r="D45" s="9" t="s">
        <v>2</v>
      </c>
      <c r="E45" s="10">
        <v>0</v>
      </c>
      <c r="F45" s="12">
        <f t="shared" si="75"/>
        <v>0</v>
      </c>
      <c r="G45" s="9"/>
      <c r="H45" s="40" t="s">
        <v>161</v>
      </c>
      <c r="I45" s="27">
        <v>44547</v>
      </c>
      <c r="J45" s="43" t="s">
        <v>175</v>
      </c>
      <c r="K45" s="28">
        <v>18</v>
      </c>
      <c r="L45" s="10" t="s">
        <v>168</v>
      </c>
      <c r="M45" s="27">
        <v>45094</v>
      </c>
      <c r="N45" s="10" t="s">
        <v>141</v>
      </c>
      <c r="O45" s="13"/>
      <c r="P45" s="95">
        <f t="shared" si="59"/>
        <v>4741.4965498585425</v>
      </c>
      <c r="Q45" s="95">
        <f t="shared" si="60"/>
        <v>0</v>
      </c>
      <c r="R45" s="95">
        <f t="shared" si="61"/>
        <v>0</v>
      </c>
      <c r="S45" s="95">
        <f t="shared" si="62"/>
        <v>0</v>
      </c>
      <c r="T45" s="95">
        <f t="shared" si="63"/>
        <v>0</v>
      </c>
      <c r="U45" s="95">
        <f t="shared" si="64"/>
        <v>0</v>
      </c>
      <c r="V45" s="95">
        <f t="shared" si="65"/>
        <v>0</v>
      </c>
      <c r="W45" s="95">
        <f t="shared" si="66"/>
        <v>0</v>
      </c>
      <c r="X45" s="95">
        <f t="shared" si="67"/>
        <v>0</v>
      </c>
      <c r="Y45" s="95">
        <f t="shared" si="68"/>
        <v>0</v>
      </c>
      <c r="Z45" s="95">
        <f t="shared" si="69"/>
        <v>0</v>
      </c>
      <c r="AA45" s="95">
        <f t="shared" si="70"/>
        <v>0</v>
      </c>
      <c r="AB45" s="95">
        <f t="shared" si="71"/>
        <v>0</v>
      </c>
      <c r="AC45" s="95">
        <f t="shared" si="72"/>
        <v>0</v>
      </c>
      <c r="AD45" s="95">
        <f t="shared" si="73"/>
        <v>0</v>
      </c>
      <c r="AE45" s="95">
        <f t="shared" si="74"/>
        <v>0</v>
      </c>
      <c r="AF45" s="133"/>
      <c r="AI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3"/>
      <c r="BR45" s="133"/>
      <c r="BS45" s="133"/>
      <c r="BT45" s="133"/>
      <c r="BU45" s="133"/>
      <c r="BV45" s="133"/>
      <c r="BW45" s="133"/>
      <c r="BX45" s="133"/>
      <c r="BY45" s="133"/>
      <c r="BZ45" s="133"/>
      <c r="CA45" s="133"/>
      <c r="CB45" s="133"/>
      <c r="CC45" s="133"/>
      <c r="CD45" s="133"/>
      <c r="CE45" s="133"/>
      <c r="CF45" s="133"/>
    </row>
    <row r="46" spans="1:98" ht="6.75" customHeight="1" x14ac:dyDescent="0.3">
      <c r="A46" s="89"/>
      <c r="B46" s="21"/>
      <c r="C46" s="13"/>
      <c r="D46" s="13"/>
      <c r="E46" s="13"/>
      <c r="F46" s="176"/>
      <c r="G46" s="13"/>
      <c r="H46" s="13"/>
      <c r="I46" s="13"/>
      <c r="J46" s="13"/>
      <c r="K46" s="13"/>
      <c r="L46" s="13"/>
      <c r="M46" s="13"/>
      <c r="N46" s="13"/>
      <c r="O46" s="13"/>
      <c r="P46" s="98"/>
      <c r="Q46" s="98"/>
      <c r="R46" s="98"/>
      <c r="S46" s="98"/>
      <c r="T46" s="98"/>
      <c r="U46" s="98"/>
      <c r="V46" s="98"/>
      <c r="W46" s="98"/>
      <c r="X46" s="99"/>
      <c r="Y46" s="99"/>
      <c r="Z46" s="99"/>
      <c r="AA46" s="99"/>
      <c r="AB46" s="99"/>
      <c r="AC46" s="99"/>
      <c r="AD46" s="99"/>
      <c r="AE46" s="99"/>
      <c r="AF46" s="99"/>
      <c r="AI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99"/>
      <c r="BR46" s="99"/>
      <c r="BS46" s="99"/>
      <c r="BT46" s="99"/>
      <c r="BU46" s="99"/>
      <c r="BV46" s="99"/>
      <c r="BW46" s="99"/>
      <c r="BX46" s="99"/>
      <c r="BY46" s="99"/>
      <c r="BZ46" s="99"/>
      <c r="CA46" s="99"/>
      <c r="CB46" s="99"/>
      <c r="CC46" s="99"/>
      <c r="CD46" s="99"/>
      <c r="CE46" s="99"/>
      <c r="CF46" s="99"/>
    </row>
    <row r="47" spans="1:98" ht="29.25" customHeight="1" x14ac:dyDescent="0.3">
      <c r="B47" s="193" t="s">
        <v>52</v>
      </c>
      <c r="C47" s="194"/>
      <c r="D47" s="194"/>
      <c r="E47" s="125"/>
      <c r="F47" s="34">
        <f>+SUM($F$9,$F$18,$F$20,$F$37)</f>
        <v>848.24062643378193</v>
      </c>
      <c r="G47" s="124"/>
      <c r="H47" s="33"/>
      <c r="I47" s="33"/>
      <c r="J47" s="33"/>
      <c r="K47" s="33"/>
      <c r="L47" s="33"/>
      <c r="M47" s="33"/>
      <c r="N47" s="33"/>
      <c r="O47" s="33"/>
      <c r="P47" s="93">
        <f>+P37+P20+P18+P9</f>
        <v>52192.820087943088</v>
      </c>
      <c r="Q47" s="93">
        <f t="shared" ref="Q47:AE47" si="76">+Q37+Q20+Q18+Q9</f>
        <v>131.28465993801512</v>
      </c>
      <c r="R47" s="93">
        <f t="shared" si="76"/>
        <v>36792.150941525688</v>
      </c>
      <c r="S47" s="93">
        <f t="shared" si="76"/>
        <v>132.07160858877552</v>
      </c>
      <c r="T47" s="93">
        <f t="shared" si="76"/>
        <v>15544.154883851626</v>
      </c>
      <c r="U47" s="93">
        <f t="shared" si="76"/>
        <v>125.92017001917733</v>
      </c>
      <c r="V47" s="93">
        <f t="shared" si="76"/>
        <v>7511.6259401039069</v>
      </c>
      <c r="W47" s="93">
        <f t="shared" si="76"/>
        <v>113.90871228899141</v>
      </c>
      <c r="X47" s="93">
        <f t="shared" si="76"/>
        <v>3331.5260261021153</v>
      </c>
      <c r="Y47" s="93">
        <f t="shared" si="76"/>
        <v>107.28750037885627</v>
      </c>
      <c r="Z47" s="93">
        <f t="shared" si="76"/>
        <v>1070.9681111720199</v>
      </c>
      <c r="AA47" s="93">
        <f t="shared" si="76"/>
        <v>101.96115141055969</v>
      </c>
      <c r="AB47" s="93">
        <f t="shared" si="76"/>
        <v>934.84995813278181</v>
      </c>
      <c r="AC47" s="93">
        <f t="shared" si="76"/>
        <v>57.08091270951239</v>
      </c>
      <c r="AD47" s="93">
        <f t="shared" si="76"/>
        <v>628.59379914476426</v>
      </c>
      <c r="AE47" s="93">
        <f t="shared" si="76"/>
        <v>13.688159905634009</v>
      </c>
      <c r="AF47" s="135"/>
      <c r="AI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135"/>
      <c r="BO47" s="135"/>
      <c r="BP47" s="135"/>
      <c r="BQ47" s="135"/>
      <c r="BR47" s="135"/>
      <c r="BS47" s="135"/>
      <c r="BT47" s="135"/>
      <c r="BU47" s="135"/>
      <c r="BV47" s="135"/>
      <c r="BW47" s="135"/>
      <c r="BX47" s="135"/>
      <c r="BY47" s="135"/>
      <c r="BZ47" s="135"/>
      <c r="CA47" s="135"/>
      <c r="CB47" s="135"/>
      <c r="CC47" s="135"/>
      <c r="CD47" s="135"/>
      <c r="CE47" s="135"/>
      <c r="CF47" s="135"/>
    </row>
    <row r="48" spans="1:98" x14ac:dyDescent="0.3">
      <c r="B48" s="37"/>
      <c r="C48" s="37"/>
      <c r="D48" s="37"/>
      <c r="E48" s="37"/>
      <c r="F48" s="147"/>
      <c r="G48" s="37"/>
      <c r="H48" s="37"/>
      <c r="I48" s="37"/>
      <c r="J48" s="37"/>
      <c r="K48" s="37"/>
      <c r="L48" s="37"/>
      <c r="M48" s="37"/>
      <c r="N48" s="37"/>
      <c r="O48" s="116"/>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5"/>
      <c r="BU48" s="115"/>
      <c r="BV48" s="115"/>
      <c r="BW48" s="115"/>
      <c r="BX48" s="115"/>
      <c r="BY48" s="115"/>
      <c r="BZ48" s="115"/>
      <c r="CA48" s="115"/>
      <c r="CB48" s="115"/>
      <c r="CC48" s="115"/>
      <c r="CD48" s="115"/>
      <c r="CE48" s="115"/>
      <c r="CF48" s="115"/>
      <c r="CG48" s="115"/>
      <c r="CH48" s="115"/>
      <c r="CI48" s="115"/>
      <c r="CJ48" s="115"/>
      <c r="CK48" s="115"/>
      <c r="CL48" s="115"/>
      <c r="CM48" s="115"/>
      <c r="CN48" s="115"/>
      <c r="CO48" s="115"/>
      <c r="CP48" s="115"/>
      <c r="CQ48" s="115"/>
      <c r="CR48" s="115"/>
    </row>
    <row r="49" spans="2:96" x14ac:dyDescent="0.3">
      <c r="B49" s="21"/>
      <c r="C49" s="13"/>
      <c r="D49" s="13"/>
      <c r="E49" s="22"/>
      <c r="F49" s="147"/>
      <c r="G49" s="37"/>
      <c r="H49" s="37"/>
      <c r="I49" s="37"/>
      <c r="J49" s="37"/>
      <c r="K49" s="37"/>
      <c r="L49" s="37"/>
      <c r="M49" s="37"/>
      <c r="N49" s="37"/>
      <c r="O49" s="37"/>
      <c r="P49" s="142"/>
      <c r="Q49" s="142"/>
      <c r="R49" s="142"/>
      <c r="S49" s="142"/>
      <c r="T49" s="142"/>
      <c r="U49" s="142"/>
      <c r="V49" s="142"/>
      <c r="W49" s="142"/>
      <c r="X49" s="142"/>
      <c r="Y49" s="142"/>
      <c r="Z49" s="142"/>
      <c r="AA49" s="142"/>
      <c r="AB49" s="142"/>
      <c r="AC49" s="142"/>
      <c r="AD49" s="142"/>
      <c r="AE49" s="142"/>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7"/>
      <c r="CP49" s="47"/>
      <c r="CQ49" s="47"/>
      <c r="CR49" s="47"/>
    </row>
    <row r="50" spans="2:96" x14ac:dyDescent="0.3">
      <c r="B50" s="37"/>
      <c r="C50" s="37"/>
      <c r="D50" s="37"/>
      <c r="E50" s="37"/>
      <c r="F50" s="147"/>
      <c r="G50" s="37"/>
      <c r="H50" s="37"/>
      <c r="I50" s="37"/>
      <c r="J50" s="37"/>
      <c r="K50" s="37"/>
      <c r="L50" s="37"/>
      <c r="M50" s="37"/>
      <c r="N50" s="37"/>
      <c r="O50" s="116"/>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47"/>
      <c r="CP50" s="47"/>
      <c r="CQ50" s="47"/>
      <c r="CR50" s="47"/>
    </row>
    <row r="51" spans="2:96" x14ac:dyDescent="0.3">
      <c r="B51" s="199" t="s">
        <v>204</v>
      </c>
      <c r="C51" s="199"/>
      <c r="D51" s="199"/>
      <c r="E51" s="199"/>
      <c r="F51" s="199"/>
      <c r="G51" s="199"/>
      <c r="H51" s="199"/>
      <c r="I51" s="199"/>
      <c r="J51" s="199"/>
      <c r="K51" s="199"/>
      <c r="L51" s="199"/>
      <c r="M51" s="199"/>
      <c r="N51" s="199"/>
      <c r="O51" s="3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c r="CH51" s="47"/>
      <c r="CI51" s="47"/>
      <c r="CJ51" s="47"/>
      <c r="CK51" s="47"/>
      <c r="CL51" s="47"/>
      <c r="CM51" s="47"/>
      <c r="CN51" s="47"/>
      <c r="CO51" s="47"/>
      <c r="CP51" s="47"/>
      <c r="CQ51" s="47"/>
      <c r="CR51" s="47"/>
    </row>
    <row r="52" spans="2:96" x14ac:dyDescent="0.3">
      <c r="B52" s="199" t="s">
        <v>149</v>
      </c>
      <c r="C52" s="199"/>
      <c r="D52" s="199"/>
      <c r="E52" s="199"/>
      <c r="F52" s="199"/>
      <c r="G52" s="199"/>
      <c r="H52" s="199"/>
      <c r="I52" s="199"/>
      <c r="J52" s="199"/>
      <c r="K52" s="199"/>
      <c r="L52" s="199"/>
      <c r="M52" s="199"/>
      <c r="N52" s="199"/>
      <c r="O52" s="3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c r="CH52" s="47"/>
      <c r="CI52" s="47"/>
      <c r="CJ52" s="47"/>
      <c r="CK52" s="47"/>
      <c r="CL52" s="47"/>
      <c r="CM52" s="47"/>
      <c r="CN52" s="47"/>
      <c r="CO52" s="47"/>
      <c r="CP52" s="47"/>
      <c r="CQ52" s="47"/>
      <c r="CR52" s="47"/>
    </row>
    <row r="53" spans="2:96" x14ac:dyDescent="0.3">
      <c r="B53" s="199" t="s">
        <v>202</v>
      </c>
      <c r="C53" s="199"/>
      <c r="D53" s="199"/>
      <c r="E53" s="199"/>
      <c r="F53" s="199"/>
      <c r="G53" s="199"/>
      <c r="H53" s="199"/>
      <c r="I53" s="199"/>
      <c r="J53" s="199"/>
      <c r="K53" s="199"/>
      <c r="L53" s="199"/>
      <c r="M53" s="199"/>
      <c r="N53" s="199"/>
      <c r="O53" s="3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47"/>
      <c r="CH53" s="47"/>
      <c r="CI53" s="47"/>
      <c r="CJ53" s="47"/>
      <c r="CK53" s="47"/>
      <c r="CL53" s="47"/>
      <c r="CM53" s="47"/>
      <c r="CN53" s="47"/>
      <c r="CO53" s="47"/>
      <c r="CP53" s="47"/>
      <c r="CQ53" s="47"/>
      <c r="CR53" s="47"/>
    </row>
    <row r="54" spans="2:96" x14ac:dyDescent="0.3">
      <c r="B54" s="199" t="s">
        <v>206</v>
      </c>
      <c r="C54" s="199"/>
      <c r="D54" s="199"/>
      <c r="E54" s="199"/>
      <c r="F54" s="199"/>
      <c r="G54" s="199"/>
      <c r="H54" s="199"/>
      <c r="I54" s="199"/>
      <c r="J54" s="199"/>
      <c r="K54" s="199"/>
      <c r="L54" s="199"/>
      <c r="M54" s="199"/>
      <c r="N54" s="199"/>
      <c r="O54" s="3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c r="CH54" s="47"/>
      <c r="CI54" s="47"/>
      <c r="CJ54" s="47"/>
      <c r="CK54" s="47"/>
      <c r="CL54" s="47"/>
      <c r="CM54" s="47"/>
      <c r="CN54" s="47"/>
      <c r="CO54" s="47"/>
      <c r="CP54" s="47"/>
      <c r="CQ54" s="47"/>
      <c r="CR54" s="47"/>
    </row>
    <row r="55" spans="2:96" x14ac:dyDescent="0.3">
      <c r="B55" s="199" t="s">
        <v>217</v>
      </c>
      <c r="C55" s="199"/>
      <c r="D55" s="199"/>
      <c r="E55" s="199"/>
      <c r="F55" s="199"/>
      <c r="G55" s="199"/>
      <c r="H55" s="199"/>
      <c r="I55" s="199"/>
      <c r="J55" s="199"/>
      <c r="K55" s="199"/>
      <c r="L55" s="199"/>
      <c r="M55" s="199"/>
      <c r="N55" s="199"/>
      <c r="O55" s="3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47"/>
      <c r="CA55" s="47"/>
      <c r="CB55" s="47"/>
      <c r="CC55" s="47"/>
      <c r="CD55" s="47"/>
      <c r="CE55" s="47"/>
      <c r="CF55" s="47"/>
      <c r="CG55" s="47"/>
      <c r="CH55" s="47"/>
      <c r="CI55" s="47"/>
      <c r="CJ55" s="47"/>
      <c r="CK55" s="47"/>
      <c r="CL55" s="47"/>
      <c r="CM55" s="47"/>
      <c r="CN55" s="47"/>
      <c r="CO55" s="47"/>
      <c r="CP55" s="47"/>
      <c r="CQ55" s="47"/>
      <c r="CR55" s="47"/>
    </row>
    <row r="56" spans="2:96" x14ac:dyDescent="0.3">
      <c r="B56" s="37"/>
      <c r="C56" s="37"/>
      <c r="D56" s="37"/>
      <c r="E56" s="37"/>
      <c r="F56" s="147"/>
      <c r="G56" s="37"/>
      <c r="H56" s="37"/>
      <c r="I56" s="37"/>
      <c r="J56" s="37"/>
      <c r="K56" s="37"/>
      <c r="L56" s="37"/>
      <c r="M56" s="37"/>
      <c r="N56" s="37"/>
      <c r="O56" s="3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c r="CH56" s="47"/>
      <c r="CI56" s="47"/>
      <c r="CJ56" s="47"/>
      <c r="CK56" s="47"/>
      <c r="CL56" s="47"/>
      <c r="CM56" s="47"/>
      <c r="CN56" s="47"/>
      <c r="CO56" s="47"/>
      <c r="CP56" s="47"/>
      <c r="CQ56" s="47"/>
      <c r="CR56" s="47"/>
    </row>
    <row r="57" spans="2:96" x14ac:dyDescent="0.3">
      <c r="B57" s="38" t="s">
        <v>54</v>
      </c>
      <c r="C57" s="87">
        <v>256.67500000000001</v>
      </c>
      <c r="D57" s="37"/>
      <c r="E57" s="37"/>
      <c r="F57" s="147"/>
      <c r="G57" s="37"/>
      <c r="H57" s="37"/>
      <c r="I57" s="37"/>
      <c r="J57" s="37"/>
      <c r="K57" s="37"/>
      <c r="L57" s="37"/>
      <c r="M57" s="37"/>
      <c r="N57" s="37"/>
      <c r="O57" s="37"/>
      <c r="P57" s="37"/>
      <c r="Q57" s="37"/>
      <c r="R57" s="37"/>
      <c r="S57" s="37"/>
      <c r="T57" s="37"/>
      <c r="U57" s="37"/>
      <c r="V57" s="37"/>
      <c r="W57" s="37"/>
      <c r="X57" s="37"/>
      <c r="Y57" s="37"/>
      <c r="Z57" s="37"/>
    </row>
    <row r="58" spans="2:96" x14ac:dyDescent="0.3">
      <c r="B58" s="38" t="s">
        <v>53</v>
      </c>
      <c r="C58" s="88">
        <v>0.92500000000000004</v>
      </c>
      <c r="D58" s="37"/>
      <c r="E58" s="80"/>
      <c r="F58" s="147"/>
      <c r="G58" s="37"/>
      <c r="H58" s="37"/>
      <c r="I58" s="37"/>
      <c r="J58" s="37"/>
      <c r="K58" s="37"/>
      <c r="L58" s="37"/>
      <c r="M58" s="37"/>
      <c r="N58" s="37"/>
      <c r="O58" s="37"/>
      <c r="P58" s="37"/>
      <c r="Q58" s="37"/>
      <c r="R58" s="37"/>
      <c r="S58" s="37"/>
      <c r="T58" s="37"/>
      <c r="U58" s="37"/>
      <c r="V58" s="37"/>
      <c r="W58" s="37"/>
      <c r="X58" s="37"/>
      <c r="Y58" s="37"/>
      <c r="Z58" s="37"/>
    </row>
    <row r="59" spans="2:96" x14ac:dyDescent="0.3">
      <c r="B59" s="38" t="s">
        <v>216</v>
      </c>
      <c r="C59" s="87">
        <v>108.28025792570828</v>
      </c>
      <c r="D59" s="37"/>
      <c r="E59" s="37"/>
      <c r="F59" s="147"/>
      <c r="G59" s="37"/>
      <c r="H59" s="37"/>
      <c r="I59" s="37"/>
      <c r="J59" s="37"/>
      <c r="K59" s="37"/>
      <c r="L59" s="37"/>
      <c r="M59" s="37"/>
      <c r="N59" s="37"/>
      <c r="O59" s="37"/>
      <c r="P59" s="37"/>
      <c r="Q59" s="37"/>
      <c r="R59" s="37"/>
      <c r="S59" s="37"/>
      <c r="T59" s="37"/>
      <c r="U59" s="37"/>
      <c r="V59" s="37"/>
      <c r="W59" s="37"/>
      <c r="X59" s="37"/>
      <c r="Y59" s="37"/>
      <c r="Z59" s="37"/>
    </row>
    <row r="60" spans="2:96" x14ac:dyDescent="0.3">
      <c r="Q60" s="25"/>
      <c r="R60" s="25"/>
      <c r="S60" s="25"/>
      <c r="T60" s="25"/>
      <c r="U60" s="25"/>
      <c r="V60" s="25"/>
      <c r="W60" s="25"/>
      <c r="X60" s="25"/>
      <c r="Y60" s="25"/>
      <c r="Z60" s="25"/>
      <c r="AA60" s="25"/>
      <c r="AB60" s="25"/>
      <c r="AC60" s="25"/>
      <c r="AD60" s="25"/>
      <c r="AE60" s="25"/>
      <c r="AF60" s="25"/>
      <c r="AG60" s="25"/>
      <c r="AH60" s="25"/>
      <c r="AI60" s="25"/>
      <c r="AJ60" s="25"/>
      <c r="AK60" s="25"/>
    </row>
    <row r="62" spans="2:96" ht="20.25" x14ac:dyDescent="0.3">
      <c r="B62" s="183" t="s">
        <v>46</v>
      </c>
      <c r="C62" s="183"/>
      <c r="D62" s="183"/>
      <c r="E62" s="183"/>
      <c r="F62" s="183"/>
      <c r="G62" s="183"/>
      <c r="H62" s="183"/>
      <c r="I62" s="183"/>
      <c r="J62" s="183"/>
      <c r="K62" s="183"/>
      <c r="L62" s="183"/>
      <c r="M62" s="183"/>
      <c r="N62" s="183"/>
      <c r="O62" s="183"/>
      <c r="P62" s="183"/>
      <c r="Q62" s="183"/>
      <c r="R62" s="183"/>
      <c r="S62" s="183"/>
      <c r="T62" s="183"/>
      <c r="U62" s="183"/>
    </row>
    <row r="63" spans="2:96" ht="17.25" x14ac:dyDescent="0.3">
      <c r="B63" s="5" t="s">
        <v>50</v>
      </c>
      <c r="C63" s="2"/>
      <c r="D63" s="2"/>
      <c r="E63" s="2"/>
      <c r="F63" s="175"/>
      <c r="G63" s="2"/>
      <c r="H63" s="2"/>
      <c r="I63" s="2"/>
      <c r="J63" s="2"/>
      <c r="K63" s="2"/>
      <c r="L63" s="2"/>
      <c r="M63" s="2"/>
      <c r="N63" s="2"/>
      <c r="O63" s="2"/>
      <c r="P63" s="2"/>
      <c r="Q63" s="2"/>
      <c r="R63" s="2"/>
      <c r="S63" s="2"/>
      <c r="T63" s="2"/>
      <c r="U63" s="2"/>
    </row>
    <row r="65" spans="1:88" ht="32.25" customHeight="1" x14ac:dyDescent="0.3">
      <c r="F65" s="67">
        <v>2023</v>
      </c>
      <c r="G65" s="67">
        <v>2023</v>
      </c>
      <c r="H65" s="67">
        <v>2024</v>
      </c>
      <c r="I65" s="67">
        <v>2024</v>
      </c>
      <c r="J65" s="67">
        <v>2025</v>
      </c>
      <c r="K65" s="67">
        <v>2025</v>
      </c>
      <c r="L65" s="67">
        <v>2026</v>
      </c>
      <c r="M65" s="67">
        <v>2026</v>
      </c>
      <c r="N65" s="67">
        <v>2027</v>
      </c>
      <c r="O65" s="67">
        <v>2027</v>
      </c>
      <c r="P65" s="67">
        <v>2028</v>
      </c>
      <c r="Q65" s="67">
        <v>2028</v>
      </c>
      <c r="R65" s="67">
        <v>2029</v>
      </c>
      <c r="S65" s="67">
        <v>2029</v>
      </c>
      <c r="T65" s="68" t="s">
        <v>188</v>
      </c>
      <c r="U65" s="68" t="s">
        <v>188</v>
      </c>
      <c r="V65" s="136"/>
      <c r="AC65" s="137"/>
      <c r="AD65" s="136"/>
      <c r="AE65" s="136"/>
      <c r="AF65" s="136"/>
      <c r="AG65" s="136"/>
      <c r="AH65" s="136"/>
      <c r="AI65" s="136"/>
      <c r="AJ65" s="136"/>
      <c r="AK65" s="136"/>
      <c r="AL65" s="136"/>
      <c r="AM65" s="136"/>
      <c r="AN65" s="136"/>
      <c r="AO65" s="136"/>
      <c r="AP65" s="136"/>
      <c r="AQ65" s="136"/>
      <c r="AR65" s="136"/>
      <c r="AS65" s="136"/>
      <c r="AT65" s="136"/>
      <c r="AU65" s="136"/>
      <c r="AV65" s="136"/>
      <c r="AW65" s="136"/>
      <c r="AX65" s="136"/>
      <c r="AY65" s="136"/>
      <c r="AZ65" s="136"/>
      <c r="BA65" s="136"/>
      <c r="BB65" s="136"/>
      <c r="BC65" s="136"/>
      <c r="BD65" s="136"/>
      <c r="BE65" s="136"/>
      <c r="BF65" s="136"/>
      <c r="BG65" s="136"/>
      <c r="BH65" s="136"/>
      <c r="BI65" s="136"/>
      <c r="BJ65" s="136"/>
      <c r="BK65" s="136"/>
      <c r="BL65" s="136"/>
      <c r="BM65" s="136"/>
      <c r="BN65" s="136"/>
      <c r="BO65" s="136"/>
      <c r="BP65" s="136"/>
      <c r="BQ65" s="136"/>
      <c r="BR65" s="136"/>
      <c r="BS65" s="136"/>
      <c r="BT65" s="136"/>
      <c r="BU65" s="136"/>
      <c r="BV65" s="136"/>
    </row>
    <row r="66" spans="1:88" ht="33.75" customHeight="1" x14ac:dyDescent="0.3">
      <c r="B66" s="20" t="s">
        <v>0</v>
      </c>
      <c r="C66" s="20" t="s">
        <v>1</v>
      </c>
      <c r="D66" s="39" t="s">
        <v>140</v>
      </c>
      <c r="E66" s="39" t="s">
        <v>99</v>
      </c>
      <c r="F66" s="178" t="s">
        <v>2</v>
      </c>
      <c r="G66" s="29" t="s">
        <v>103</v>
      </c>
      <c r="H66" s="20" t="s">
        <v>2</v>
      </c>
      <c r="I66" s="29" t="s">
        <v>103</v>
      </c>
      <c r="J66" s="20" t="s">
        <v>2</v>
      </c>
      <c r="K66" s="29" t="s">
        <v>103</v>
      </c>
      <c r="L66" s="20" t="s">
        <v>2</v>
      </c>
      <c r="M66" s="29" t="s">
        <v>103</v>
      </c>
      <c r="N66" s="20" t="s">
        <v>2</v>
      </c>
      <c r="O66" s="29" t="s">
        <v>103</v>
      </c>
      <c r="P66" s="20" t="s">
        <v>2</v>
      </c>
      <c r="Q66" s="29" t="s">
        <v>103</v>
      </c>
      <c r="R66" s="20" t="s">
        <v>2</v>
      </c>
      <c r="S66" s="29" t="s">
        <v>103</v>
      </c>
      <c r="T66" s="20" t="s">
        <v>2</v>
      </c>
      <c r="U66" s="20" t="s">
        <v>103</v>
      </c>
      <c r="V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row>
    <row r="67" spans="1:88" ht="27.95" customHeight="1" x14ac:dyDescent="0.3">
      <c r="B67" s="18" t="s">
        <v>93</v>
      </c>
      <c r="C67" s="18"/>
      <c r="D67" s="18"/>
      <c r="E67" s="18"/>
      <c r="F67" s="94">
        <f>+SUM(F68:F75)</f>
        <v>12790.352682206514</v>
      </c>
      <c r="G67" s="94">
        <f t="shared" ref="G67:U67" si="77">+SUM(G68:G75)</f>
        <v>0</v>
      </c>
      <c r="H67" s="94">
        <f t="shared" si="77"/>
        <v>587.08066929323991</v>
      </c>
      <c r="I67" s="94">
        <f t="shared" si="77"/>
        <v>0</v>
      </c>
      <c r="J67" s="94">
        <f t="shared" si="77"/>
        <v>156.98567103646133</v>
      </c>
      <c r="K67" s="94">
        <f t="shared" si="77"/>
        <v>0</v>
      </c>
      <c r="L67" s="94">
        <f t="shared" si="77"/>
        <v>40.448465854091872</v>
      </c>
      <c r="M67" s="94">
        <f t="shared" si="77"/>
        <v>0</v>
      </c>
      <c r="N67" s="94">
        <f t="shared" si="77"/>
        <v>0</v>
      </c>
      <c r="O67" s="94">
        <f t="shared" si="77"/>
        <v>0</v>
      </c>
      <c r="P67" s="94">
        <f t="shared" si="77"/>
        <v>0</v>
      </c>
      <c r="Q67" s="94">
        <f t="shared" si="77"/>
        <v>0</v>
      </c>
      <c r="R67" s="94">
        <f t="shared" si="77"/>
        <v>0</v>
      </c>
      <c r="S67" s="94">
        <f t="shared" si="77"/>
        <v>0</v>
      </c>
      <c r="T67" s="94">
        <f t="shared" si="77"/>
        <v>0</v>
      </c>
      <c r="U67" s="94">
        <f t="shared" si="77"/>
        <v>0</v>
      </c>
      <c r="V67" s="138"/>
      <c r="AC67" s="138"/>
      <c r="AD67" s="138"/>
      <c r="AE67" s="138"/>
      <c r="AF67" s="138"/>
      <c r="AG67" s="138"/>
      <c r="AH67" s="138"/>
      <c r="AI67" s="138"/>
      <c r="AJ67" s="138"/>
      <c r="AK67" s="138"/>
      <c r="AL67" s="138"/>
      <c r="AM67" s="138"/>
      <c r="AN67" s="138"/>
      <c r="AO67" s="138"/>
      <c r="AP67" s="138"/>
      <c r="AQ67" s="138"/>
      <c r="AR67" s="138"/>
      <c r="AS67" s="138"/>
      <c r="AT67" s="138"/>
      <c r="AU67" s="138"/>
      <c r="AV67" s="138"/>
      <c r="AW67" s="138"/>
      <c r="AX67" s="138"/>
      <c r="AY67" s="138"/>
      <c r="AZ67" s="138"/>
      <c r="BA67" s="138"/>
      <c r="BB67" s="138"/>
      <c r="BC67" s="138"/>
      <c r="BD67" s="138"/>
      <c r="BE67" s="138"/>
      <c r="BF67" s="138"/>
      <c r="BG67" s="138"/>
      <c r="BH67" s="138"/>
      <c r="BI67" s="138"/>
      <c r="BJ67" s="138"/>
      <c r="BK67" s="138"/>
      <c r="BL67" s="138"/>
      <c r="BM67" s="138"/>
      <c r="BN67" s="138"/>
      <c r="BO67" s="138"/>
      <c r="BP67" s="138"/>
      <c r="BQ67" s="138"/>
      <c r="BR67" s="138"/>
      <c r="BS67" s="138"/>
      <c r="BT67" s="138"/>
      <c r="BU67" s="138"/>
      <c r="BV67" s="138"/>
    </row>
    <row r="68" spans="1:88" ht="27.95" customHeight="1" x14ac:dyDescent="0.3">
      <c r="A68" s="89"/>
      <c r="B68" s="9" t="s">
        <v>129</v>
      </c>
      <c r="C68" s="9" t="s">
        <v>130</v>
      </c>
      <c r="D68" s="9" t="s">
        <v>2</v>
      </c>
      <c r="E68" s="9" t="s">
        <v>93</v>
      </c>
      <c r="F68" s="96">
        <v>4068.5244217300519</v>
      </c>
      <c r="G68" s="96">
        <v>0</v>
      </c>
      <c r="H68" s="96">
        <v>0</v>
      </c>
      <c r="I68" s="96">
        <v>0</v>
      </c>
      <c r="J68" s="96">
        <v>0</v>
      </c>
      <c r="K68" s="96">
        <v>0</v>
      </c>
      <c r="L68" s="96">
        <v>0</v>
      </c>
      <c r="M68" s="96">
        <v>0</v>
      </c>
      <c r="N68" s="96">
        <v>0</v>
      </c>
      <c r="O68" s="96">
        <v>0</v>
      </c>
      <c r="P68" s="96">
        <v>0</v>
      </c>
      <c r="Q68" s="96">
        <v>0</v>
      </c>
      <c r="R68" s="96">
        <v>0</v>
      </c>
      <c r="S68" s="96">
        <v>0</v>
      </c>
      <c r="T68" s="96">
        <v>0</v>
      </c>
      <c r="U68" s="96">
        <v>0</v>
      </c>
      <c r="V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row>
    <row r="69" spans="1:88" ht="27.95" customHeight="1" x14ac:dyDescent="0.3">
      <c r="A69" s="89"/>
      <c r="B69" s="9" t="s">
        <v>3</v>
      </c>
      <c r="C69" s="9" t="s">
        <v>4</v>
      </c>
      <c r="D69" s="9" t="s">
        <v>2</v>
      </c>
      <c r="E69" s="9" t="s">
        <v>93</v>
      </c>
      <c r="F69" s="96">
        <v>5232.1377179675374</v>
      </c>
      <c r="G69" s="96">
        <v>0</v>
      </c>
      <c r="H69" s="96">
        <v>0</v>
      </c>
      <c r="I69" s="96">
        <v>0</v>
      </c>
      <c r="J69" s="96">
        <v>0</v>
      </c>
      <c r="K69" s="96">
        <v>0</v>
      </c>
      <c r="L69" s="96">
        <v>0</v>
      </c>
      <c r="M69" s="96">
        <v>0</v>
      </c>
      <c r="N69" s="96">
        <v>0</v>
      </c>
      <c r="O69" s="96">
        <v>0</v>
      </c>
      <c r="P69" s="96">
        <v>0</v>
      </c>
      <c r="Q69" s="96">
        <v>0</v>
      </c>
      <c r="R69" s="96">
        <v>0</v>
      </c>
      <c r="S69" s="96">
        <v>0</v>
      </c>
      <c r="T69" s="96">
        <v>0</v>
      </c>
      <c r="U69" s="96">
        <v>0</v>
      </c>
      <c r="V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row>
    <row r="70" spans="1:88" ht="27.95" customHeight="1" x14ac:dyDescent="0.3">
      <c r="A70" s="89"/>
      <c r="B70" s="9" t="s">
        <v>124</v>
      </c>
      <c r="C70" s="9" t="s">
        <v>125</v>
      </c>
      <c r="D70" s="9" t="str">
        <f t="shared" ref="D70:D75" si="78">+VLOOKUP($C70,$C$10:$D$45,2,FALSE)</f>
        <v>Pesos</v>
      </c>
      <c r="E70" s="9" t="s">
        <v>93</v>
      </c>
      <c r="F70" s="96">
        <v>2854.8299634713226</v>
      </c>
      <c r="G70" s="96">
        <v>0</v>
      </c>
      <c r="H70" s="96">
        <v>0</v>
      </c>
      <c r="I70" s="96">
        <v>0</v>
      </c>
      <c r="J70" s="96">
        <v>0</v>
      </c>
      <c r="K70" s="96">
        <v>0</v>
      </c>
      <c r="L70" s="96">
        <v>0</v>
      </c>
      <c r="M70" s="96">
        <v>0</v>
      </c>
      <c r="N70" s="96">
        <v>0</v>
      </c>
      <c r="O70" s="96">
        <v>0</v>
      </c>
      <c r="P70" s="96">
        <v>0</v>
      </c>
      <c r="Q70" s="96">
        <v>0</v>
      </c>
      <c r="R70" s="96">
        <v>0</v>
      </c>
      <c r="S70" s="96">
        <v>0</v>
      </c>
      <c r="T70" s="96">
        <v>0</v>
      </c>
      <c r="U70" s="96">
        <v>0</v>
      </c>
      <c r="V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row>
    <row r="71" spans="1:88" ht="27.95" customHeight="1" x14ac:dyDescent="0.3">
      <c r="A71" s="89"/>
      <c r="B71" s="9" t="s">
        <v>7</v>
      </c>
      <c r="C71" s="9" t="s">
        <v>8</v>
      </c>
      <c r="D71" s="9" t="str">
        <f t="shared" si="78"/>
        <v>Pesos</v>
      </c>
      <c r="E71" s="9" t="s">
        <v>93</v>
      </c>
      <c r="F71" s="96">
        <v>484.0266259921442</v>
      </c>
      <c r="G71" s="96">
        <v>0</v>
      </c>
      <c r="H71" s="96">
        <v>432.21675612677853</v>
      </c>
      <c r="I71" s="96">
        <v>0</v>
      </c>
      <c r="J71" s="96">
        <v>0</v>
      </c>
      <c r="K71" s="96">
        <v>0</v>
      </c>
      <c r="L71" s="96">
        <v>0</v>
      </c>
      <c r="M71" s="96">
        <v>0</v>
      </c>
      <c r="N71" s="96">
        <v>0</v>
      </c>
      <c r="O71" s="96">
        <v>0</v>
      </c>
      <c r="P71" s="96">
        <v>0</v>
      </c>
      <c r="Q71" s="96">
        <v>0</v>
      </c>
      <c r="R71" s="96">
        <v>0</v>
      </c>
      <c r="S71" s="96">
        <v>0</v>
      </c>
      <c r="T71" s="96">
        <v>0</v>
      </c>
      <c r="U71" s="96">
        <v>0</v>
      </c>
      <c r="V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row>
    <row r="72" spans="1:88" ht="27.95" customHeight="1" x14ac:dyDescent="0.3">
      <c r="A72" s="89"/>
      <c r="B72" s="9" t="s">
        <v>9</v>
      </c>
      <c r="C72" s="9" t="s">
        <v>10</v>
      </c>
      <c r="D72" s="9" t="str">
        <f t="shared" si="78"/>
        <v>Pesos</v>
      </c>
      <c r="E72" s="9" t="s">
        <v>93</v>
      </c>
      <c r="F72" s="96">
        <v>117.92734827512571</v>
      </c>
      <c r="G72" s="96">
        <v>0</v>
      </c>
      <c r="H72" s="96">
        <v>119.84108612264077</v>
      </c>
      <c r="I72" s="96">
        <v>0</v>
      </c>
      <c r="J72" s="96">
        <v>119.84108612264075</v>
      </c>
      <c r="K72" s="96">
        <v>0</v>
      </c>
      <c r="L72" s="96">
        <v>19.973514353773488</v>
      </c>
      <c r="M72" s="96">
        <v>0</v>
      </c>
      <c r="N72" s="96">
        <v>0</v>
      </c>
      <c r="O72" s="96">
        <v>0</v>
      </c>
      <c r="P72" s="96">
        <v>0</v>
      </c>
      <c r="Q72" s="96">
        <v>0</v>
      </c>
      <c r="R72" s="96">
        <v>0</v>
      </c>
      <c r="S72" s="96">
        <v>0</v>
      </c>
      <c r="T72" s="96">
        <v>0</v>
      </c>
      <c r="U72" s="96">
        <v>0</v>
      </c>
      <c r="V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CJ72" s="140"/>
    </row>
    <row r="73" spans="1:88" ht="27.95" customHeight="1" x14ac:dyDescent="0.3">
      <c r="A73" s="89"/>
      <c r="B73" s="9" t="s">
        <v>11</v>
      </c>
      <c r="C73" s="9" t="s">
        <v>12</v>
      </c>
      <c r="D73" s="9" t="str">
        <f t="shared" si="78"/>
        <v>Pesos</v>
      </c>
      <c r="E73" s="9" t="s">
        <v>93</v>
      </c>
      <c r="F73" s="96">
        <v>20.167950799999996</v>
      </c>
      <c r="G73" s="96">
        <v>0</v>
      </c>
      <c r="H73" s="96">
        <v>22.077448799999999</v>
      </c>
      <c r="I73" s="96">
        <v>0</v>
      </c>
      <c r="J73" s="96">
        <v>24.199206670000002</v>
      </c>
      <c r="K73" s="96">
        <v>0</v>
      </c>
      <c r="L73" s="96">
        <v>19.39616998</v>
      </c>
      <c r="M73" s="96">
        <v>0</v>
      </c>
      <c r="N73" s="96">
        <v>0</v>
      </c>
      <c r="O73" s="96">
        <v>0</v>
      </c>
      <c r="P73" s="96">
        <v>0</v>
      </c>
      <c r="Q73" s="96">
        <v>0</v>
      </c>
      <c r="R73" s="96">
        <v>0</v>
      </c>
      <c r="S73" s="96">
        <v>0</v>
      </c>
      <c r="T73" s="96">
        <v>0</v>
      </c>
      <c r="U73" s="96">
        <v>0</v>
      </c>
      <c r="V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row>
    <row r="74" spans="1:88" ht="27.95" customHeight="1" x14ac:dyDescent="0.3">
      <c r="A74" s="89"/>
      <c r="B74" s="9" t="s">
        <v>13</v>
      </c>
      <c r="C74" s="9" t="s">
        <v>14</v>
      </c>
      <c r="D74" s="9" t="str">
        <f t="shared" si="78"/>
        <v>Pesos</v>
      </c>
      <c r="E74" s="9" t="s">
        <v>93</v>
      </c>
      <c r="F74" s="96">
        <v>12.738653970332226</v>
      </c>
      <c r="G74" s="96">
        <v>0</v>
      </c>
      <c r="H74" s="96">
        <v>12.945378243820599</v>
      </c>
      <c r="I74" s="96">
        <v>0</v>
      </c>
      <c r="J74" s="96">
        <v>12.945378243820599</v>
      </c>
      <c r="K74" s="96">
        <v>0</v>
      </c>
      <c r="L74" s="96">
        <v>1.078781520318383</v>
      </c>
      <c r="M74" s="96">
        <v>0</v>
      </c>
      <c r="N74" s="96">
        <v>0</v>
      </c>
      <c r="O74" s="96">
        <v>0</v>
      </c>
      <c r="P74" s="96">
        <v>0</v>
      </c>
      <c r="Q74" s="96">
        <v>0</v>
      </c>
      <c r="R74" s="96">
        <v>0</v>
      </c>
      <c r="S74" s="96">
        <v>0</v>
      </c>
      <c r="T74" s="96">
        <v>0</v>
      </c>
      <c r="U74" s="96">
        <v>0</v>
      </c>
      <c r="V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row>
    <row r="75" spans="1:88" ht="27.95" customHeight="1" x14ac:dyDescent="0.3">
      <c r="A75" s="89"/>
      <c r="B75" s="9" t="s">
        <v>5</v>
      </c>
      <c r="C75" s="9" t="s">
        <v>6</v>
      </c>
      <c r="D75" s="9" t="str">
        <f t="shared" si="78"/>
        <v>Pesos</v>
      </c>
      <c r="E75" s="9" t="s">
        <v>93</v>
      </c>
      <c r="F75" s="96">
        <v>0</v>
      </c>
      <c r="G75" s="96">
        <v>0</v>
      </c>
      <c r="H75" s="96">
        <v>0</v>
      </c>
      <c r="I75" s="96">
        <v>0</v>
      </c>
      <c r="J75" s="96">
        <v>0</v>
      </c>
      <c r="K75" s="96">
        <v>0</v>
      </c>
      <c r="L75" s="96">
        <v>0</v>
      </c>
      <c r="M75" s="96">
        <v>0</v>
      </c>
      <c r="N75" s="96">
        <v>0</v>
      </c>
      <c r="O75" s="96">
        <v>0</v>
      </c>
      <c r="P75" s="96">
        <v>0</v>
      </c>
      <c r="Q75" s="96">
        <v>0</v>
      </c>
      <c r="R75" s="96">
        <v>0</v>
      </c>
      <c r="S75" s="96">
        <v>0</v>
      </c>
      <c r="T75" s="96">
        <v>0</v>
      </c>
      <c r="U75" s="96">
        <v>0</v>
      </c>
      <c r="V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row>
    <row r="76" spans="1:88" ht="27.95" customHeight="1" x14ac:dyDescent="0.3">
      <c r="A76" s="89"/>
      <c r="B76" s="18" t="s">
        <v>94</v>
      </c>
      <c r="C76" s="18"/>
      <c r="D76" s="18"/>
      <c r="E76" s="18"/>
      <c r="F76" s="94">
        <f>+F77</f>
        <v>4306.9815373800002</v>
      </c>
      <c r="G76" s="94">
        <f t="shared" ref="G76:U76" si="79">+G77</f>
        <v>0</v>
      </c>
      <c r="H76" s="94">
        <f t="shared" si="79"/>
        <v>4306.9815588000001</v>
      </c>
      <c r="I76" s="94">
        <f t="shared" si="79"/>
        <v>0</v>
      </c>
      <c r="J76" s="94">
        <f t="shared" si="79"/>
        <v>4306.9815588000001</v>
      </c>
      <c r="K76" s="94">
        <f t="shared" si="79"/>
        <v>0</v>
      </c>
      <c r="L76" s="94">
        <f t="shared" si="79"/>
        <v>4306.9815588000001</v>
      </c>
      <c r="M76" s="94">
        <f t="shared" si="79"/>
        <v>0</v>
      </c>
      <c r="N76" s="94">
        <f t="shared" si="79"/>
        <v>1794.5756495000001</v>
      </c>
      <c r="O76" s="94">
        <f t="shared" si="79"/>
        <v>0</v>
      </c>
      <c r="P76" s="94">
        <f t="shared" si="79"/>
        <v>0</v>
      </c>
      <c r="Q76" s="94">
        <f t="shared" si="79"/>
        <v>0</v>
      </c>
      <c r="R76" s="94">
        <f t="shared" si="79"/>
        <v>0</v>
      </c>
      <c r="S76" s="94">
        <f t="shared" si="79"/>
        <v>0</v>
      </c>
      <c r="T76" s="94">
        <f t="shared" si="79"/>
        <v>0</v>
      </c>
      <c r="U76" s="94">
        <f t="shared" si="79"/>
        <v>0</v>
      </c>
      <c r="V76" s="138"/>
      <c r="AC76" s="138"/>
      <c r="AD76" s="138"/>
      <c r="AE76" s="138"/>
      <c r="AF76" s="138"/>
      <c r="AG76" s="138"/>
      <c r="AH76" s="138"/>
      <c r="AI76" s="138"/>
      <c r="AJ76" s="138"/>
      <c r="AK76" s="138"/>
      <c r="AL76" s="138"/>
      <c r="AM76" s="138"/>
      <c r="AN76" s="138"/>
      <c r="AO76" s="138"/>
      <c r="AP76" s="138"/>
      <c r="AQ76" s="138"/>
      <c r="AR76" s="138"/>
      <c r="AS76" s="138"/>
      <c r="AT76" s="138"/>
      <c r="AU76" s="138"/>
      <c r="AV76" s="138"/>
      <c r="AW76" s="138"/>
      <c r="AX76" s="138"/>
      <c r="AY76" s="138"/>
      <c r="AZ76" s="138"/>
      <c r="BA76" s="138"/>
      <c r="BB76" s="138"/>
      <c r="BC76" s="138"/>
      <c r="BD76" s="138"/>
      <c r="BE76" s="138"/>
      <c r="BF76" s="138"/>
      <c r="BG76" s="138"/>
      <c r="BH76" s="138"/>
      <c r="BI76" s="138"/>
      <c r="BJ76" s="138"/>
      <c r="BK76" s="138"/>
      <c r="BL76" s="138"/>
      <c r="BM76" s="138"/>
      <c r="BN76" s="138"/>
      <c r="BO76" s="138"/>
      <c r="BP76" s="138"/>
      <c r="BQ76" s="138"/>
      <c r="BR76" s="138"/>
      <c r="BS76" s="138"/>
      <c r="BT76" s="138"/>
      <c r="BU76" s="138"/>
      <c r="BV76" s="138"/>
    </row>
    <row r="77" spans="1:88" ht="27.95" customHeight="1" x14ac:dyDescent="0.3">
      <c r="A77" s="89"/>
      <c r="B77" s="9" t="s">
        <v>154</v>
      </c>
      <c r="C77" s="9" t="s">
        <v>155</v>
      </c>
      <c r="D77" s="9" t="str">
        <f>+VLOOKUP($C77,$C$10:$D$45,2,FALSE)</f>
        <v>Pesos</v>
      </c>
      <c r="E77" s="9" t="s">
        <v>94</v>
      </c>
      <c r="F77" s="96">
        <v>4306.9815373800002</v>
      </c>
      <c r="G77" s="96">
        <v>0</v>
      </c>
      <c r="H77" s="96">
        <v>4306.9815588000001</v>
      </c>
      <c r="I77" s="96">
        <v>0</v>
      </c>
      <c r="J77" s="96">
        <v>4306.9815588000001</v>
      </c>
      <c r="K77" s="96">
        <v>0</v>
      </c>
      <c r="L77" s="96">
        <v>4306.9815588000001</v>
      </c>
      <c r="M77" s="96">
        <v>0</v>
      </c>
      <c r="N77" s="96">
        <v>1794.5756495000001</v>
      </c>
      <c r="O77" s="96">
        <v>0</v>
      </c>
      <c r="P77" s="96">
        <v>0</v>
      </c>
      <c r="Q77" s="96">
        <v>0</v>
      </c>
      <c r="R77" s="96">
        <v>0</v>
      </c>
      <c r="S77" s="96">
        <v>0</v>
      </c>
      <c r="T77" s="96">
        <v>0</v>
      </c>
      <c r="U77" s="96">
        <v>0</v>
      </c>
      <c r="V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row>
    <row r="78" spans="1:88" ht="27.95" customHeight="1" x14ac:dyDescent="0.3">
      <c r="A78" s="89"/>
      <c r="B78" s="18" t="s">
        <v>15</v>
      </c>
      <c r="C78" s="18"/>
      <c r="D78" s="18"/>
      <c r="E78" s="18"/>
      <c r="F78" s="94">
        <f>+SUM(F79,F91)</f>
        <v>0</v>
      </c>
      <c r="G78" s="94">
        <f t="shared" ref="G78:U78" si="80">+SUM(G79,G91)</f>
        <v>16.543370506615599</v>
      </c>
      <c r="H78" s="94">
        <f t="shared" si="80"/>
        <v>0</v>
      </c>
      <c r="I78" s="94">
        <f t="shared" si="80"/>
        <v>16.258840320377129</v>
      </c>
      <c r="J78" s="94">
        <f t="shared" si="80"/>
        <v>0</v>
      </c>
      <c r="K78" s="94">
        <f t="shared" si="80"/>
        <v>17.252739164543794</v>
      </c>
      <c r="L78" s="94">
        <f t="shared" si="80"/>
        <v>0</v>
      </c>
      <c r="M78" s="94">
        <f t="shared" si="80"/>
        <v>12.551992309674182</v>
      </c>
      <c r="N78" s="94">
        <f t="shared" si="80"/>
        <v>0</v>
      </c>
      <c r="O78" s="94">
        <f t="shared" si="80"/>
        <v>12.551992309674182</v>
      </c>
      <c r="P78" s="94">
        <f t="shared" si="80"/>
        <v>0</v>
      </c>
      <c r="Q78" s="94">
        <f t="shared" si="80"/>
        <v>12.551992309674182</v>
      </c>
      <c r="R78" s="94">
        <f t="shared" si="80"/>
        <v>0</v>
      </c>
      <c r="S78" s="94">
        <f t="shared" si="80"/>
        <v>12.551992309674182</v>
      </c>
      <c r="T78" s="94">
        <f t="shared" si="80"/>
        <v>0</v>
      </c>
      <c r="U78" s="94">
        <f t="shared" si="80"/>
        <v>12.028011987307835</v>
      </c>
      <c r="V78" s="138"/>
      <c r="AC78" s="138"/>
      <c r="AD78" s="138"/>
      <c r="AE78" s="138"/>
      <c r="AF78" s="138"/>
      <c r="AG78" s="138"/>
      <c r="AH78" s="138"/>
      <c r="AI78" s="138"/>
      <c r="AJ78" s="138"/>
      <c r="AK78" s="138"/>
      <c r="AL78" s="138"/>
      <c r="AM78" s="138"/>
      <c r="AN78" s="138"/>
      <c r="AO78" s="138"/>
      <c r="AP78" s="138"/>
      <c r="AQ78" s="138"/>
      <c r="AR78" s="138"/>
      <c r="AS78" s="138"/>
      <c r="AT78" s="138"/>
      <c r="AU78" s="138"/>
      <c r="AV78" s="138"/>
      <c r="AW78" s="138"/>
      <c r="AX78" s="138"/>
      <c r="AY78" s="138"/>
      <c r="AZ78" s="138"/>
      <c r="BA78" s="138"/>
      <c r="BB78" s="138"/>
      <c r="BC78" s="138"/>
      <c r="BD78" s="138"/>
      <c r="BE78" s="138"/>
      <c r="BF78" s="138"/>
      <c r="BG78" s="138"/>
      <c r="BH78" s="138"/>
      <c r="BI78" s="138"/>
      <c r="BJ78" s="138"/>
      <c r="BK78" s="138"/>
      <c r="BL78" s="138"/>
      <c r="BM78" s="138"/>
      <c r="BN78" s="138"/>
      <c r="BO78" s="138"/>
      <c r="BP78" s="138"/>
      <c r="BQ78" s="138"/>
      <c r="BR78" s="138"/>
      <c r="BS78" s="138"/>
      <c r="BT78" s="138"/>
      <c r="BU78" s="138"/>
      <c r="BV78" s="138"/>
    </row>
    <row r="79" spans="1:88" ht="27.95" customHeight="1" x14ac:dyDescent="0.3">
      <c r="A79" s="89"/>
      <c r="B79" s="19" t="s">
        <v>16</v>
      </c>
      <c r="C79" s="19"/>
      <c r="D79" s="19"/>
      <c r="E79" s="19"/>
      <c r="F79" s="100">
        <f>+SUM(F80:F90)</f>
        <v>0</v>
      </c>
      <c r="G79" s="100">
        <f t="shared" ref="G79:U79" si="81">+SUM(G80:G90)</f>
        <v>14.758812803758456</v>
      </c>
      <c r="H79" s="100">
        <f t="shared" si="81"/>
        <v>0</v>
      </c>
      <c r="I79" s="100">
        <f t="shared" si="81"/>
        <v>14.474282617519988</v>
      </c>
      <c r="J79" s="100">
        <f t="shared" si="81"/>
        <v>0</v>
      </c>
      <c r="K79" s="100">
        <f t="shared" si="81"/>
        <v>15.110974439186654</v>
      </c>
      <c r="L79" s="100">
        <f t="shared" si="81"/>
        <v>0</v>
      </c>
      <c r="M79" s="100">
        <f t="shared" si="81"/>
        <v>10.39617611942475</v>
      </c>
      <c r="N79" s="100">
        <f t="shared" si="81"/>
        <v>0</v>
      </c>
      <c r="O79" s="100">
        <f t="shared" si="81"/>
        <v>10.39617611942475</v>
      </c>
      <c r="P79" s="100">
        <f t="shared" si="81"/>
        <v>0</v>
      </c>
      <c r="Q79" s="100">
        <f t="shared" si="81"/>
        <v>10.39617611942475</v>
      </c>
      <c r="R79" s="100">
        <f t="shared" si="81"/>
        <v>0</v>
      </c>
      <c r="S79" s="100">
        <f t="shared" si="81"/>
        <v>10.39617611942475</v>
      </c>
      <c r="T79" s="100">
        <f t="shared" si="81"/>
        <v>0</v>
      </c>
      <c r="U79" s="100">
        <f t="shared" si="81"/>
        <v>9.8725237957720413</v>
      </c>
      <c r="V79" s="141"/>
      <c r="AC79" s="141"/>
      <c r="AD79" s="141"/>
      <c r="AE79" s="141"/>
      <c r="AF79" s="141"/>
      <c r="AG79" s="141"/>
      <c r="AH79" s="141"/>
      <c r="AI79" s="141"/>
      <c r="AJ79" s="141"/>
      <c r="AK79" s="141"/>
      <c r="AL79" s="141"/>
      <c r="AM79" s="141"/>
      <c r="AN79" s="141"/>
      <c r="AO79" s="141"/>
      <c r="AP79" s="141"/>
      <c r="AQ79" s="141"/>
      <c r="AR79" s="141"/>
      <c r="AS79" s="141"/>
      <c r="AT79" s="141"/>
      <c r="AU79" s="141"/>
      <c r="AV79" s="141"/>
      <c r="AW79" s="141"/>
      <c r="AX79" s="141"/>
      <c r="AY79" s="141"/>
      <c r="AZ79" s="141"/>
      <c r="BA79" s="141"/>
      <c r="BB79" s="141"/>
      <c r="BC79" s="141"/>
      <c r="BD79" s="141"/>
      <c r="BE79" s="141"/>
      <c r="BF79" s="141"/>
      <c r="BG79" s="141"/>
      <c r="BH79" s="141"/>
      <c r="BI79" s="141"/>
      <c r="BJ79" s="141"/>
      <c r="BK79" s="141"/>
      <c r="BL79" s="141"/>
      <c r="BM79" s="141"/>
      <c r="BN79" s="141"/>
      <c r="BO79" s="141"/>
      <c r="BP79" s="141"/>
      <c r="BQ79" s="141"/>
      <c r="BR79" s="141"/>
      <c r="BS79" s="141"/>
      <c r="BT79" s="141"/>
      <c r="BU79" s="141"/>
      <c r="BV79" s="141"/>
    </row>
    <row r="80" spans="1:88" ht="27.95" customHeight="1" x14ac:dyDescent="0.3">
      <c r="A80" s="89"/>
      <c r="B80" s="9" t="s">
        <v>23</v>
      </c>
      <c r="C80" s="9" t="s">
        <v>24</v>
      </c>
      <c r="D80" s="9" t="str">
        <f t="shared" ref="D80:D86" si="82">+VLOOKUP($C80,$C$10:$D$45,2,FALSE)</f>
        <v>USD</v>
      </c>
      <c r="E80" s="9" t="s">
        <v>96</v>
      </c>
      <c r="F80" s="96">
        <v>0</v>
      </c>
      <c r="G80" s="96">
        <v>2.5338304974169246</v>
      </c>
      <c r="H80" s="96">
        <v>0</v>
      </c>
      <c r="I80" s="96">
        <v>2.5811864277110428</v>
      </c>
      <c r="J80" s="96">
        <v>0</v>
      </c>
      <c r="K80" s="96">
        <v>2.5811864277110428</v>
      </c>
      <c r="L80" s="96">
        <v>0</v>
      </c>
      <c r="M80" s="96">
        <v>2.5811864277110428</v>
      </c>
      <c r="N80" s="96">
        <v>0</v>
      </c>
      <c r="O80" s="96">
        <v>2.5811864277110428</v>
      </c>
      <c r="P80" s="96">
        <v>0</v>
      </c>
      <c r="Q80" s="96">
        <v>2.5811864277110428</v>
      </c>
      <c r="R80" s="96">
        <v>0</v>
      </c>
      <c r="S80" s="96">
        <v>2.5811864277110428</v>
      </c>
      <c r="T80" s="96">
        <v>0</v>
      </c>
      <c r="U80" s="96">
        <v>2.4638597719059945</v>
      </c>
      <c r="V80" s="101"/>
      <c r="AC80" s="101"/>
      <c r="AD80" s="101"/>
      <c r="AE80" s="101"/>
      <c r="AF80" s="101"/>
      <c r="AG80" s="101"/>
      <c r="AH80" s="101"/>
      <c r="AI80" s="101"/>
      <c r="AJ80" s="101"/>
      <c r="AK80" s="101"/>
      <c r="AL80" s="101"/>
      <c r="AM80" s="101"/>
      <c r="AN80" s="101"/>
      <c r="AO80" s="101"/>
      <c r="AP80" s="101"/>
      <c r="AQ80" s="101"/>
      <c r="AR80" s="101"/>
      <c r="AS80" s="101"/>
      <c r="AT80" s="101"/>
      <c r="AU80" s="101"/>
      <c r="AV80" s="101"/>
      <c r="AW80" s="101"/>
      <c r="AX80" s="101"/>
      <c r="AY80" s="101"/>
      <c r="AZ80" s="101"/>
      <c r="BA80" s="101"/>
      <c r="BB80" s="101"/>
      <c r="BC80" s="101"/>
      <c r="BD80" s="101"/>
      <c r="BE80" s="101"/>
      <c r="BF80" s="101"/>
      <c r="BG80" s="101"/>
      <c r="BH80" s="101"/>
      <c r="BI80" s="101"/>
      <c r="BJ80" s="101"/>
      <c r="BK80" s="101"/>
      <c r="BL80" s="101"/>
      <c r="BM80" s="101"/>
      <c r="BN80" s="101"/>
      <c r="BO80" s="101"/>
      <c r="BP80" s="101"/>
      <c r="BQ80" s="101"/>
      <c r="BR80" s="101"/>
      <c r="BS80" s="101"/>
      <c r="BT80" s="101"/>
      <c r="BU80" s="101"/>
      <c r="BV80" s="101"/>
    </row>
    <row r="81" spans="1:74" ht="27.95" customHeight="1" x14ac:dyDescent="0.3">
      <c r="A81" s="89"/>
      <c r="B81" s="9" t="s">
        <v>17</v>
      </c>
      <c r="C81" s="9" t="s">
        <v>18</v>
      </c>
      <c r="D81" s="9" t="str">
        <f t="shared" si="82"/>
        <v>USD</v>
      </c>
      <c r="E81" s="9" t="s">
        <v>96</v>
      </c>
      <c r="F81" s="96">
        <v>0</v>
      </c>
      <c r="G81" s="96">
        <v>2.8515320943328861</v>
      </c>
      <c r="H81" s="96">
        <v>0</v>
      </c>
      <c r="I81" s="96">
        <v>2.8515320943328861</v>
      </c>
      <c r="J81" s="96">
        <v>0</v>
      </c>
      <c r="K81" s="96">
        <v>2.8515320943328861</v>
      </c>
      <c r="L81" s="96">
        <v>0</v>
      </c>
      <c r="M81" s="96">
        <v>2.8515320943328861</v>
      </c>
      <c r="N81" s="96">
        <v>0</v>
      </c>
      <c r="O81" s="96">
        <v>2.8515320943328861</v>
      </c>
      <c r="P81" s="96">
        <v>0</v>
      </c>
      <c r="Q81" s="96">
        <v>2.8515320943328861</v>
      </c>
      <c r="R81" s="96">
        <v>0</v>
      </c>
      <c r="S81" s="96">
        <v>2.8515320943328861</v>
      </c>
      <c r="T81" s="96">
        <v>0</v>
      </c>
      <c r="U81" s="96">
        <v>2.8515320943328861</v>
      </c>
      <c r="V81" s="101"/>
      <c r="AC81" s="101"/>
      <c r="AD81" s="101"/>
      <c r="AE81" s="101"/>
      <c r="AF81" s="101"/>
      <c r="AG81" s="101"/>
      <c r="AH81" s="101"/>
      <c r="AI81" s="101"/>
      <c r="AJ81" s="101"/>
      <c r="AK81" s="101"/>
      <c r="AL81" s="101"/>
      <c r="AM81" s="101"/>
      <c r="AN81" s="101"/>
      <c r="AO81" s="101"/>
      <c r="AP81" s="101"/>
      <c r="AQ81" s="101"/>
      <c r="AR81" s="101"/>
      <c r="AS81" s="101"/>
      <c r="AT81" s="101"/>
      <c r="AU81" s="101"/>
      <c r="AV81" s="101"/>
      <c r="AW81" s="101"/>
      <c r="AX81" s="101"/>
      <c r="AY81" s="101"/>
      <c r="AZ81" s="101"/>
      <c r="BA81" s="101"/>
      <c r="BB81" s="101"/>
      <c r="BC81" s="101"/>
      <c r="BD81" s="101"/>
      <c r="BE81" s="101"/>
      <c r="BF81" s="101"/>
      <c r="BG81" s="101"/>
      <c r="BH81" s="101"/>
      <c r="BI81" s="101"/>
      <c r="BJ81" s="101"/>
      <c r="BK81" s="101"/>
      <c r="BL81" s="101"/>
      <c r="BM81" s="101"/>
      <c r="BN81" s="101"/>
      <c r="BO81" s="101"/>
      <c r="BP81" s="101"/>
      <c r="BQ81" s="101"/>
      <c r="BR81" s="101"/>
      <c r="BS81" s="101"/>
      <c r="BT81" s="101"/>
      <c r="BU81" s="101"/>
      <c r="BV81" s="101"/>
    </row>
    <row r="82" spans="1:74" ht="27.95" customHeight="1" x14ac:dyDescent="0.3">
      <c r="A82" s="89"/>
      <c r="B82" s="9" t="s">
        <v>19</v>
      </c>
      <c r="C82" s="9" t="s">
        <v>20</v>
      </c>
      <c r="D82" s="9" t="str">
        <f t="shared" si="82"/>
        <v>USD</v>
      </c>
      <c r="E82" s="9" t="s">
        <v>96</v>
      </c>
      <c r="F82" s="96">
        <v>0</v>
      </c>
      <c r="G82" s="96">
        <v>2.8918855299999984</v>
      </c>
      <c r="H82" s="96">
        <v>0</v>
      </c>
      <c r="I82" s="96">
        <v>2.891885519999998</v>
      </c>
      <c r="J82" s="96">
        <v>0</v>
      </c>
      <c r="K82" s="96">
        <v>2.891885519999998</v>
      </c>
      <c r="L82" s="96">
        <v>0</v>
      </c>
      <c r="M82" s="96">
        <v>2.891885519999998</v>
      </c>
      <c r="N82" s="96">
        <v>0</v>
      </c>
      <c r="O82" s="96">
        <v>2.891885519999998</v>
      </c>
      <c r="P82" s="96">
        <v>0</v>
      </c>
      <c r="Q82" s="96">
        <v>2.891885519999998</v>
      </c>
      <c r="R82" s="96">
        <v>0</v>
      </c>
      <c r="S82" s="96">
        <v>2.891885519999998</v>
      </c>
      <c r="T82" s="96">
        <v>0</v>
      </c>
      <c r="U82" s="96">
        <v>2.5303998299999986</v>
      </c>
      <c r="V82" s="101"/>
      <c r="AC82" s="101"/>
      <c r="AD82" s="101"/>
      <c r="AE82" s="101"/>
      <c r="AF82" s="101"/>
      <c r="AG82" s="101"/>
      <c r="AH82" s="101"/>
      <c r="AI82" s="101"/>
      <c r="AJ82" s="101"/>
      <c r="AK82" s="101"/>
      <c r="AL82" s="101"/>
      <c r="AM82" s="101"/>
      <c r="AN82" s="101"/>
      <c r="AO82" s="101"/>
      <c r="AP82" s="101"/>
      <c r="AQ82" s="101"/>
      <c r="AR82" s="101"/>
      <c r="AS82" s="101"/>
      <c r="AT82" s="101"/>
      <c r="AU82" s="101"/>
      <c r="AV82" s="101"/>
      <c r="AW82" s="101"/>
      <c r="AX82" s="101"/>
      <c r="AY82" s="101"/>
      <c r="AZ82" s="101"/>
      <c r="BA82" s="101"/>
      <c r="BB82" s="101"/>
      <c r="BC82" s="101"/>
      <c r="BD82" s="101"/>
      <c r="BE82" s="101"/>
      <c r="BF82" s="101"/>
      <c r="BG82" s="101"/>
      <c r="BH82" s="101"/>
      <c r="BI82" s="101"/>
      <c r="BJ82" s="101"/>
      <c r="BK82" s="101"/>
      <c r="BL82" s="101"/>
      <c r="BM82" s="101"/>
      <c r="BN82" s="101"/>
      <c r="BO82" s="101"/>
      <c r="BP82" s="101"/>
      <c r="BQ82" s="101"/>
      <c r="BR82" s="101"/>
      <c r="BS82" s="101"/>
      <c r="BT82" s="101"/>
      <c r="BU82" s="101"/>
      <c r="BV82" s="101"/>
    </row>
    <row r="83" spans="1:74" ht="27.95" customHeight="1" x14ac:dyDescent="0.3">
      <c r="A83" s="89"/>
      <c r="B83" s="9" t="s">
        <v>133</v>
      </c>
      <c r="C83" s="9" t="s">
        <v>134</v>
      </c>
      <c r="D83" s="9" t="str">
        <f t="shared" si="82"/>
        <v>USD</v>
      </c>
      <c r="E83" s="9" t="s">
        <v>96</v>
      </c>
      <c r="F83" s="96">
        <v>0</v>
      </c>
      <c r="G83" s="96">
        <v>0</v>
      </c>
      <c r="H83" s="96">
        <v>0</v>
      </c>
      <c r="I83" s="96">
        <v>0</v>
      </c>
      <c r="J83" s="96">
        <v>0</v>
      </c>
      <c r="K83" s="96">
        <v>0.72119999999999995</v>
      </c>
      <c r="L83" s="96">
        <v>0</v>
      </c>
      <c r="M83" s="96">
        <v>0.72119999999999995</v>
      </c>
      <c r="N83" s="96">
        <v>0</v>
      </c>
      <c r="O83" s="96">
        <v>0.72119999999999995</v>
      </c>
      <c r="P83" s="96">
        <v>0</v>
      </c>
      <c r="Q83" s="96">
        <v>0.72119999999999995</v>
      </c>
      <c r="R83" s="96">
        <v>0</v>
      </c>
      <c r="S83" s="96">
        <v>0.72119999999999995</v>
      </c>
      <c r="T83" s="96">
        <v>0</v>
      </c>
      <c r="U83" s="96">
        <v>0.72119999999999995</v>
      </c>
      <c r="V83" s="101"/>
      <c r="AC83" s="101"/>
      <c r="AD83" s="101"/>
      <c r="AE83" s="101"/>
      <c r="AF83" s="101"/>
      <c r="AG83" s="101"/>
      <c r="AH83" s="101"/>
      <c r="AI83" s="101"/>
      <c r="AJ83" s="101"/>
      <c r="AK83" s="101"/>
      <c r="AL83" s="101"/>
      <c r="AM83" s="101"/>
      <c r="AN83" s="101"/>
      <c r="AO83" s="101"/>
      <c r="AP83" s="101"/>
      <c r="AQ83" s="101"/>
      <c r="AR83" s="101"/>
      <c r="AS83" s="101"/>
      <c r="AT83" s="101"/>
      <c r="AU83" s="101"/>
      <c r="AV83" s="101"/>
      <c r="AW83" s="101"/>
      <c r="AX83" s="101"/>
      <c r="AY83" s="101"/>
      <c r="AZ83" s="101"/>
      <c r="BA83" s="101"/>
      <c r="BB83" s="101"/>
      <c r="BC83" s="101"/>
      <c r="BD83" s="101"/>
      <c r="BE83" s="101"/>
      <c r="BF83" s="101"/>
      <c r="BG83" s="101"/>
      <c r="BH83" s="101"/>
      <c r="BI83" s="101"/>
      <c r="BJ83" s="101"/>
      <c r="BK83" s="101"/>
      <c r="BL83" s="101"/>
      <c r="BM83" s="101"/>
      <c r="BN83" s="101"/>
      <c r="BO83" s="101"/>
      <c r="BP83" s="101"/>
      <c r="BQ83" s="101"/>
      <c r="BR83" s="101"/>
      <c r="BS83" s="101"/>
      <c r="BT83" s="101"/>
      <c r="BU83" s="101"/>
      <c r="BV83" s="101"/>
    </row>
    <row r="84" spans="1:74" ht="27.95" customHeight="1" x14ac:dyDescent="0.3">
      <c r="A84" s="89"/>
      <c r="B84" s="9" t="s">
        <v>21</v>
      </c>
      <c r="C84" s="9" t="s">
        <v>22</v>
      </c>
      <c r="D84" s="9" t="str">
        <f t="shared" si="82"/>
        <v>USD</v>
      </c>
      <c r="E84" s="9" t="s">
        <v>96</v>
      </c>
      <c r="F84" s="96">
        <v>0</v>
      </c>
      <c r="G84" s="96">
        <v>4.8708098514285698</v>
      </c>
      <c r="H84" s="96">
        <v>0</v>
      </c>
      <c r="I84" s="96">
        <v>4.8708098514285698</v>
      </c>
      <c r="J84" s="96">
        <v>0</v>
      </c>
      <c r="K84" s="96">
        <v>4.8708098514285698</v>
      </c>
      <c r="L84" s="96">
        <v>0</v>
      </c>
      <c r="M84" s="96">
        <v>0</v>
      </c>
      <c r="N84" s="96">
        <v>0</v>
      </c>
      <c r="O84" s="96">
        <v>0</v>
      </c>
      <c r="P84" s="96">
        <v>0</v>
      </c>
      <c r="Q84" s="96">
        <v>0</v>
      </c>
      <c r="R84" s="96">
        <v>0</v>
      </c>
      <c r="S84" s="96">
        <v>0</v>
      </c>
      <c r="T84" s="96">
        <v>0</v>
      </c>
      <c r="U84" s="96">
        <v>0</v>
      </c>
      <c r="V84" s="101"/>
      <c r="AC84" s="101"/>
      <c r="AD84" s="101"/>
      <c r="AE84" s="101"/>
      <c r="AF84" s="101"/>
      <c r="AG84" s="101"/>
      <c r="AH84" s="101"/>
      <c r="AI84" s="101"/>
      <c r="AJ84" s="101"/>
      <c r="AK84" s="101"/>
      <c r="AL84" s="101"/>
      <c r="AM84" s="101"/>
      <c r="AN84" s="101"/>
      <c r="AO84" s="101"/>
      <c r="AP84" s="101"/>
      <c r="AQ84" s="101"/>
      <c r="AR84" s="101"/>
      <c r="AS84" s="101"/>
      <c r="AT84" s="101"/>
      <c r="AU84" s="101"/>
      <c r="AV84" s="101"/>
      <c r="AW84" s="101"/>
      <c r="AX84" s="101"/>
      <c r="AY84" s="101"/>
      <c r="AZ84" s="101"/>
      <c r="BA84" s="101"/>
      <c r="BB84" s="101"/>
      <c r="BC84" s="101"/>
      <c r="BD84" s="101"/>
      <c r="BE84" s="101"/>
      <c r="BF84" s="101"/>
      <c r="BG84" s="101"/>
      <c r="BH84" s="101"/>
      <c r="BI84" s="101"/>
      <c r="BJ84" s="101"/>
      <c r="BK84" s="101"/>
      <c r="BL84" s="101"/>
      <c r="BM84" s="101"/>
      <c r="BN84" s="101"/>
      <c r="BO84" s="101"/>
      <c r="BP84" s="101"/>
      <c r="BQ84" s="101"/>
      <c r="BR84" s="101"/>
      <c r="BS84" s="101"/>
      <c r="BT84" s="101"/>
      <c r="BU84" s="101"/>
      <c r="BV84" s="101"/>
    </row>
    <row r="85" spans="1:74" ht="27.95" customHeight="1" x14ac:dyDescent="0.3">
      <c r="A85" s="89"/>
      <c r="B85" s="9" t="s">
        <v>27</v>
      </c>
      <c r="C85" s="9" t="s">
        <v>28</v>
      </c>
      <c r="D85" s="9" t="str">
        <f t="shared" si="82"/>
        <v>USD</v>
      </c>
      <c r="E85" s="9" t="s">
        <v>96</v>
      </c>
      <c r="F85" s="96">
        <v>0</v>
      </c>
      <c r="G85" s="96">
        <v>0.585558932628229</v>
      </c>
      <c r="H85" s="96">
        <v>0</v>
      </c>
      <c r="I85" s="96">
        <v>0.59696523556932668</v>
      </c>
      <c r="J85" s="96">
        <v>0</v>
      </c>
      <c r="K85" s="96">
        <v>0.59696523556932668</v>
      </c>
      <c r="L85" s="96">
        <v>0</v>
      </c>
      <c r="M85" s="96">
        <v>0.59696523556932668</v>
      </c>
      <c r="N85" s="96">
        <v>0</v>
      </c>
      <c r="O85" s="96">
        <v>0.59696523556932668</v>
      </c>
      <c r="P85" s="96">
        <v>0</v>
      </c>
      <c r="Q85" s="96">
        <v>0.59696523556932668</v>
      </c>
      <c r="R85" s="96">
        <v>0</v>
      </c>
      <c r="S85" s="96">
        <v>0.59696523556932657</v>
      </c>
      <c r="T85" s="96">
        <v>0</v>
      </c>
      <c r="U85" s="96">
        <v>0.57400503420127524</v>
      </c>
      <c r="V85" s="101"/>
      <c r="AC85" s="101"/>
      <c r="AD85" s="101"/>
      <c r="AE85" s="101"/>
      <c r="AF85" s="101"/>
      <c r="AG85" s="101"/>
      <c r="AH85" s="101"/>
      <c r="AI85" s="101"/>
      <c r="AJ85" s="101"/>
      <c r="AK85" s="101"/>
      <c r="AL85" s="101"/>
      <c r="AM85" s="101"/>
      <c r="AN85" s="101"/>
      <c r="AO85" s="101"/>
      <c r="AP85" s="101"/>
      <c r="AQ85" s="101"/>
      <c r="AR85" s="101"/>
      <c r="AS85" s="101"/>
      <c r="AT85" s="101"/>
      <c r="AU85" s="101"/>
      <c r="AV85" s="101"/>
      <c r="AW85" s="101"/>
      <c r="AX85" s="101"/>
      <c r="AY85" s="101"/>
      <c r="AZ85" s="101"/>
      <c r="BA85" s="101"/>
      <c r="BB85" s="101"/>
      <c r="BC85" s="101"/>
      <c r="BD85" s="101"/>
      <c r="BE85" s="101"/>
      <c r="BF85" s="101"/>
      <c r="BG85" s="101"/>
      <c r="BH85" s="101"/>
      <c r="BI85" s="101"/>
      <c r="BJ85" s="101"/>
      <c r="BK85" s="101"/>
      <c r="BL85" s="101"/>
      <c r="BM85" s="101"/>
      <c r="BN85" s="101"/>
      <c r="BO85" s="101"/>
      <c r="BP85" s="101"/>
      <c r="BQ85" s="101"/>
      <c r="BR85" s="101"/>
      <c r="BS85" s="101"/>
      <c r="BT85" s="101"/>
      <c r="BU85" s="101"/>
      <c r="BV85" s="101"/>
    </row>
    <row r="86" spans="1:74" ht="27.95" customHeight="1" x14ac:dyDescent="0.3">
      <c r="A86" s="89"/>
      <c r="B86" s="9" t="s">
        <v>25</v>
      </c>
      <c r="C86" s="9" t="s">
        <v>26</v>
      </c>
      <c r="D86" s="9" t="str">
        <f t="shared" si="82"/>
        <v>USD</v>
      </c>
      <c r="E86" s="9" t="s">
        <v>96</v>
      </c>
      <c r="F86" s="96">
        <v>0</v>
      </c>
      <c r="G86" s="96">
        <v>0.39381706752631546</v>
      </c>
      <c r="H86" s="96">
        <v>0</v>
      </c>
      <c r="I86" s="96">
        <v>0.39381707805263122</v>
      </c>
      <c r="J86" s="96">
        <v>0</v>
      </c>
      <c r="K86" s="96">
        <v>0.39381707805263116</v>
      </c>
      <c r="L86" s="96">
        <v>0</v>
      </c>
      <c r="M86" s="96">
        <v>0.39381707805263116</v>
      </c>
      <c r="N86" s="96">
        <v>0</v>
      </c>
      <c r="O86" s="96">
        <v>0.39381707805263111</v>
      </c>
      <c r="P86" s="96">
        <v>0</v>
      </c>
      <c r="Q86" s="96">
        <v>0.39381707805263111</v>
      </c>
      <c r="R86" s="96">
        <v>0</v>
      </c>
      <c r="S86" s="96">
        <v>0.39381707805263116</v>
      </c>
      <c r="T86" s="96">
        <v>0</v>
      </c>
      <c r="U86" s="96">
        <v>0.39381707805263116</v>
      </c>
      <c r="V86" s="101"/>
      <c r="AC86" s="101"/>
      <c r="AD86" s="101"/>
      <c r="AE86" s="101"/>
      <c r="AF86" s="101"/>
      <c r="AG86" s="101"/>
      <c r="AH86" s="101"/>
      <c r="AI86" s="101"/>
      <c r="AJ86" s="101"/>
      <c r="AK86" s="101"/>
      <c r="AL86" s="101"/>
      <c r="AM86" s="101"/>
      <c r="AN86" s="101"/>
      <c r="AO86" s="101"/>
      <c r="AP86" s="101"/>
      <c r="AQ86" s="101"/>
      <c r="AR86" s="101"/>
      <c r="AS86" s="101"/>
      <c r="AT86" s="101"/>
      <c r="AU86" s="101"/>
      <c r="AV86" s="101"/>
      <c r="AW86" s="101"/>
      <c r="AX86" s="101"/>
      <c r="AY86" s="101"/>
      <c r="AZ86" s="101"/>
      <c r="BA86" s="101"/>
      <c r="BB86" s="101"/>
      <c r="BC86" s="101"/>
      <c r="BD86" s="101"/>
      <c r="BE86" s="101"/>
      <c r="BF86" s="101"/>
      <c r="BG86" s="101"/>
      <c r="BH86" s="101"/>
      <c r="BI86" s="101"/>
      <c r="BJ86" s="101"/>
      <c r="BK86" s="101"/>
      <c r="BL86" s="101"/>
      <c r="BM86" s="101"/>
      <c r="BN86" s="101"/>
      <c r="BO86" s="101"/>
      <c r="BP86" s="101"/>
      <c r="BQ86" s="101"/>
      <c r="BR86" s="101"/>
      <c r="BS86" s="101"/>
      <c r="BT86" s="101"/>
      <c r="BU86" s="101"/>
      <c r="BV86" s="101"/>
    </row>
    <row r="87" spans="1:74" ht="27.95" customHeight="1" x14ac:dyDescent="0.3">
      <c r="A87" s="89"/>
      <c r="B87" s="9" t="s">
        <v>157</v>
      </c>
      <c r="C87" s="9" t="s">
        <v>158</v>
      </c>
      <c r="D87" s="9" t="s">
        <v>103</v>
      </c>
      <c r="E87" s="9" t="s">
        <v>96</v>
      </c>
      <c r="F87" s="96">
        <v>0</v>
      </c>
      <c r="G87" s="96">
        <v>0</v>
      </c>
      <c r="H87" s="96">
        <v>0</v>
      </c>
      <c r="I87" s="96">
        <v>0</v>
      </c>
      <c r="J87" s="96">
        <v>0</v>
      </c>
      <c r="K87" s="96">
        <v>0.15601153166666662</v>
      </c>
      <c r="L87" s="96">
        <v>0</v>
      </c>
      <c r="M87" s="96">
        <v>0.31202306333333324</v>
      </c>
      <c r="N87" s="96">
        <v>0</v>
      </c>
      <c r="O87" s="96">
        <v>0.31202306333333324</v>
      </c>
      <c r="P87" s="96">
        <v>0</v>
      </c>
      <c r="Q87" s="96">
        <v>0.31202306333333324</v>
      </c>
      <c r="R87" s="96">
        <v>0</v>
      </c>
      <c r="S87" s="96">
        <v>0.31202306333333324</v>
      </c>
      <c r="T87" s="96">
        <v>0</v>
      </c>
      <c r="U87" s="96">
        <v>0.29252162187500003</v>
      </c>
      <c r="V87" s="101"/>
      <c r="AC87" s="101"/>
      <c r="AD87" s="101"/>
      <c r="AE87" s="101"/>
      <c r="AF87" s="101"/>
      <c r="AG87" s="101"/>
      <c r="AH87" s="101"/>
      <c r="AI87" s="101"/>
      <c r="AJ87" s="101"/>
      <c r="AK87" s="101"/>
      <c r="AL87" s="101"/>
      <c r="AM87" s="101"/>
      <c r="AN87" s="101"/>
      <c r="AO87" s="101"/>
      <c r="AP87" s="101"/>
      <c r="AQ87" s="101"/>
      <c r="AR87" s="101"/>
      <c r="AS87" s="101"/>
      <c r="AT87" s="101"/>
      <c r="AU87" s="101"/>
      <c r="AV87" s="101"/>
      <c r="AW87" s="101"/>
      <c r="AX87" s="101"/>
      <c r="AY87" s="101"/>
      <c r="AZ87" s="101"/>
      <c r="BA87" s="101"/>
      <c r="BB87" s="101"/>
      <c r="BC87" s="101"/>
      <c r="BD87" s="101"/>
      <c r="BE87" s="101"/>
      <c r="BF87" s="101"/>
      <c r="BG87" s="101"/>
      <c r="BH87" s="101"/>
      <c r="BI87" s="101"/>
      <c r="BJ87" s="101"/>
      <c r="BK87" s="101"/>
      <c r="BL87" s="101"/>
      <c r="BM87" s="101"/>
      <c r="BN87" s="101"/>
      <c r="BO87" s="101"/>
      <c r="BP87" s="101"/>
      <c r="BQ87" s="101"/>
      <c r="BR87" s="101"/>
      <c r="BS87" s="101"/>
      <c r="BT87" s="101"/>
      <c r="BU87" s="101"/>
      <c r="BV87" s="101"/>
    </row>
    <row r="88" spans="1:74" ht="27.95" customHeight="1" x14ac:dyDescent="0.3">
      <c r="A88" s="89"/>
      <c r="B88" s="9" t="s">
        <v>31</v>
      </c>
      <c r="C88" s="9" t="s">
        <v>32</v>
      </c>
      <c r="D88" s="9" t="str">
        <f>+VLOOKUP($C88,$C$10:$D$45,2,FALSE)</f>
        <v>USD</v>
      </c>
      <c r="E88" s="9" t="s">
        <v>96</v>
      </c>
      <c r="F88" s="96">
        <v>0</v>
      </c>
      <c r="G88" s="96">
        <v>4.7566700425531912E-2</v>
      </c>
      <c r="H88" s="96">
        <v>0</v>
      </c>
      <c r="I88" s="96">
        <v>4.7566700425531912E-2</v>
      </c>
      <c r="J88" s="96">
        <v>0</v>
      </c>
      <c r="K88" s="96">
        <v>4.7566700425531912E-2</v>
      </c>
      <c r="L88" s="96">
        <v>0</v>
      </c>
      <c r="M88" s="96">
        <v>4.7566700425531912E-2</v>
      </c>
      <c r="N88" s="96">
        <v>0</v>
      </c>
      <c r="O88" s="96">
        <v>4.7566700425531912E-2</v>
      </c>
      <c r="P88" s="96">
        <v>0</v>
      </c>
      <c r="Q88" s="96">
        <v>4.7566700425531912E-2</v>
      </c>
      <c r="R88" s="96">
        <v>0</v>
      </c>
      <c r="S88" s="96">
        <v>4.7566700425531912E-2</v>
      </c>
      <c r="T88" s="96">
        <v>0</v>
      </c>
      <c r="U88" s="96">
        <v>4.5188365404255318E-2</v>
      </c>
      <c r="V88" s="101"/>
      <c r="AC88" s="101"/>
      <c r="AD88" s="101"/>
      <c r="AE88" s="101"/>
      <c r="AF88" s="101"/>
      <c r="AG88" s="101"/>
      <c r="AH88" s="101"/>
      <c r="AI88" s="101"/>
      <c r="AJ88" s="101"/>
      <c r="AK88" s="101"/>
      <c r="AL88" s="101"/>
      <c r="AM88" s="101"/>
      <c r="AN88" s="101"/>
      <c r="AO88" s="101"/>
      <c r="AP88" s="101"/>
      <c r="AQ88" s="101"/>
      <c r="AR88" s="101"/>
      <c r="AS88" s="101"/>
      <c r="AT88" s="101"/>
      <c r="AU88" s="101"/>
      <c r="AV88" s="101"/>
      <c r="AW88" s="101"/>
      <c r="AX88" s="101"/>
      <c r="AY88" s="101"/>
      <c r="AZ88" s="101"/>
      <c r="BA88" s="101"/>
      <c r="BB88" s="101"/>
      <c r="BC88" s="101"/>
      <c r="BD88" s="101"/>
      <c r="BE88" s="101"/>
      <c r="BF88" s="101"/>
      <c r="BG88" s="101"/>
      <c r="BH88" s="101"/>
      <c r="BI88" s="101"/>
      <c r="BJ88" s="101"/>
      <c r="BK88" s="101"/>
      <c r="BL88" s="101"/>
      <c r="BM88" s="101"/>
      <c r="BN88" s="101"/>
      <c r="BO88" s="101"/>
      <c r="BP88" s="101"/>
      <c r="BQ88" s="101"/>
      <c r="BR88" s="101"/>
      <c r="BS88" s="101"/>
      <c r="BT88" s="101"/>
      <c r="BU88" s="101"/>
      <c r="BV88" s="101"/>
    </row>
    <row r="89" spans="1:74" ht="27.95" customHeight="1" x14ac:dyDescent="0.3">
      <c r="A89" s="89"/>
      <c r="B89" s="9" t="s">
        <v>29</v>
      </c>
      <c r="C89" s="9" t="s">
        <v>30</v>
      </c>
      <c r="D89" s="9" t="str">
        <f>+VLOOKUP($C89,$C$10:$D$45,2,FALSE)</f>
        <v>USD</v>
      </c>
      <c r="E89" s="9" t="s">
        <v>96</v>
      </c>
      <c r="F89" s="96">
        <v>0</v>
      </c>
      <c r="G89" s="96">
        <v>0.24052004000000002</v>
      </c>
      <c r="H89" s="96">
        <v>0</v>
      </c>
      <c r="I89" s="96">
        <v>0.24051971000000044</v>
      </c>
      <c r="J89" s="96">
        <v>0</v>
      </c>
      <c r="K89" s="96">
        <v>0</v>
      </c>
      <c r="L89" s="96">
        <v>0</v>
      </c>
      <c r="M89" s="96">
        <v>0</v>
      </c>
      <c r="N89" s="96">
        <v>0</v>
      </c>
      <c r="O89" s="96">
        <v>0</v>
      </c>
      <c r="P89" s="96">
        <v>0</v>
      </c>
      <c r="Q89" s="96">
        <v>0</v>
      </c>
      <c r="R89" s="96">
        <v>0</v>
      </c>
      <c r="S89" s="96">
        <v>0</v>
      </c>
      <c r="T89" s="96">
        <v>0</v>
      </c>
      <c r="U89" s="96">
        <v>0</v>
      </c>
      <c r="V89" s="101"/>
      <c r="AC89" s="101"/>
      <c r="AD89" s="101"/>
      <c r="AE89" s="101"/>
      <c r="AF89" s="101"/>
      <c r="AG89" s="101"/>
      <c r="AH89" s="101"/>
      <c r="AI89" s="101"/>
      <c r="AJ89" s="101"/>
      <c r="AK89" s="101"/>
      <c r="AL89" s="101"/>
      <c r="AM89" s="101"/>
      <c r="AN89" s="101"/>
      <c r="AO89" s="101"/>
      <c r="AP89" s="101"/>
      <c r="AQ89" s="101"/>
      <c r="AR89" s="101"/>
      <c r="AS89" s="101"/>
      <c r="AT89" s="101"/>
      <c r="AU89" s="101"/>
      <c r="AV89" s="101"/>
      <c r="AW89" s="101"/>
      <c r="AX89" s="101"/>
      <c r="AY89" s="101"/>
      <c r="AZ89" s="101"/>
      <c r="BA89" s="101"/>
      <c r="BB89" s="101"/>
      <c r="BC89" s="101"/>
      <c r="BD89" s="101"/>
      <c r="BE89" s="101"/>
      <c r="BF89" s="101"/>
      <c r="BG89" s="101"/>
      <c r="BH89" s="101"/>
      <c r="BI89" s="101"/>
      <c r="BJ89" s="101"/>
      <c r="BK89" s="101"/>
      <c r="BL89" s="101"/>
      <c r="BM89" s="101"/>
      <c r="BN89" s="101"/>
      <c r="BO89" s="101"/>
      <c r="BP89" s="101"/>
      <c r="BQ89" s="101"/>
      <c r="BR89" s="101"/>
      <c r="BS89" s="101"/>
      <c r="BT89" s="101"/>
      <c r="BU89" s="101"/>
      <c r="BV89" s="101"/>
    </row>
    <row r="90" spans="1:74" ht="27.95" customHeight="1" x14ac:dyDescent="0.3">
      <c r="A90" s="89"/>
      <c r="B90" s="9" t="s">
        <v>33</v>
      </c>
      <c r="C90" s="9" t="s">
        <v>34</v>
      </c>
      <c r="D90" s="9" t="str">
        <f>+VLOOKUP($C90,$C$10:$D$45,2,FALSE)</f>
        <v>USD</v>
      </c>
      <c r="E90" s="9" t="s">
        <v>96</v>
      </c>
      <c r="F90" s="96">
        <v>0</v>
      </c>
      <c r="G90" s="96">
        <v>0.34329209000000005</v>
      </c>
      <c r="H90" s="96">
        <v>0</v>
      </c>
      <c r="I90" s="96">
        <v>0</v>
      </c>
      <c r="J90" s="96">
        <v>0</v>
      </c>
      <c r="K90" s="96">
        <v>0</v>
      </c>
      <c r="L90" s="96">
        <v>0</v>
      </c>
      <c r="M90" s="96">
        <v>0</v>
      </c>
      <c r="N90" s="96">
        <v>0</v>
      </c>
      <c r="O90" s="96">
        <v>0</v>
      </c>
      <c r="P90" s="96">
        <v>0</v>
      </c>
      <c r="Q90" s="96">
        <v>0</v>
      </c>
      <c r="R90" s="96">
        <v>0</v>
      </c>
      <c r="S90" s="96">
        <v>0</v>
      </c>
      <c r="T90" s="96">
        <v>0</v>
      </c>
      <c r="U90" s="96">
        <v>0</v>
      </c>
      <c r="V90" s="101"/>
      <c r="AC90" s="101"/>
      <c r="AD90" s="101"/>
      <c r="AE90" s="101"/>
      <c r="AF90" s="101"/>
      <c r="AG90" s="101"/>
      <c r="AH90" s="101"/>
      <c r="AI90" s="101"/>
      <c r="AJ90" s="101"/>
      <c r="AK90" s="101"/>
      <c r="AL90" s="101"/>
      <c r="AM90" s="101"/>
      <c r="AN90" s="101"/>
      <c r="AO90" s="101"/>
      <c r="AP90" s="101"/>
      <c r="AQ90" s="101"/>
      <c r="AR90" s="101"/>
      <c r="AS90" s="101"/>
      <c r="AT90" s="101"/>
      <c r="AU90" s="101"/>
      <c r="AV90" s="101"/>
      <c r="AW90" s="101"/>
      <c r="AX90" s="101"/>
      <c r="AY90" s="101"/>
      <c r="AZ90" s="101"/>
      <c r="BA90" s="101"/>
      <c r="BB90" s="101"/>
      <c r="BC90" s="101"/>
      <c r="BD90" s="101"/>
      <c r="BE90" s="101"/>
      <c r="BF90" s="101"/>
      <c r="BG90" s="101"/>
      <c r="BH90" s="101"/>
      <c r="BI90" s="101"/>
      <c r="BJ90" s="101"/>
      <c r="BK90" s="101"/>
      <c r="BL90" s="101"/>
      <c r="BM90" s="101"/>
      <c r="BN90" s="101"/>
      <c r="BO90" s="101"/>
      <c r="BP90" s="101"/>
      <c r="BQ90" s="101"/>
      <c r="BR90" s="101"/>
      <c r="BS90" s="101"/>
      <c r="BT90" s="101"/>
      <c r="BU90" s="101"/>
      <c r="BV90" s="101"/>
    </row>
    <row r="91" spans="1:74" ht="27.95" customHeight="1" x14ac:dyDescent="0.3">
      <c r="A91" s="89"/>
      <c r="B91" s="19" t="s">
        <v>35</v>
      </c>
      <c r="C91" s="19"/>
      <c r="D91" s="19"/>
      <c r="E91" s="19"/>
      <c r="F91" s="100">
        <f>+SUM(F92:F94)</f>
        <v>0</v>
      </c>
      <c r="G91" s="100">
        <f t="shared" ref="G91:U91" si="83">+SUM(G92:G94)</f>
        <v>1.7845577028571411</v>
      </c>
      <c r="H91" s="100">
        <f t="shared" si="83"/>
        <v>0</v>
      </c>
      <c r="I91" s="100">
        <f t="shared" si="83"/>
        <v>1.7845577028571411</v>
      </c>
      <c r="J91" s="100">
        <f t="shared" si="83"/>
        <v>0</v>
      </c>
      <c r="K91" s="100">
        <f t="shared" si="83"/>
        <v>2.1417647253571412</v>
      </c>
      <c r="L91" s="100">
        <f t="shared" si="83"/>
        <v>0</v>
      </c>
      <c r="M91" s="100">
        <f t="shared" si="83"/>
        <v>2.1558161902494324</v>
      </c>
      <c r="N91" s="100">
        <f t="shared" si="83"/>
        <v>0</v>
      </c>
      <c r="O91" s="100">
        <f t="shared" si="83"/>
        <v>2.1558161902494324</v>
      </c>
      <c r="P91" s="100">
        <f t="shared" si="83"/>
        <v>0</v>
      </c>
      <c r="Q91" s="100">
        <f t="shared" si="83"/>
        <v>2.1558161902494324</v>
      </c>
      <c r="R91" s="100">
        <f t="shared" si="83"/>
        <v>0</v>
      </c>
      <c r="S91" s="100">
        <f t="shared" si="83"/>
        <v>2.1558161902494324</v>
      </c>
      <c r="T91" s="100">
        <f t="shared" si="83"/>
        <v>0</v>
      </c>
      <c r="U91" s="100">
        <f t="shared" si="83"/>
        <v>2.1554881915357931</v>
      </c>
      <c r="V91" s="141"/>
      <c r="AC91" s="141"/>
      <c r="AD91" s="141"/>
      <c r="AE91" s="141"/>
      <c r="AF91" s="141"/>
      <c r="AG91" s="141"/>
      <c r="AH91" s="141"/>
      <c r="AI91" s="141"/>
      <c r="AJ91" s="141"/>
      <c r="AK91" s="141"/>
      <c r="AL91" s="141"/>
      <c r="AM91" s="141"/>
      <c r="AN91" s="141"/>
      <c r="AO91" s="141"/>
      <c r="AP91" s="141"/>
      <c r="AQ91" s="141"/>
      <c r="AR91" s="141"/>
      <c r="AS91" s="141"/>
      <c r="AT91" s="141"/>
      <c r="AU91" s="141"/>
      <c r="AV91" s="141"/>
      <c r="AW91" s="141"/>
      <c r="AX91" s="141"/>
      <c r="AY91" s="141"/>
      <c r="AZ91" s="141"/>
      <c r="BA91" s="141"/>
      <c r="BB91" s="141"/>
      <c r="BC91" s="141"/>
      <c r="BD91" s="141"/>
      <c r="BE91" s="141"/>
      <c r="BF91" s="141"/>
      <c r="BG91" s="141"/>
      <c r="BH91" s="141"/>
      <c r="BI91" s="141"/>
      <c r="BJ91" s="141"/>
      <c r="BK91" s="141"/>
      <c r="BL91" s="141"/>
      <c r="BM91" s="141"/>
      <c r="BN91" s="141"/>
      <c r="BO91" s="141"/>
      <c r="BP91" s="141"/>
      <c r="BQ91" s="141"/>
      <c r="BR91" s="141"/>
      <c r="BS91" s="141"/>
      <c r="BT91" s="141"/>
      <c r="BU91" s="141"/>
      <c r="BV91" s="141"/>
    </row>
    <row r="92" spans="1:74" ht="27.95" customHeight="1" x14ac:dyDescent="0.3">
      <c r="A92" s="89"/>
      <c r="B92" s="9" t="s">
        <v>36</v>
      </c>
      <c r="C92" s="9" t="s">
        <v>37</v>
      </c>
      <c r="D92" s="9" t="str">
        <f>+VLOOKUP($C92,$C$10:$D$45,2,FALSE)</f>
        <v>USD</v>
      </c>
      <c r="E92" s="9" t="s">
        <v>96</v>
      </c>
      <c r="F92" s="96">
        <v>0</v>
      </c>
      <c r="G92" s="96">
        <v>1.7845577028571411</v>
      </c>
      <c r="H92" s="96">
        <v>0</v>
      </c>
      <c r="I92" s="96">
        <v>1.7845577028571411</v>
      </c>
      <c r="J92" s="96">
        <v>0</v>
      </c>
      <c r="K92" s="96">
        <v>1.7845577028571411</v>
      </c>
      <c r="L92" s="96">
        <v>0</v>
      </c>
      <c r="M92" s="96">
        <v>1.7845577028571411</v>
      </c>
      <c r="N92" s="96">
        <v>0</v>
      </c>
      <c r="O92" s="96">
        <v>1.7845577028571411</v>
      </c>
      <c r="P92" s="96">
        <v>0</v>
      </c>
      <c r="Q92" s="96">
        <v>1.7845577028571411</v>
      </c>
      <c r="R92" s="96">
        <v>0</v>
      </c>
      <c r="S92" s="96">
        <v>1.7845577028571411</v>
      </c>
      <c r="T92" s="96">
        <v>0</v>
      </c>
      <c r="U92" s="96">
        <v>1.7845577028571407</v>
      </c>
      <c r="V92" s="101"/>
      <c r="AC92" s="101"/>
      <c r="AD92" s="101"/>
      <c r="AE92" s="101"/>
      <c r="AF92" s="101"/>
      <c r="AG92" s="101"/>
      <c r="AH92" s="101"/>
      <c r="AI92" s="101"/>
      <c r="AJ92" s="101"/>
      <c r="AK92" s="101"/>
      <c r="AL92" s="101"/>
      <c r="AM92" s="101"/>
      <c r="AN92" s="101"/>
      <c r="AO92" s="101"/>
      <c r="AP92" s="101"/>
      <c r="AQ92" s="101"/>
      <c r="AR92" s="101"/>
      <c r="AS92" s="101"/>
      <c r="AT92" s="101"/>
      <c r="AU92" s="101"/>
      <c r="AV92" s="101"/>
      <c r="AW92" s="101"/>
      <c r="AX92" s="101"/>
      <c r="AY92" s="101"/>
      <c r="AZ92" s="101"/>
      <c r="BA92" s="101"/>
      <c r="BB92" s="101"/>
      <c r="BC92" s="101"/>
      <c r="BD92" s="101"/>
      <c r="BE92" s="101"/>
      <c r="BF92" s="101"/>
      <c r="BG92" s="101"/>
      <c r="BH92" s="101"/>
      <c r="BI92" s="101"/>
      <c r="BJ92" s="101"/>
      <c r="BK92" s="101"/>
      <c r="BL92" s="101"/>
      <c r="BM92" s="101"/>
      <c r="BN92" s="101"/>
      <c r="BO92" s="101"/>
      <c r="BP92" s="101"/>
      <c r="BQ92" s="101"/>
      <c r="BR92" s="101"/>
      <c r="BS92" s="101"/>
      <c r="BT92" s="101"/>
      <c r="BU92" s="101"/>
      <c r="BV92" s="101"/>
    </row>
    <row r="93" spans="1:74" ht="27.95" customHeight="1" x14ac:dyDescent="0.3">
      <c r="A93" s="89"/>
      <c r="B93" s="9" t="s">
        <v>186</v>
      </c>
      <c r="C93" s="9" t="s">
        <v>187</v>
      </c>
      <c r="D93" s="9" t="s">
        <v>103</v>
      </c>
      <c r="E93" s="9" t="s">
        <v>96</v>
      </c>
      <c r="F93" s="96">
        <v>0</v>
      </c>
      <c r="G93" s="96">
        <v>0</v>
      </c>
      <c r="H93" s="96">
        <v>0</v>
      </c>
      <c r="I93" s="96">
        <v>0</v>
      </c>
      <c r="J93" s="96">
        <v>0</v>
      </c>
      <c r="K93" s="96">
        <v>0.35720702250000019</v>
      </c>
      <c r="L93" s="96">
        <v>0</v>
      </c>
      <c r="M93" s="96">
        <v>0.35720702250000019</v>
      </c>
      <c r="N93" s="96">
        <v>0</v>
      </c>
      <c r="O93" s="96">
        <v>0.35720702250000019</v>
      </c>
      <c r="P93" s="96">
        <v>0</v>
      </c>
      <c r="Q93" s="96">
        <v>0.35720702250000019</v>
      </c>
      <c r="R93" s="96">
        <v>0</v>
      </c>
      <c r="S93" s="96">
        <v>0.35720702250000019</v>
      </c>
      <c r="T93" s="96">
        <v>0</v>
      </c>
      <c r="U93" s="96">
        <v>0.35720702250000019</v>
      </c>
      <c r="V93" s="101"/>
      <c r="AC93" s="101"/>
      <c r="AD93" s="101"/>
      <c r="AE93" s="101"/>
      <c r="AF93" s="101"/>
      <c r="AG93" s="101"/>
      <c r="AH93" s="101"/>
      <c r="AI93" s="101"/>
      <c r="AJ93" s="101"/>
      <c r="AK93" s="101"/>
      <c r="AL93" s="101"/>
      <c r="AM93" s="101"/>
      <c r="AN93" s="101"/>
      <c r="AO93" s="101"/>
      <c r="AP93" s="101"/>
      <c r="AQ93" s="101"/>
      <c r="AR93" s="101"/>
      <c r="AS93" s="101"/>
      <c r="AT93" s="101"/>
      <c r="AU93" s="101"/>
      <c r="AV93" s="101"/>
      <c r="AW93" s="101"/>
      <c r="AX93" s="101"/>
      <c r="AY93" s="101"/>
      <c r="AZ93" s="101"/>
      <c r="BA93" s="101"/>
      <c r="BB93" s="101"/>
      <c r="BC93" s="101"/>
      <c r="BD93" s="101"/>
      <c r="BE93" s="101"/>
      <c r="BF93" s="101"/>
      <c r="BG93" s="101"/>
      <c r="BH93" s="101"/>
      <c r="BI93" s="101"/>
      <c r="BJ93" s="101"/>
      <c r="BK93" s="101"/>
      <c r="BL93" s="101"/>
      <c r="BM93" s="101"/>
      <c r="BN93" s="101"/>
      <c r="BO93" s="101"/>
      <c r="BP93" s="101"/>
      <c r="BQ93" s="101"/>
      <c r="BR93" s="101"/>
      <c r="BS93" s="101"/>
      <c r="BT93" s="101"/>
      <c r="BU93" s="101"/>
      <c r="BV93" s="101"/>
    </row>
    <row r="94" spans="1:74" ht="27.95" customHeight="1" x14ac:dyDescent="0.3">
      <c r="A94" s="89"/>
      <c r="B94" s="9" t="s">
        <v>159</v>
      </c>
      <c r="C94" s="9" t="s">
        <v>160</v>
      </c>
      <c r="D94" s="9" t="s">
        <v>103</v>
      </c>
      <c r="E94" s="9" t="s">
        <v>96</v>
      </c>
      <c r="F94" s="96">
        <v>0</v>
      </c>
      <c r="G94" s="96">
        <v>0</v>
      </c>
      <c r="H94" s="96">
        <v>0</v>
      </c>
      <c r="I94" s="96">
        <v>0</v>
      </c>
      <c r="J94" s="96">
        <v>0</v>
      </c>
      <c r="K94" s="96">
        <v>0</v>
      </c>
      <c r="L94" s="96">
        <v>0</v>
      </c>
      <c r="M94" s="96">
        <v>1.4051464892291069E-2</v>
      </c>
      <c r="N94" s="96">
        <v>0</v>
      </c>
      <c r="O94" s="96">
        <v>1.4051464892291069E-2</v>
      </c>
      <c r="P94" s="96">
        <v>0</v>
      </c>
      <c r="Q94" s="96">
        <v>1.4051464892291069E-2</v>
      </c>
      <c r="R94" s="96">
        <v>0</v>
      </c>
      <c r="S94" s="96">
        <v>1.4051464892291069E-2</v>
      </c>
      <c r="T94" s="96">
        <v>0</v>
      </c>
      <c r="U94" s="96">
        <v>1.3723466178652147E-2</v>
      </c>
      <c r="V94" s="101"/>
      <c r="AC94" s="101"/>
      <c r="AD94" s="101"/>
      <c r="AE94" s="101"/>
      <c r="AF94" s="101"/>
      <c r="AG94" s="101"/>
      <c r="AH94" s="101"/>
      <c r="AI94" s="101"/>
      <c r="AJ94" s="101"/>
      <c r="AK94" s="101"/>
      <c r="AL94" s="101"/>
      <c r="AM94" s="101"/>
      <c r="AN94" s="101"/>
      <c r="AO94" s="101"/>
      <c r="AP94" s="101"/>
      <c r="AQ94" s="101"/>
      <c r="AR94" s="101"/>
      <c r="AS94" s="101"/>
      <c r="AT94" s="101"/>
      <c r="AU94" s="101"/>
      <c r="AV94" s="101"/>
      <c r="AW94" s="101"/>
      <c r="AX94" s="101"/>
      <c r="AY94" s="101"/>
      <c r="AZ94" s="101"/>
      <c r="BA94" s="101"/>
      <c r="BB94" s="101"/>
      <c r="BC94" s="101"/>
      <c r="BD94" s="101"/>
      <c r="BE94" s="101"/>
      <c r="BF94" s="101"/>
      <c r="BG94" s="101"/>
      <c r="BH94" s="101"/>
      <c r="BI94" s="101"/>
      <c r="BJ94" s="101"/>
      <c r="BK94" s="101"/>
      <c r="BL94" s="101"/>
      <c r="BM94" s="101"/>
      <c r="BN94" s="101"/>
      <c r="BO94" s="101"/>
      <c r="BP94" s="101"/>
      <c r="BQ94" s="101"/>
      <c r="BR94" s="101"/>
      <c r="BS94" s="101"/>
      <c r="BT94" s="101"/>
      <c r="BU94" s="101"/>
      <c r="BV94" s="101"/>
    </row>
    <row r="95" spans="1:74" ht="27.95" customHeight="1" x14ac:dyDescent="0.3">
      <c r="A95" s="89"/>
      <c r="B95" s="18" t="s">
        <v>97</v>
      </c>
      <c r="C95" s="18"/>
      <c r="D95" s="18"/>
      <c r="E95" s="18"/>
      <c r="F95" s="94">
        <f>+SUM(F96:F103)</f>
        <v>8228.6549427362861</v>
      </c>
      <c r="G95" s="94">
        <f t="shared" ref="G95:U95" si="84">+SUM(G96:G103)</f>
        <v>79.756692307692319</v>
      </c>
      <c r="H95" s="94">
        <f t="shared" si="84"/>
        <v>10472.130079753526</v>
      </c>
      <c r="I95" s="94">
        <f t="shared" si="84"/>
        <v>79.695538461538462</v>
      </c>
      <c r="J95" s="94">
        <f t="shared" si="84"/>
        <v>2036.6287105508204</v>
      </c>
      <c r="K95" s="94">
        <f t="shared" si="84"/>
        <v>79.695538461538462</v>
      </c>
      <c r="L95" s="94">
        <f t="shared" si="84"/>
        <v>813.10897683333326</v>
      </c>
      <c r="M95" s="94">
        <f t="shared" si="84"/>
        <v>79.695538461538462</v>
      </c>
      <c r="N95" s="94">
        <f t="shared" si="84"/>
        <v>813.10897683333326</v>
      </c>
      <c r="O95" s="94">
        <f t="shared" si="84"/>
        <v>79.695538461538462</v>
      </c>
      <c r="P95" s="94">
        <f t="shared" si="84"/>
        <v>813.10897683333326</v>
      </c>
      <c r="Q95" s="94">
        <f t="shared" si="84"/>
        <v>79.695538461538462</v>
      </c>
      <c r="R95" s="94">
        <f t="shared" si="84"/>
        <v>813.10897683333326</v>
      </c>
      <c r="S95" s="94">
        <f t="shared" si="84"/>
        <v>39.847769230769231</v>
      </c>
      <c r="T95" s="94">
        <f t="shared" si="84"/>
        <v>609.83173262499997</v>
      </c>
      <c r="U95" s="94">
        <f t="shared" si="84"/>
        <v>0</v>
      </c>
      <c r="V95" s="138"/>
      <c r="AC95" s="138"/>
      <c r="AD95" s="138"/>
      <c r="AE95" s="138"/>
      <c r="AF95" s="138"/>
      <c r="AG95" s="138"/>
      <c r="AH95" s="138"/>
      <c r="AI95" s="138"/>
      <c r="AJ95" s="138"/>
      <c r="AK95" s="138"/>
      <c r="AL95" s="138"/>
      <c r="AM95" s="138"/>
      <c r="AN95" s="138"/>
      <c r="AO95" s="138"/>
      <c r="AP95" s="138"/>
      <c r="AQ95" s="138"/>
      <c r="AR95" s="138"/>
      <c r="AS95" s="138"/>
      <c r="AT95" s="138"/>
      <c r="AU95" s="138"/>
      <c r="AV95" s="138"/>
      <c r="AW95" s="138"/>
      <c r="AX95" s="138"/>
      <c r="AY95" s="138"/>
      <c r="AZ95" s="138"/>
      <c r="BA95" s="138"/>
      <c r="BB95" s="138"/>
      <c r="BC95" s="138"/>
      <c r="BD95" s="138"/>
      <c r="BE95" s="138"/>
      <c r="BF95" s="138"/>
      <c r="BG95" s="138"/>
      <c r="BH95" s="138"/>
      <c r="BI95" s="138"/>
      <c r="BJ95" s="138"/>
      <c r="BK95" s="138"/>
      <c r="BL95" s="138"/>
      <c r="BM95" s="138"/>
      <c r="BN95" s="138"/>
      <c r="BO95" s="138"/>
      <c r="BP95" s="138"/>
      <c r="BQ95" s="138"/>
      <c r="BR95" s="138"/>
      <c r="BS95" s="138"/>
      <c r="BT95" s="138"/>
      <c r="BU95" s="138"/>
      <c r="BV95" s="138"/>
    </row>
    <row r="96" spans="1:74" ht="27.95" customHeight="1" x14ac:dyDescent="0.3">
      <c r="A96" s="89"/>
      <c r="B96" s="9" t="s">
        <v>132</v>
      </c>
      <c r="C96" s="9" t="s">
        <v>131</v>
      </c>
      <c r="D96" s="9" t="str">
        <f>+VLOOKUP($C96,$C$10:$D$45,2,FALSE)</f>
        <v>USD</v>
      </c>
      <c r="E96" s="9" t="s">
        <v>97</v>
      </c>
      <c r="F96" s="96">
        <v>0</v>
      </c>
      <c r="G96" s="96">
        <v>79.756692307692319</v>
      </c>
      <c r="H96" s="96">
        <v>0</v>
      </c>
      <c r="I96" s="96">
        <v>79.695538461538462</v>
      </c>
      <c r="J96" s="96">
        <v>0</v>
      </c>
      <c r="K96" s="96">
        <v>79.695538461538462</v>
      </c>
      <c r="L96" s="96">
        <v>0</v>
      </c>
      <c r="M96" s="96">
        <v>79.695538461538462</v>
      </c>
      <c r="N96" s="96">
        <v>0</v>
      </c>
      <c r="O96" s="96">
        <v>79.695538461538462</v>
      </c>
      <c r="P96" s="96">
        <v>0</v>
      </c>
      <c r="Q96" s="96">
        <v>79.695538461538462</v>
      </c>
      <c r="R96" s="96">
        <v>0</v>
      </c>
      <c r="S96" s="96">
        <v>39.847769230769231</v>
      </c>
      <c r="T96" s="96">
        <v>0</v>
      </c>
      <c r="U96" s="96">
        <v>0</v>
      </c>
      <c r="V96" s="101"/>
      <c r="AC96" s="101"/>
      <c r="AD96" s="101"/>
      <c r="AE96" s="101"/>
      <c r="AF96" s="101"/>
      <c r="AG96" s="101"/>
      <c r="AH96" s="101"/>
      <c r="AI96" s="101"/>
      <c r="AJ96" s="101"/>
      <c r="AK96" s="101"/>
      <c r="AL96" s="101"/>
      <c r="AM96" s="101"/>
      <c r="AN96" s="101"/>
      <c r="AO96" s="101"/>
      <c r="AP96" s="101"/>
      <c r="AQ96" s="101"/>
      <c r="AR96" s="101"/>
      <c r="AS96" s="101"/>
      <c r="AT96" s="101"/>
      <c r="AU96" s="101"/>
      <c r="AV96" s="101"/>
      <c r="AW96" s="101"/>
      <c r="AX96" s="101"/>
      <c r="AY96" s="101"/>
      <c r="AZ96" s="101"/>
      <c r="BA96" s="101"/>
      <c r="BB96" s="101"/>
      <c r="BC96" s="101"/>
      <c r="BD96" s="101"/>
      <c r="BE96" s="101"/>
      <c r="BF96" s="101"/>
      <c r="BG96" s="101"/>
      <c r="BH96" s="101"/>
      <c r="BI96" s="101"/>
      <c r="BJ96" s="101"/>
      <c r="BK96" s="101"/>
      <c r="BL96" s="101"/>
      <c r="BM96" s="101"/>
      <c r="BN96" s="101"/>
      <c r="BO96" s="101"/>
      <c r="BP96" s="101"/>
      <c r="BQ96" s="101"/>
      <c r="BR96" s="101"/>
      <c r="BS96" s="101"/>
      <c r="BT96" s="101"/>
      <c r="BU96" s="101"/>
      <c r="BV96" s="101"/>
    </row>
    <row r="97" spans="1:86" ht="27.95" customHeight="1" x14ac:dyDescent="0.3">
      <c r="A97" s="89"/>
      <c r="B97" s="9" t="s">
        <v>143</v>
      </c>
      <c r="C97" s="9" t="s">
        <v>144</v>
      </c>
      <c r="D97" s="9" t="str">
        <f>+VLOOKUP($C97,$C$10:$D$45,2,FALSE)</f>
        <v>Pesos</v>
      </c>
      <c r="E97" s="9" t="s">
        <v>97</v>
      </c>
      <c r="F97" s="96">
        <v>2731.412550301578</v>
      </c>
      <c r="G97" s="96">
        <v>0</v>
      </c>
      <c r="H97" s="96">
        <v>5463.6446063188178</v>
      </c>
      <c r="I97" s="96">
        <v>0</v>
      </c>
      <c r="J97" s="96">
        <v>0</v>
      </c>
      <c r="K97" s="96">
        <v>0</v>
      </c>
      <c r="L97" s="96">
        <v>0</v>
      </c>
      <c r="M97" s="96">
        <v>0</v>
      </c>
      <c r="N97" s="96">
        <v>0</v>
      </c>
      <c r="O97" s="96">
        <v>0</v>
      </c>
      <c r="P97" s="96">
        <v>0</v>
      </c>
      <c r="Q97" s="96">
        <v>0</v>
      </c>
      <c r="R97" s="96">
        <v>0</v>
      </c>
      <c r="S97" s="96">
        <v>0</v>
      </c>
      <c r="T97" s="96">
        <v>0</v>
      </c>
      <c r="U97" s="96">
        <v>0</v>
      </c>
      <c r="V97" s="101"/>
      <c r="AC97" s="101"/>
      <c r="AD97" s="101"/>
      <c r="AE97" s="101"/>
      <c r="AF97" s="101"/>
      <c r="AG97" s="101"/>
      <c r="AH97" s="101"/>
      <c r="AI97" s="101"/>
      <c r="AJ97" s="101"/>
      <c r="AK97" s="101"/>
      <c r="AL97" s="101"/>
      <c r="AM97" s="101"/>
      <c r="AN97" s="101"/>
      <c r="AO97" s="101"/>
      <c r="AP97" s="101"/>
      <c r="AQ97" s="101"/>
      <c r="AR97" s="101"/>
      <c r="AS97" s="101"/>
      <c r="AT97" s="101"/>
      <c r="AU97" s="101"/>
      <c r="AV97" s="101"/>
      <c r="AW97" s="101"/>
      <c r="AX97" s="101"/>
      <c r="AY97" s="101"/>
      <c r="AZ97" s="101"/>
      <c r="BA97" s="101"/>
      <c r="BB97" s="101"/>
      <c r="BC97" s="101"/>
      <c r="BD97" s="101"/>
      <c r="BE97" s="101"/>
      <c r="BF97" s="101"/>
      <c r="BG97" s="101"/>
      <c r="BH97" s="101"/>
      <c r="BI97" s="101"/>
      <c r="BJ97" s="101"/>
      <c r="BK97" s="101"/>
      <c r="BL97" s="101"/>
      <c r="BM97" s="101"/>
      <c r="BN97" s="101"/>
      <c r="BO97" s="101"/>
      <c r="BP97" s="101"/>
      <c r="BQ97" s="101"/>
      <c r="BR97" s="101"/>
      <c r="BS97" s="101"/>
      <c r="BT97" s="101"/>
      <c r="BU97" s="101"/>
      <c r="BV97" s="101"/>
    </row>
    <row r="98" spans="1:86" ht="27.95" customHeight="1" x14ac:dyDescent="0.3">
      <c r="A98" s="89"/>
      <c r="B98" s="9" t="s">
        <v>147</v>
      </c>
      <c r="C98" s="9" t="s">
        <v>148</v>
      </c>
      <c r="D98" s="9" t="s">
        <v>2</v>
      </c>
      <c r="E98" s="9" t="s">
        <v>97</v>
      </c>
      <c r="F98" s="96">
        <v>0</v>
      </c>
      <c r="G98" s="96">
        <v>0</v>
      </c>
      <c r="H98" s="96">
        <v>0</v>
      </c>
      <c r="I98" s="96">
        <v>0</v>
      </c>
      <c r="J98" s="96">
        <v>406.55448841666663</v>
      </c>
      <c r="K98" s="96">
        <v>0</v>
      </c>
      <c r="L98" s="96">
        <v>813.10897683333326</v>
      </c>
      <c r="M98" s="96">
        <v>0</v>
      </c>
      <c r="N98" s="96">
        <v>813.10897683333326</v>
      </c>
      <c r="O98" s="96">
        <v>0</v>
      </c>
      <c r="P98" s="96">
        <v>813.10897683333326</v>
      </c>
      <c r="Q98" s="96">
        <v>0</v>
      </c>
      <c r="R98" s="96">
        <v>813.10897683333326</v>
      </c>
      <c r="S98" s="96">
        <v>0</v>
      </c>
      <c r="T98" s="96">
        <v>609.83173262499997</v>
      </c>
      <c r="U98" s="96">
        <v>0</v>
      </c>
      <c r="V98" s="101"/>
      <c r="AC98" s="101"/>
      <c r="AD98" s="101"/>
      <c r="AE98" s="101"/>
      <c r="AF98" s="101"/>
      <c r="AG98" s="101"/>
      <c r="AH98" s="101"/>
      <c r="AI98" s="101"/>
      <c r="AJ98" s="101"/>
      <c r="AK98" s="101"/>
      <c r="AL98" s="101"/>
      <c r="AM98" s="101"/>
      <c r="AN98" s="101"/>
      <c r="AO98" s="101"/>
      <c r="AP98" s="101"/>
      <c r="AQ98" s="101"/>
      <c r="AR98" s="101"/>
      <c r="AS98" s="101"/>
      <c r="AT98" s="101"/>
      <c r="AU98" s="101"/>
      <c r="AV98" s="101"/>
      <c r="AW98" s="101"/>
      <c r="AX98" s="101"/>
      <c r="AY98" s="101"/>
      <c r="AZ98" s="101"/>
      <c r="BA98" s="101"/>
      <c r="BB98" s="101"/>
      <c r="BC98" s="101"/>
      <c r="BD98" s="101"/>
      <c r="BE98" s="101"/>
      <c r="BF98" s="101"/>
      <c r="BG98" s="101"/>
      <c r="BH98" s="101"/>
      <c r="BI98" s="101"/>
      <c r="BJ98" s="101"/>
      <c r="BK98" s="101"/>
      <c r="BL98" s="101"/>
      <c r="BM98" s="101"/>
      <c r="BN98" s="101"/>
      <c r="BO98" s="101"/>
      <c r="BP98" s="101"/>
      <c r="BQ98" s="101"/>
      <c r="BR98" s="101"/>
      <c r="BS98" s="101"/>
      <c r="BT98" s="101"/>
      <c r="BU98" s="101"/>
      <c r="BV98" s="101"/>
    </row>
    <row r="99" spans="1:86" ht="27.95" customHeight="1" x14ac:dyDescent="0.3">
      <c r="A99" s="89"/>
      <c r="B99" s="9" t="s">
        <v>180</v>
      </c>
      <c r="C99" s="9" t="s">
        <v>182</v>
      </c>
      <c r="D99" s="9" t="s">
        <v>2</v>
      </c>
      <c r="E99" s="9" t="s">
        <v>97</v>
      </c>
      <c r="F99" s="96">
        <v>1219.1683330000001</v>
      </c>
      <c r="G99" s="96">
        <v>0</v>
      </c>
      <c r="H99" s="96">
        <v>2438.3366660000002</v>
      </c>
      <c r="I99" s="96">
        <v>0</v>
      </c>
      <c r="J99" s="96">
        <v>1219.1683330000001</v>
      </c>
      <c r="K99" s="96">
        <v>0</v>
      </c>
      <c r="L99" s="96">
        <v>0</v>
      </c>
      <c r="M99" s="96">
        <v>0</v>
      </c>
      <c r="N99" s="96">
        <v>0</v>
      </c>
      <c r="O99" s="96">
        <v>0</v>
      </c>
      <c r="P99" s="96">
        <v>0</v>
      </c>
      <c r="Q99" s="96">
        <v>0</v>
      </c>
      <c r="R99" s="96">
        <v>0</v>
      </c>
      <c r="S99" s="96">
        <v>0</v>
      </c>
      <c r="T99" s="96">
        <v>0</v>
      </c>
      <c r="U99" s="96">
        <v>0</v>
      </c>
      <c r="V99" s="101"/>
      <c r="AC99" s="101"/>
      <c r="AD99" s="101"/>
      <c r="AE99" s="101"/>
      <c r="AF99" s="101"/>
      <c r="AG99" s="101"/>
      <c r="AH99" s="101"/>
      <c r="AI99" s="101"/>
      <c r="AJ99" s="101"/>
      <c r="AK99" s="101"/>
      <c r="AL99" s="101"/>
      <c r="AM99" s="101"/>
      <c r="AN99" s="101"/>
      <c r="AO99" s="101"/>
      <c r="AP99" s="101"/>
      <c r="AQ99" s="101"/>
      <c r="AR99" s="101"/>
      <c r="AS99" s="101"/>
      <c r="AT99" s="101"/>
      <c r="AU99" s="101"/>
      <c r="AV99" s="101"/>
      <c r="AW99" s="101"/>
      <c r="AX99" s="101"/>
      <c r="AY99" s="101"/>
      <c r="AZ99" s="101"/>
      <c r="BA99" s="101"/>
      <c r="BB99" s="101"/>
      <c r="BC99" s="101"/>
      <c r="BD99" s="101"/>
      <c r="BE99" s="101"/>
      <c r="BF99" s="101"/>
      <c r="BG99" s="101"/>
      <c r="BH99" s="101"/>
      <c r="BI99" s="101"/>
      <c r="BJ99" s="101"/>
      <c r="BK99" s="101"/>
      <c r="BL99" s="101"/>
      <c r="BM99" s="101"/>
      <c r="BN99" s="101"/>
      <c r="BO99" s="101"/>
      <c r="BP99" s="101"/>
      <c r="BQ99" s="101"/>
      <c r="BR99" s="101"/>
      <c r="BS99" s="101"/>
      <c r="BT99" s="101"/>
      <c r="BU99" s="101"/>
      <c r="BV99" s="101"/>
    </row>
    <row r="100" spans="1:86" ht="27.95" customHeight="1" x14ac:dyDescent="0.3">
      <c r="A100" s="89"/>
      <c r="B100" s="9" t="s">
        <v>181</v>
      </c>
      <c r="C100" s="9" t="s">
        <v>183</v>
      </c>
      <c r="D100" s="9" t="s">
        <v>2</v>
      </c>
      <c r="E100" s="9" t="s">
        <v>97</v>
      </c>
      <c r="F100" s="96">
        <v>877.70683699999995</v>
      </c>
      <c r="G100" s="96">
        <v>0</v>
      </c>
      <c r="H100" s="96">
        <v>1755.4136739999999</v>
      </c>
      <c r="I100" s="96">
        <v>0</v>
      </c>
      <c r="J100" s="96">
        <v>0</v>
      </c>
      <c r="K100" s="96">
        <v>0</v>
      </c>
      <c r="L100" s="96">
        <v>0</v>
      </c>
      <c r="M100" s="96">
        <v>0</v>
      </c>
      <c r="N100" s="96">
        <v>0</v>
      </c>
      <c r="O100" s="96">
        <v>0</v>
      </c>
      <c r="P100" s="96">
        <v>0</v>
      </c>
      <c r="Q100" s="96">
        <v>0</v>
      </c>
      <c r="R100" s="96">
        <v>0</v>
      </c>
      <c r="S100" s="96">
        <v>0</v>
      </c>
      <c r="T100" s="96">
        <v>0</v>
      </c>
      <c r="U100" s="96">
        <v>0</v>
      </c>
      <c r="V100" s="101"/>
      <c r="AC100" s="101"/>
      <c r="AD100" s="101"/>
      <c r="AE100" s="101"/>
      <c r="AF100" s="101"/>
      <c r="AG100" s="101"/>
      <c r="AH100" s="101"/>
      <c r="AI100" s="101"/>
      <c r="AJ100" s="101"/>
      <c r="AK100" s="101"/>
      <c r="AL100" s="101"/>
      <c r="AM100" s="101"/>
      <c r="AN100" s="101"/>
      <c r="AO100" s="101"/>
      <c r="AP100" s="101"/>
      <c r="AQ100" s="101"/>
      <c r="AR100" s="101"/>
      <c r="AS100" s="101"/>
      <c r="AT100" s="101"/>
      <c r="AU100" s="101"/>
      <c r="AV100" s="101"/>
      <c r="AW100" s="101"/>
      <c r="AX100" s="101"/>
      <c r="AY100" s="101"/>
      <c r="AZ100" s="101"/>
      <c r="BA100" s="101"/>
      <c r="BB100" s="101"/>
      <c r="BC100" s="101"/>
      <c r="BD100" s="101"/>
      <c r="BE100" s="101"/>
      <c r="BF100" s="101"/>
      <c r="BG100" s="101"/>
      <c r="BH100" s="101"/>
      <c r="BI100" s="101"/>
      <c r="BJ100" s="101"/>
      <c r="BK100" s="101"/>
      <c r="BL100" s="101"/>
      <c r="BM100" s="101"/>
      <c r="BN100" s="101"/>
      <c r="BO100" s="101"/>
      <c r="BP100" s="101"/>
      <c r="BQ100" s="101"/>
      <c r="BR100" s="101"/>
      <c r="BS100" s="101"/>
      <c r="BT100" s="101"/>
      <c r="BU100" s="101"/>
      <c r="BV100" s="101"/>
    </row>
    <row r="101" spans="1:86" ht="27.95" customHeight="1" x14ac:dyDescent="0.3">
      <c r="A101" s="89"/>
      <c r="B101" s="9" t="s">
        <v>136</v>
      </c>
      <c r="C101" s="9" t="s">
        <v>137</v>
      </c>
      <c r="D101" s="9" t="s">
        <v>2</v>
      </c>
      <c r="E101" s="9" t="s">
        <v>97</v>
      </c>
      <c r="F101" s="96">
        <v>807.69230769230774</v>
      </c>
      <c r="G101" s="96">
        <v>0</v>
      </c>
      <c r="H101" s="96">
        <v>807.69230769230774</v>
      </c>
      <c r="I101" s="96">
        <v>0</v>
      </c>
      <c r="J101" s="96">
        <v>403.84615384615387</v>
      </c>
      <c r="K101" s="96">
        <v>0</v>
      </c>
      <c r="L101" s="96">
        <v>0</v>
      </c>
      <c r="M101" s="96">
        <v>0</v>
      </c>
      <c r="N101" s="96">
        <v>0</v>
      </c>
      <c r="O101" s="96">
        <v>0</v>
      </c>
      <c r="P101" s="96">
        <v>0</v>
      </c>
      <c r="Q101" s="96">
        <v>0</v>
      </c>
      <c r="R101" s="96">
        <v>0</v>
      </c>
      <c r="S101" s="96">
        <v>0</v>
      </c>
      <c r="T101" s="96">
        <v>0</v>
      </c>
      <c r="U101" s="96">
        <v>0</v>
      </c>
      <c r="V101" s="101"/>
      <c r="AC101" s="101"/>
      <c r="AD101" s="101"/>
      <c r="AE101" s="101"/>
      <c r="AF101" s="101"/>
      <c r="AG101" s="101"/>
      <c r="AH101" s="101"/>
      <c r="AI101" s="101"/>
      <c r="AJ101" s="101"/>
      <c r="AK101" s="101"/>
      <c r="AL101" s="101"/>
      <c r="AM101" s="101"/>
      <c r="AN101" s="101"/>
      <c r="AO101" s="101"/>
      <c r="AP101" s="101"/>
      <c r="AQ101" s="101"/>
      <c r="AR101" s="101"/>
      <c r="AS101" s="101"/>
      <c r="AT101" s="101"/>
      <c r="AU101" s="101"/>
      <c r="AV101" s="101"/>
      <c r="AW101" s="101"/>
      <c r="AX101" s="101"/>
      <c r="AY101" s="101"/>
      <c r="AZ101" s="101"/>
      <c r="BA101" s="101"/>
      <c r="BB101" s="101"/>
      <c r="BC101" s="101"/>
      <c r="BD101" s="101"/>
      <c r="BE101" s="101"/>
      <c r="BF101" s="101"/>
      <c r="BG101" s="101"/>
      <c r="BH101" s="101"/>
      <c r="BI101" s="101"/>
      <c r="BJ101" s="101"/>
      <c r="BK101" s="101"/>
      <c r="BL101" s="101"/>
      <c r="BM101" s="101"/>
      <c r="BN101" s="101"/>
      <c r="BO101" s="101"/>
      <c r="BP101" s="101"/>
      <c r="BQ101" s="101"/>
      <c r="BR101" s="101"/>
      <c r="BS101" s="101"/>
      <c r="BT101" s="101"/>
      <c r="BU101" s="101"/>
      <c r="BV101" s="101"/>
    </row>
    <row r="102" spans="1:86" ht="27.95" customHeight="1" x14ac:dyDescent="0.3">
      <c r="A102" s="89"/>
      <c r="B102" s="9" t="s">
        <v>38</v>
      </c>
      <c r="C102" s="9" t="s">
        <v>39</v>
      </c>
      <c r="D102" s="9" t="s">
        <v>2</v>
      </c>
      <c r="E102" s="9" t="s">
        <v>97</v>
      </c>
      <c r="F102" s="96">
        <v>7.0428257423999998</v>
      </c>
      <c r="G102" s="96">
        <v>0</v>
      </c>
      <c r="H102" s="96">
        <v>7.0428257423999998</v>
      </c>
      <c r="I102" s="96">
        <v>0</v>
      </c>
      <c r="J102" s="96">
        <v>7.0597352879999997</v>
      </c>
      <c r="K102" s="96">
        <v>0</v>
      </c>
      <c r="L102" s="96">
        <v>0</v>
      </c>
      <c r="M102" s="96">
        <v>0</v>
      </c>
      <c r="N102" s="96">
        <v>0</v>
      </c>
      <c r="O102" s="96">
        <v>0</v>
      </c>
      <c r="P102" s="96">
        <v>0</v>
      </c>
      <c r="Q102" s="96">
        <v>0</v>
      </c>
      <c r="R102" s="96">
        <v>0</v>
      </c>
      <c r="S102" s="96">
        <v>0</v>
      </c>
      <c r="T102" s="96">
        <v>0</v>
      </c>
      <c r="U102" s="96">
        <v>0</v>
      </c>
      <c r="V102" s="101"/>
      <c r="AC102" s="101"/>
      <c r="AD102" s="101"/>
      <c r="AE102" s="101"/>
      <c r="AF102" s="101"/>
      <c r="AG102" s="101"/>
      <c r="AH102" s="101"/>
      <c r="AI102" s="101"/>
      <c r="AJ102" s="101"/>
      <c r="AK102" s="101"/>
      <c r="AL102" s="101"/>
      <c r="AM102" s="101"/>
      <c r="AN102" s="101"/>
      <c r="AO102" s="101"/>
      <c r="AP102" s="101"/>
      <c r="AQ102" s="101"/>
      <c r="AR102" s="101"/>
      <c r="AS102" s="101"/>
      <c r="AT102" s="101"/>
      <c r="AU102" s="101"/>
      <c r="AV102" s="101"/>
      <c r="AW102" s="101"/>
      <c r="AX102" s="101"/>
      <c r="AY102" s="101"/>
      <c r="AZ102" s="101"/>
      <c r="BA102" s="101"/>
      <c r="BB102" s="101"/>
      <c r="BC102" s="101"/>
      <c r="BD102" s="101"/>
      <c r="BE102" s="101"/>
      <c r="BF102" s="101"/>
      <c r="BG102" s="101"/>
      <c r="BH102" s="101"/>
      <c r="BI102" s="101"/>
      <c r="BJ102" s="101"/>
      <c r="BK102" s="101"/>
      <c r="BL102" s="101"/>
      <c r="BM102" s="101"/>
      <c r="BN102" s="101"/>
      <c r="BO102" s="101"/>
      <c r="BP102" s="101"/>
      <c r="BQ102" s="101"/>
      <c r="BR102" s="101"/>
      <c r="BS102" s="101"/>
      <c r="BT102" s="101"/>
      <c r="BU102" s="101"/>
      <c r="BV102" s="101"/>
    </row>
    <row r="103" spans="1:86" ht="27.95" customHeight="1" x14ac:dyDescent="0.3">
      <c r="A103" s="89"/>
      <c r="B103" s="9" t="s">
        <v>145</v>
      </c>
      <c r="C103" s="9" t="s">
        <v>146</v>
      </c>
      <c r="D103" s="9" t="s">
        <v>2</v>
      </c>
      <c r="E103" s="9" t="s">
        <v>97</v>
      </c>
      <c r="F103" s="96">
        <v>2585.6320890000002</v>
      </c>
      <c r="G103" s="96">
        <v>0</v>
      </c>
      <c r="H103" s="96">
        <v>0</v>
      </c>
      <c r="I103" s="96">
        <v>0</v>
      </c>
      <c r="J103" s="96">
        <v>0</v>
      </c>
      <c r="K103" s="96">
        <v>0</v>
      </c>
      <c r="L103" s="96">
        <v>0</v>
      </c>
      <c r="M103" s="96">
        <v>0</v>
      </c>
      <c r="N103" s="96">
        <v>0</v>
      </c>
      <c r="O103" s="96">
        <v>0</v>
      </c>
      <c r="P103" s="96">
        <v>0</v>
      </c>
      <c r="Q103" s="96">
        <v>0</v>
      </c>
      <c r="R103" s="96">
        <v>0</v>
      </c>
      <c r="S103" s="96">
        <v>0</v>
      </c>
      <c r="T103" s="96">
        <v>0</v>
      </c>
      <c r="U103" s="96">
        <v>0</v>
      </c>
      <c r="V103" s="101"/>
      <c r="AC103" s="101"/>
      <c r="AD103" s="101"/>
      <c r="AE103" s="101"/>
      <c r="AF103" s="101"/>
      <c r="AG103" s="101"/>
      <c r="AH103" s="101"/>
      <c r="AI103" s="101"/>
      <c r="AJ103" s="101"/>
      <c r="AK103" s="101"/>
      <c r="AL103" s="101"/>
      <c r="AM103" s="101"/>
      <c r="AN103" s="101"/>
      <c r="AO103" s="101"/>
      <c r="AP103" s="101"/>
      <c r="AQ103" s="101"/>
      <c r="AR103" s="101"/>
      <c r="AS103" s="101"/>
      <c r="AT103" s="101"/>
      <c r="AU103" s="101"/>
      <c r="AV103" s="101"/>
      <c r="AW103" s="101"/>
      <c r="AX103" s="101"/>
      <c r="AY103" s="101"/>
      <c r="AZ103" s="101"/>
      <c r="BA103" s="101"/>
      <c r="BB103" s="101"/>
      <c r="BC103" s="101"/>
      <c r="BD103" s="101"/>
      <c r="BE103" s="101"/>
      <c r="BF103" s="101"/>
      <c r="BG103" s="101"/>
      <c r="BH103" s="101"/>
      <c r="BI103" s="101"/>
      <c r="BJ103" s="101"/>
      <c r="BK103" s="101"/>
      <c r="BL103" s="101"/>
      <c r="BM103" s="101"/>
      <c r="BN103" s="101"/>
      <c r="BO103" s="101"/>
      <c r="BP103" s="101"/>
      <c r="BQ103" s="101"/>
      <c r="BR103" s="101"/>
      <c r="BS103" s="101"/>
      <c r="BT103" s="101"/>
      <c r="BU103" s="101"/>
      <c r="BV103" s="101"/>
    </row>
    <row r="104" spans="1:86" ht="6.75" customHeight="1" x14ac:dyDescent="0.3">
      <c r="B104" s="21"/>
      <c r="C104" s="13"/>
      <c r="D104" s="13"/>
      <c r="E104" s="46"/>
      <c r="F104" s="46"/>
      <c r="G104" s="46"/>
      <c r="H104" s="46"/>
      <c r="I104" s="46"/>
      <c r="J104" s="46"/>
      <c r="K104" s="46"/>
      <c r="L104" s="46"/>
      <c r="M104" s="46"/>
      <c r="N104" s="46"/>
      <c r="O104" s="46"/>
      <c r="P104" s="46"/>
      <c r="Q104" s="46"/>
      <c r="R104" s="46"/>
      <c r="S104" s="46"/>
      <c r="T104" s="46"/>
      <c r="U104" s="46"/>
      <c r="V104" s="46"/>
      <c r="AC104" s="46"/>
      <c r="AD104" s="46"/>
      <c r="AE104" s="46"/>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c r="BH104" s="46"/>
      <c r="BI104" s="46"/>
      <c r="BJ104" s="46"/>
      <c r="BK104" s="46"/>
      <c r="BL104" s="46"/>
      <c r="BM104" s="46"/>
      <c r="BN104" s="46"/>
      <c r="BO104" s="46"/>
      <c r="BP104" s="46"/>
      <c r="BQ104" s="46"/>
      <c r="BR104" s="46"/>
      <c r="BS104" s="46"/>
      <c r="BT104" s="46"/>
      <c r="BU104" s="46"/>
      <c r="BV104" s="46"/>
    </row>
    <row r="105" spans="1:86" ht="29.25" customHeight="1" x14ac:dyDescent="0.3">
      <c r="B105" s="193" t="s">
        <v>40</v>
      </c>
      <c r="C105" s="194"/>
      <c r="D105" s="194"/>
      <c r="E105" s="195"/>
      <c r="F105" s="94">
        <f>+F95+F78+F76+F67</f>
        <v>25325.9891623228</v>
      </c>
      <c r="G105" s="94">
        <f t="shared" ref="G105:U105" si="85">+G95+G78+G76+G67</f>
        <v>96.300062814307921</v>
      </c>
      <c r="H105" s="94">
        <f t="shared" si="85"/>
        <v>15366.192307846766</v>
      </c>
      <c r="I105" s="94">
        <f t="shared" si="85"/>
        <v>95.954378781915594</v>
      </c>
      <c r="J105" s="94">
        <f t="shared" si="85"/>
        <v>6500.5959403872812</v>
      </c>
      <c r="K105" s="94">
        <f t="shared" si="85"/>
        <v>96.948277626082259</v>
      </c>
      <c r="L105" s="94">
        <f t="shared" si="85"/>
        <v>5160.5390014874256</v>
      </c>
      <c r="M105" s="94">
        <f t="shared" si="85"/>
        <v>92.247530771212638</v>
      </c>
      <c r="N105" s="94">
        <f t="shared" si="85"/>
        <v>2607.6846263333332</v>
      </c>
      <c r="O105" s="94">
        <f t="shared" si="85"/>
        <v>92.247530771212638</v>
      </c>
      <c r="P105" s="94">
        <f t="shared" si="85"/>
        <v>813.10897683333326</v>
      </c>
      <c r="Q105" s="94">
        <f t="shared" si="85"/>
        <v>92.247530771212638</v>
      </c>
      <c r="R105" s="94">
        <f t="shared" si="85"/>
        <v>813.10897683333326</v>
      </c>
      <c r="S105" s="94">
        <f t="shared" si="85"/>
        <v>52.399761540443414</v>
      </c>
      <c r="T105" s="94">
        <f t="shared" si="85"/>
        <v>609.83173262499997</v>
      </c>
      <c r="U105" s="94">
        <f t="shared" si="85"/>
        <v>12.028011987307835</v>
      </c>
      <c r="V105" s="138"/>
      <c r="AC105" s="138"/>
      <c r="AD105" s="138"/>
      <c r="AE105" s="138"/>
      <c r="AF105" s="138"/>
      <c r="AG105" s="138"/>
      <c r="AH105" s="138"/>
      <c r="AI105" s="138"/>
      <c r="AJ105" s="138"/>
      <c r="AK105" s="138"/>
      <c r="AL105" s="138"/>
      <c r="AM105" s="138"/>
      <c r="AN105" s="138"/>
      <c r="AO105" s="138"/>
      <c r="AP105" s="138"/>
      <c r="AQ105" s="138"/>
      <c r="AR105" s="138"/>
      <c r="AS105" s="138"/>
      <c r="AT105" s="138"/>
      <c r="AU105" s="138"/>
      <c r="AV105" s="138"/>
      <c r="AW105" s="138"/>
      <c r="AX105" s="138"/>
      <c r="AY105" s="138"/>
      <c r="AZ105" s="138"/>
      <c r="BA105" s="138"/>
      <c r="BB105" s="138"/>
      <c r="BC105" s="138"/>
      <c r="BD105" s="138"/>
      <c r="BE105" s="138"/>
      <c r="BF105" s="138"/>
      <c r="BG105" s="138"/>
      <c r="BH105" s="138"/>
      <c r="BI105" s="138"/>
      <c r="BJ105" s="138"/>
      <c r="BK105" s="138"/>
      <c r="BL105" s="138"/>
      <c r="BM105" s="138"/>
      <c r="BN105" s="138"/>
      <c r="BO105" s="138"/>
      <c r="BP105" s="138"/>
      <c r="BQ105" s="138"/>
      <c r="BR105" s="138"/>
      <c r="BS105" s="138"/>
      <c r="BT105" s="138"/>
      <c r="BU105" s="138"/>
      <c r="BV105" s="138"/>
    </row>
    <row r="106" spans="1:86" x14ac:dyDescent="0.3">
      <c r="B106" s="51"/>
      <c r="C106" s="51"/>
      <c r="D106" s="51"/>
      <c r="E106" s="116"/>
      <c r="F106" s="179"/>
      <c r="G106" s="119"/>
      <c r="H106" s="119"/>
      <c r="I106" s="119"/>
      <c r="J106" s="119"/>
      <c r="K106" s="119"/>
      <c r="L106" s="119"/>
      <c r="M106" s="119"/>
      <c r="N106" s="119"/>
      <c r="O106" s="119"/>
      <c r="P106" s="119"/>
      <c r="Q106" s="119"/>
      <c r="R106" s="119"/>
      <c r="S106" s="119"/>
      <c r="T106" s="119"/>
      <c r="U106" s="119"/>
      <c r="V106" s="132"/>
      <c r="W106" s="132"/>
      <c r="X106" s="132"/>
      <c r="Y106" s="132"/>
      <c r="Z106" s="132"/>
      <c r="AA106" s="132"/>
      <c r="AB106" s="132"/>
      <c r="AC106" s="132"/>
      <c r="AD106" s="132"/>
      <c r="AE106" s="132"/>
      <c r="AF106" s="132"/>
      <c r="AG106" s="132"/>
      <c r="AH106" s="132"/>
      <c r="AI106" s="132"/>
      <c r="AJ106" s="132"/>
      <c r="AK106" s="132"/>
      <c r="AL106" s="132"/>
      <c r="AM106" s="132"/>
      <c r="AN106" s="132"/>
      <c r="AO106" s="132"/>
      <c r="AP106" s="132"/>
      <c r="AQ106" s="132"/>
      <c r="AR106" s="132"/>
      <c r="AS106" s="132"/>
      <c r="AT106" s="132"/>
      <c r="AU106" s="132"/>
      <c r="AV106" s="132"/>
      <c r="AW106" s="132"/>
      <c r="AX106" s="132"/>
      <c r="AY106" s="132"/>
      <c r="AZ106" s="132"/>
      <c r="BA106" s="132"/>
      <c r="BB106" s="132"/>
      <c r="BC106" s="132"/>
      <c r="BD106" s="132"/>
      <c r="BE106" s="132"/>
      <c r="BF106" s="132"/>
      <c r="BG106" s="132"/>
      <c r="BH106" s="132"/>
      <c r="BI106" s="132"/>
      <c r="BJ106" s="132"/>
      <c r="BK106" s="132"/>
      <c r="BL106" s="132"/>
      <c r="BM106" s="132"/>
      <c r="BN106" s="132"/>
      <c r="BO106" s="132"/>
      <c r="BP106" s="132"/>
      <c r="BQ106" s="132"/>
      <c r="BR106" s="132"/>
      <c r="BS106" s="132"/>
      <c r="BT106" s="132"/>
      <c r="BU106" s="132"/>
      <c r="BV106" s="132"/>
      <c r="BW106" s="132"/>
      <c r="BX106" s="132"/>
      <c r="BY106" s="132"/>
      <c r="BZ106" s="132"/>
      <c r="CA106" s="132"/>
      <c r="CB106" s="132"/>
      <c r="CC106" s="132"/>
      <c r="CD106" s="132"/>
      <c r="CE106" s="132"/>
      <c r="CF106" s="132"/>
      <c r="CG106" s="132"/>
      <c r="CH106" s="132"/>
    </row>
    <row r="107" spans="1:86" x14ac:dyDescent="0.3">
      <c r="B107" s="52"/>
      <c r="C107" s="52"/>
      <c r="D107" s="52"/>
      <c r="E107" s="52"/>
      <c r="F107" s="180"/>
      <c r="G107" s="52"/>
      <c r="H107" s="52"/>
      <c r="I107" s="52"/>
      <c r="J107" s="52"/>
      <c r="K107" s="52"/>
      <c r="L107" s="52"/>
      <c r="M107" s="52"/>
      <c r="N107" s="52"/>
      <c r="O107" s="52"/>
      <c r="P107" s="52"/>
      <c r="Q107" s="52"/>
      <c r="R107" s="52"/>
      <c r="S107" s="52"/>
      <c r="T107" s="52"/>
      <c r="U107" s="52"/>
      <c r="V107" s="52"/>
      <c r="W107" s="52"/>
      <c r="X107" s="52"/>
      <c r="Y107" s="52"/>
      <c r="Z107" s="52"/>
    </row>
    <row r="108" spans="1:86" x14ac:dyDescent="0.3">
      <c r="B108" s="52"/>
      <c r="C108" s="52"/>
      <c r="D108" s="52"/>
      <c r="E108" s="52"/>
      <c r="F108" s="180"/>
      <c r="G108" s="52"/>
      <c r="H108" s="52"/>
      <c r="I108" s="52"/>
      <c r="J108" s="52"/>
      <c r="K108" s="52"/>
      <c r="L108" s="52"/>
      <c r="M108" s="52"/>
      <c r="N108" s="52"/>
      <c r="O108" s="52"/>
      <c r="P108" s="52"/>
      <c r="Q108" s="52"/>
      <c r="R108" s="52"/>
      <c r="S108" s="52"/>
      <c r="T108" s="52"/>
      <c r="U108" s="52"/>
      <c r="V108" s="52"/>
      <c r="W108" s="52"/>
      <c r="X108" s="52"/>
      <c r="Y108" s="52"/>
      <c r="Z108" s="52"/>
    </row>
    <row r="109" spans="1:86" ht="20.25" x14ac:dyDescent="0.3">
      <c r="B109" s="183" t="s">
        <v>47</v>
      </c>
      <c r="C109" s="183"/>
      <c r="D109" s="183"/>
      <c r="E109" s="183"/>
      <c r="F109" s="183"/>
      <c r="G109" s="183"/>
      <c r="H109" s="183"/>
      <c r="I109" s="183"/>
      <c r="J109" s="183"/>
      <c r="K109" s="183"/>
      <c r="L109" s="183"/>
      <c r="M109" s="183"/>
      <c r="N109" s="183"/>
      <c r="O109" s="183"/>
      <c r="P109" s="183"/>
      <c r="Q109" s="183"/>
      <c r="R109" s="183"/>
      <c r="S109" s="183"/>
      <c r="T109" s="183"/>
      <c r="U109" s="183"/>
    </row>
    <row r="110" spans="1:86" ht="17.25" x14ac:dyDescent="0.3">
      <c r="B110" s="5" t="s">
        <v>50</v>
      </c>
      <c r="C110" s="2"/>
      <c r="D110" s="2"/>
      <c r="E110" s="2"/>
      <c r="F110" s="175"/>
      <c r="G110" s="2"/>
      <c r="H110" s="2"/>
      <c r="I110" s="2"/>
      <c r="J110" s="2"/>
      <c r="K110" s="2"/>
      <c r="L110" s="2"/>
      <c r="M110" s="2"/>
      <c r="N110" s="2"/>
      <c r="O110" s="2"/>
      <c r="P110" s="2"/>
      <c r="Q110" s="2"/>
      <c r="R110" s="1"/>
    </row>
    <row r="112" spans="1:86" ht="32.25" customHeight="1" x14ac:dyDescent="0.3">
      <c r="F112" s="67">
        <v>2023</v>
      </c>
      <c r="G112" s="67">
        <v>2023</v>
      </c>
      <c r="H112" s="67">
        <v>2024</v>
      </c>
      <c r="I112" s="67">
        <v>2024</v>
      </c>
      <c r="J112" s="67">
        <v>2025</v>
      </c>
      <c r="K112" s="67">
        <v>2025</v>
      </c>
      <c r="L112" s="67">
        <v>2026</v>
      </c>
      <c r="M112" s="67">
        <v>2026</v>
      </c>
      <c r="N112" s="67">
        <v>2027</v>
      </c>
      <c r="O112" s="67">
        <v>2027</v>
      </c>
      <c r="P112" s="67">
        <v>2028</v>
      </c>
      <c r="Q112" s="67">
        <v>2028</v>
      </c>
      <c r="R112" s="67">
        <v>2029</v>
      </c>
      <c r="S112" s="67">
        <v>2029</v>
      </c>
      <c r="T112" s="68" t="s">
        <v>188</v>
      </c>
      <c r="U112" s="68" t="s">
        <v>188</v>
      </c>
      <c r="W112" s="136"/>
      <c r="AC112" s="137"/>
      <c r="AD112" s="136"/>
      <c r="AE112" s="136"/>
      <c r="AF112" s="136"/>
      <c r="AG112" s="136"/>
      <c r="AH112" s="136"/>
      <c r="AI112" s="136"/>
      <c r="AJ112" s="136"/>
      <c r="AK112" s="136"/>
      <c r="AL112" s="136"/>
      <c r="AM112" s="136"/>
      <c r="AN112" s="136"/>
      <c r="AO112" s="136"/>
      <c r="AP112" s="136"/>
      <c r="AQ112" s="136"/>
      <c r="AR112" s="136"/>
      <c r="AS112" s="136"/>
      <c r="AT112" s="136"/>
      <c r="AU112" s="136"/>
      <c r="AV112" s="136"/>
      <c r="AW112" s="136"/>
      <c r="AX112" s="136"/>
      <c r="AY112" s="136"/>
      <c r="AZ112" s="136"/>
      <c r="BA112" s="136"/>
      <c r="BB112" s="136"/>
      <c r="BC112" s="136"/>
      <c r="BD112" s="136"/>
      <c r="BE112" s="136"/>
      <c r="BF112" s="136"/>
      <c r="BG112" s="136"/>
      <c r="BH112" s="136"/>
      <c r="BI112" s="136"/>
      <c r="BJ112" s="136"/>
      <c r="BK112" s="136"/>
      <c r="BL112" s="136"/>
      <c r="BM112" s="136"/>
      <c r="BN112" s="136"/>
      <c r="BO112" s="136"/>
      <c r="BP112" s="136"/>
      <c r="BQ112" s="136"/>
      <c r="BR112" s="136"/>
      <c r="BS112" s="136"/>
      <c r="BT112" s="136"/>
      <c r="BU112" s="136"/>
      <c r="BV112" s="136"/>
    </row>
    <row r="113" spans="1:74" ht="33.75" customHeight="1" x14ac:dyDescent="0.3">
      <c r="B113" s="20" t="s">
        <v>0</v>
      </c>
      <c r="C113" s="20" t="s">
        <v>1</v>
      </c>
      <c r="D113" s="39" t="s">
        <v>140</v>
      </c>
      <c r="E113" s="39" t="s">
        <v>99</v>
      </c>
      <c r="F113" s="178" t="s">
        <v>2</v>
      </c>
      <c r="G113" s="29" t="s">
        <v>103</v>
      </c>
      <c r="H113" s="20" t="s">
        <v>2</v>
      </c>
      <c r="I113" s="29" t="s">
        <v>103</v>
      </c>
      <c r="J113" s="20" t="s">
        <v>2</v>
      </c>
      <c r="K113" s="29" t="s">
        <v>103</v>
      </c>
      <c r="L113" s="20" t="s">
        <v>2</v>
      </c>
      <c r="M113" s="29" t="s">
        <v>103</v>
      </c>
      <c r="N113" s="20" t="s">
        <v>2</v>
      </c>
      <c r="O113" s="29" t="s">
        <v>103</v>
      </c>
      <c r="P113" s="20" t="s">
        <v>2</v>
      </c>
      <c r="Q113" s="29" t="s">
        <v>103</v>
      </c>
      <c r="R113" s="20" t="s">
        <v>2</v>
      </c>
      <c r="S113" s="29" t="s">
        <v>103</v>
      </c>
      <c r="T113" s="20" t="s">
        <v>2</v>
      </c>
      <c r="U113" s="29" t="s">
        <v>103</v>
      </c>
      <c r="W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BK113" s="30"/>
      <c r="BL113" s="30"/>
      <c r="BM113" s="30"/>
      <c r="BN113" s="30"/>
      <c r="BO113" s="30"/>
      <c r="BP113" s="30"/>
      <c r="BQ113" s="30"/>
      <c r="BR113" s="30"/>
      <c r="BS113" s="30"/>
      <c r="BT113" s="30"/>
      <c r="BU113" s="30"/>
      <c r="BV113" s="30"/>
    </row>
    <row r="114" spans="1:74" ht="27.95" customHeight="1" x14ac:dyDescent="0.3">
      <c r="B114" s="18" t="s">
        <v>93</v>
      </c>
      <c r="C114" s="18"/>
      <c r="D114" s="18"/>
      <c r="E114" s="18"/>
      <c r="F114" s="94">
        <f>+SUM(F115:F122)</f>
        <v>870.96005090343397</v>
      </c>
      <c r="G114" s="94">
        <f t="shared" ref="G114:U114" si="86">+SUM(G115:G122)</f>
        <v>0</v>
      </c>
      <c r="H114" s="94">
        <f t="shared" si="86"/>
        <v>94.189076598437879</v>
      </c>
      <c r="I114" s="94">
        <f t="shared" si="86"/>
        <v>0</v>
      </c>
      <c r="J114" s="94">
        <f t="shared" si="86"/>
        <v>29.649593217143568</v>
      </c>
      <c r="K114" s="94">
        <f t="shared" si="86"/>
        <v>0</v>
      </c>
      <c r="L114" s="94">
        <f t="shared" si="86"/>
        <v>3.3317510099354726</v>
      </c>
      <c r="M114" s="94">
        <f t="shared" si="86"/>
        <v>0</v>
      </c>
      <c r="N114" s="94">
        <f t="shared" si="86"/>
        <v>0</v>
      </c>
      <c r="O114" s="94">
        <f t="shared" si="86"/>
        <v>0</v>
      </c>
      <c r="P114" s="94">
        <f t="shared" si="86"/>
        <v>0</v>
      </c>
      <c r="Q114" s="94">
        <f t="shared" si="86"/>
        <v>0</v>
      </c>
      <c r="R114" s="94">
        <f t="shared" si="86"/>
        <v>0</v>
      </c>
      <c r="S114" s="94">
        <f t="shared" si="86"/>
        <v>0</v>
      </c>
      <c r="T114" s="94">
        <f t="shared" si="86"/>
        <v>0</v>
      </c>
      <c r="U114" s="94">
        <f t="shared" si="86"/>
        <v>0</v>
      </c>
      <c r="W114" s="138"/>
      <c r="AC114" s="138"/>
      <c r="AD114" s="138"/>
      <c r="AE114" s="138"/>
      <c r="AF114" s="138"/>
      <c r="AG114" s="138"/>
      <c r="AH114" s="138"/>
      <c r="AI114" s="138"/>
      <c r="AJ114" s="138"/>
      <c r="AK114" s="138"/>
      <c r="AL114" s="138"/>
      <c r="AM114" s="138"/>
      <c r="AN114" s="138"/>
      <c r="AO114" s="138"/>
      <c r="AP114" s="138"/>
      <c r="AQ114" s="138"/>
      <c r="AR114" s="138"/>
      <c r="AS114" s="138"/>
      <c r="AT114" s="138"/>
      <c r="AU114" s="138"/>
      <c r="AV114" s="138"/>
      <c r="AW114" s="138"/>
      <c r="AX114" s="138"/>
      <c r="AY114" s="138"/>
      <c r="AZ114" s="138"/>
      <c r="BA114" s="138"/>
      <c r="BB114" s="138"/>
      <c r="BC114" s="138"/>
      <c r="BD114" s="138"/>
      <c r="BE114" s="138"/>
      <c r="BF114" s="138"/>
      <c r="BG114" s="138"/>
      <c r="BH114" s="138"/>
      <c r="BI114" s="138"/>
      <c r="BJ114" s="138"/>
      <c r="BK114" s="138"/>
      <c r="BL114" s="138"/>
      <c r="BM114" s="138"/>
      <c r="BN114" s="138"/>
      <c r="BO114" s="138"/>
      <c r="BP114" s="138"/>
      <c r="BQ114" s="138"/>
      <c r="BR114" s="138"/>
      <c r="BS114" s="138"/>
      <c r="BT114" s="138"/>
      <c r="BU114" s="138"/>
      <c r="BV114" s="138"/>
    </row>
    <row r="115" spans="1:74" ht="27.95" customHeight="1" x14ac:dyDescent="0.3">
      <c r="A115" s="89"/>
      <c r="B115" s="9" t="s">
        <v>129</v>
      </c>
      <c r="C115" s="9" t="s">
        <v>130</v>
      </c>
      <c r="D115" s="9" t="s">
        <v>2</v>
      </c>
      <c r="E115" s="9" t="s">
        <v>93</v>
      </c>
      <c r="F115" s="96">
        <v>2.086699531048068</v>
      </c>
      <c r="G115" s="96">
        <v>0</v>
      </c>
      <c r="H115" s="96">
        <v>0</v>
      </c>
      <c r="I115" s="96">
        <v>0</v>
      </c>
      <c r="J115" s="96">
        <v>0</v>
      </c>
      <c r="K115" s="96">
        <v>0</v>
      </c>
      <c r="L115" s="96">
        <v>0</v>
      </c>
      <c r="M115" s="96">
        <v>0</v>
      </c>
      <c r="N115" s="96">
        <v>0</v>
      </c>
      <c r="O115" s="96">
        <v>0</v>
      </c>
      <c r="P115" s="96">
        <v>0</v>
      </c>
      <c r="Q115" s="96">
        <v>0</v>
      </c>
      <c r="R115" s="96">
        <v>0</v>
      </c>
      <c r="S115" s="96">
        <v>0</v>
      </c>
      <c r="T115" s="96">
        <v>0</v>
      </c>
      <c r="U115" s="96">
        <v>0</v>
      </c>
      <c r="W115" s="101"/>
      <c r="AC115" s="101"/>
      <c r="AD115" s="101"/>
      <c r="AE115" s="101"/>
      <c r="AF115" s="101"/>
      <c r="AG115" s="101"/>
      <c r="AH115" s="101"/>
      <c r="AI115" s="101"/>
      <c r="AJ115" s="101"/>
      <c r="AK115" s="101"/>
      <c r="AL115" s="101"/>
      <c r="AM115" s="101"/>
      <c r="AN115" s="101"/>
      <c r="AO115" s="101"/>
      <c r="AP115" s="101"/>
      <c r="AQ115" s="101"/>
      <c r="AR115" s="101"/>
      <c r="AS115" s="101"/>
      <c r="AT115" s="101"/>
      <c r="AU115" s="101"/>
      <c r="AV115" s="101"/>
      <c r="AW115" s="101"/>
      <c r="AX115" s="101"/>
      <c r="AY115" s="101"/>
      <c r="AZ115" s="101"/>
      <c r="BA115" s="101"/>
      <c r="BB115" s="101"/>
      <c r="BC115" s="101"/>
      <c r="BD115" s="101"/>
      <c r="BE115" s="101"/>
      <c r="BF115" s="101"/>
      <c r="BG115" s="101"/>
      <c r="BH115" s="101"/>
      <c r="BI115" s="101"/>
      <c r="BJ115" s="101"/>
      <c r="BK115" s="101"/>
      <c r="BL115" s="101"/>
      <c r="BM115" s="101"/>
      <c r="BN115" s="101"/>
      <c r="BO115" s="101"/>
      <c r="BP115" s="101"/>
      <c r="BQ115" s="101"/>
      <c r="BR115" s="101"/>
      <c r="BS115" s="101"/>
      <c r="BT115" s="101"/>
      <c r="BU115" s="101"/>
      <c r="BV115" s="101"/>
    </row>
    <row r="116" spans="1:74" ht="27.95" customHeight="1" x14ac:dyDescent="0.3">
      <c r="A116" s="89"/>
      <c r="B116" s="9" t="s">
        <v>3</v>
      </c>
      <c r="C116" s="9" t="s">
        <v>4</v>
      </c>
      <c r="D116" s="9" t="s">
        <v>2</v>
      </c>
      <c r="E116" s="9" t="s">
        <v>93</v>
      </c>
      <c r="F116" s="96">
        <v>599.1872783860058</v>
      </c>
      <c r="G116" s="96">
        <v>0</v>
      </c>
      <c r="H116" s="96">
        <v>0</v>
      </c>
      <c r="I116" s="96">
        <v>0</v>
      </c>
      <c r="J116" s="96">
        <v>0</v>
      </c>
      <c r="K116" s="96">
        <v>0</v>
      </c>
      <c r="L116" s="96">
        <v>0</v>
      </c>
      <c r="M116" s="96">
        <v>0</v>
      </c>
      <c r="N116" s="96">
        <v>0</v>
      </c>
      <c r="O116" s="96">
        <v>0</v>
      </c>
      <c r="P116" s="96">
        <v>0</v>
      </c>
      <c r="Q116" s="96">
        <v>0</v>
      </c>
      <c r="R116" s="96">
        <v>0</v>
      </c>
      <c r="S116" s="96">
        <v>0</v>
      </c>
      <c r="T116" s="96">
        <v>0</v>
      </c>
      <c r="U116" s="96">
        <v>0</v>
      </c>
      <c r="W116" s="101"/>
      <c r="AC116" s="101"/>
      <c r="AD116" s="101"/>
      <c r="AE116" s="101"/>
      <c r="AF116" s="101"/>
      <c r="AG116" s="101"/>
      <c r="AH116" s="101"/>
      <c r="AI116" s="101"/>
      <c r="AJ116" s="101"/>
      <c r="AK116" s="101"/>
      <c r="AL116" s="101"/>
      <c r="AM116" s="101"/>
      <c r="AN116" s="101"/>
      <c r="AO116" s="101"/>
      <c r="AP116" s="101"/>
      <c r="AQ116" s="101"/>
      <c r="AR116" s="101"/>
      <c r="AS116" s="101"/>
      <c r="AT116" s="101"/>
      <c r="AU116" s="101"/>
      <c r="AV116" s="101"/>
      <c r="AW116" s="101"/>
      <c r="AX116" s="101"/>
      <c r="AY116" s="101"/>
      <c r="AZ116" s="101"/>
      <c r="BA116" s="101"/>
      <c r="BB116" s="101"/>
      <c r="BC116" s="101"/>
      <c r="BD116" s="101"/>
      <c r="BE116" s="101"/>
      <c r="BF116" s="101"/>
      <c r="BG116" s="101"/>
      <c r="BH116" s="101"/>
      <c r="BI116" s="101"/>
      <c r="BJ116" s="101"/>
      <c r="BK116" s="101"/>
      <c r="BL116" s="101"/>
      <c r="BM116" s="101"/>
      <c r="BN116" s="101"/>
      <c r="BO116" s="101"/>
      <c r="BP116" s="101"/>
      <c r="BQ116" s="101"/>
      <c r="BR116" s="101"/>
      <c r="BS116" s="101"/>
      <c r="BT116" s="101"/>
      <c r="BU116" s="101"/>
      <c r="BV116" s="101"/>
    </row>
    <row r="117" spans="1:74" ht="27.95" customHeight="1" x14ac:dyDescent="0.3">
      <c r="A117" s="89"/>
      <c r="B117" s="9" t="s">
        <v>124</v>
      </c>
      <c r="C117" s="9" t="s">
        <v>125</v>
      </c>
      <c r="D117" s="9" t="str">
        <f t="shared" ref="D117:D122" si="87">+VLOOKUP($C117,$C$10:$D$45,2,FALSE)</f>
        <v>Pesos</v>
      </c>
      <c r="E117" s="9" t="s">
        <v>93</v>
      </c>
      <c r="F117" s="96">
        <v>1.4642095581828711</v>
      </c>
      <c r="G117" s="96">
        <v>0</v>
      </c>
      <c r="H117" s="96">
        <v>0</v>
      </c>
      <c r="I117" s="96">
        <v>0</v>
      </c>
      <c r="J117" s="96">
        <v>0</v>
      </c>
      <c r="K117" s="96">
        <v>0</v>
      </c>
      <c r="L117" s="96">
        <v>0</v>
      </c>
      <c r="M117" s="96">
        <v>0</v>
      </c>
      <c r="N117" s="96">
        <v>0</v>
      </c>
      <c r="O117" s="96">
        <v>0</v>
      </c>
      <c r="P117" s="96">
        <v>0</v>
      </c>
      <c r="Q117" s="96">
        <v>0</v>
      </c>
      <c r="R117" s="96">
        <v>0</v>
      </c>
      <c r="S117" s="96">
        <v>0</v>
      </c>
      <c r="T117" s="96">
        <v>0</v>
      </c>
      <c r="U117" s="96">
        <v>0</v>
      </c>
      <c r="W117" s="101"/>
      <c r="AC117" s="101"/>
      <c r="AD117" s="101"/>
      <c r="AE117" s="101"/>
      <c r="AF117" s="101"/>
      <c r="AG117" s="101"/>
      <c r="AH117" s="101"/>
      <c r="AI117" s="101"/>
      <c r="AJ117" s="101"/>
      <c r="AK117" s="101"/>
      <c r="AL117" s="101"/>
      <c r="AM117" s="101"/>
      <c r="AN117" s="101"/>
      <c r="AO117" s="101"/>
      <c r="AP117" s="101"/>
      <c r="AQ117" s="101"/>
      <c r="AR117" s="101"/>
      <c r="AS117" s="101"/>
      <c r="AT117" s="101"/>
      <c r="AU117" s="101"/>
      <c r="AV117" s="101"/>
      <c r="AW117" s="101"/>
      <c r="AX117" s="101"/>
      <c r="AY117" s="101"/>
      <c r="AZ117" s="101"/>
      <c r="BA117" s="101"/>
      <c r="BB117" s="101"/>
      <c r="BC117" s="101"/>
      <c r="BD117" s="101"/>
      <c r="BE117" s="101"/>
      <c r="BF117" s="101"/>
      <c r="BG117" s="101"/>
      <c r="BH117" s="101"/>
      <c r="BI117" s="101"/>
      <c r="BJ117" s="101"/>
      <c r="BK117" s="101"/>
      <c r="BL117" s="101"/>
      <c r="BM117" s="101"/>
      <c r="BN117" s="101"/>
      <c r="BO117" s="101"/>
      <c r="BP117" s="101"/>
      <c r="BQ117" s="101"/>
      <c r="BR117" s="101"/>
      <c r="BS117" s="101"/>
      <c r="BT117" s="101"/>
      <c r="BU117" s="101"/>
      <c r="BV117" s="101"/>
    </row>
    <row r="118" spans="1:74" ht="27.95" customHeight="1" x14ac:dyDescent="0.3">
      <c r="A118" s="89"/>
      <c r="B118" s="9" t="s">
        <v>7</v>
      </c>
      <c r="C118" s="9" t="s">
        <v>8</v>
      </c>
      <c r="D118" s="9" t="str">
        <f t="shared" si="87"/>
        <v>Pesos</v>
      </c>
      <c r="E118" s="9" t="s">
        <v>93</v>
      </c>
      <c r="F118" s="96">
        <v>59.76999172</v>
      </c>
      <c r="G118" s="96">
        <v>0</v>
      </c>
      <c r="H118" s="96">
        <v>20.064894899999999</v>
      </c>
      <c r="I118" s="96">
        <v>0</v>
      </c>
      <c r="J118" s="96">
        <v>0</v>
      </c>
      <c r="K118" s="96">
        <v>0</v>
      </c>
      <c r="L118" s="96">
        <v>0</v>
      </c>
      <c r="M118" s="96">
        <v>0</v>
      </c>
      <c r="N118" s="96">
        <v>0</v>
      </c>
      <c r="O118" s="96">
        <v>0</v>
      </c>
      <c r="P118" s="96">
        <v>0</v>
      </c>
      <c r="Q118" s="96">
        <v>0</v>
      </c>
      <c r="R118" s="96">
        <v>0</v>
      </c>
      <c r="S118" s="96">
        <v>0</v>
      </c>
      <c r="T118" s="96">
        <v>0</v>
      </c>
      <c r="U118" s="96">
        <v>0</v>
      </c>
      <c r="W118" s="101"/>
      <c r="AC118" s="101"/>
      <c r="AD118" s="101"/>
      <c r="AE118" s="101"/>
      <c r="AF118" s="101"/>
      <c r="AG118" s="101"/>
      <c r="AH118" s="101"/>
      <c r="AI118" s="101"/>
      <c r="AJ118" s="101"/>
      <c r="AK118" s="101"/>
      <c r="AL118" s="101"/>
      <c r="AM118" s="101"/>
      <c r="AN118" s="101"/>
      <c r="AO118" s="101"/>
      <c r="AP118" s="101"/>
      <c r="AQ118" s="101"/>
      <c r="AR118" s="101"/>
      <c r="AS118" s="101"/>
      <c r="AT118" s="101"/>
      <c r="AU118" s="101"/>
      <c r="AV118" s="101"/>
      <c r="AW118" s="101"/>
      <c r="AX118" s="101"/>
      <c r="AY118" s="101"/>
      <c r="AZ118" s="101"/>
      <c r="BA118" s="101"/>
      <c r="BB118" s="101"/>
      <c r="BC118" s="101"/>
      <c r="BD118" s="101"/>
      <c r="BE118" s="101"/>
      <c r="BF118" s="101"/>
      <c r="BG118" s="101"/>
      <c r="BH118" s="101"/>
      <c r="BI118" s="101"/>
      <c r="BJ118" s="101"/>
      <c r="BK118" s="101"/>
      <c r="BL118" s="101"/>
      <c r="BM118" s="101"/>
      <c r="BN118" s="101"/>
      <c r="BO118" s="101"/>
      <c r="BP118" s="101"/>
      <c r="BQ118" s="101"/>
      <c r="BR118" s="101"/>
      <c r="BS118" s="101"/>
      <c r="BT118" s="101"/>
      <c r="BU118" s="101"/>
      <c r="BV118" s="101"/>
    </row>
    <row r="119" spans="1:74" ht="27.95" customHeight="1" x14ac:dyDescent="0.3">
      <c r="A119" s="89"/>
      <c r="B119" s="9" t="s">
        <v>9</v>
      </c>
      <c r="C119" s="9" t="s">
        <v>10</v>
      </c>
      <c r="D119" s="9" t="str">
        <f t="shared" si="87"/>
        <v>Pesos</v>
      </c>
      <c r="E119" s="9" t="s">
        <v>93</v>
      </c>
      <c r="F119" s="96">
        <v>28.905142772313898</v>
      </c>
      <c r="G119" s="96">
        <v>0</v>
      </c>
      <c r="H119" s="96">
        <v>19.974182591540004</v>
      </c>
      <c r="I119" s="96">
        <v>0</v>
      </c>
      <c r="J119" s="96">
        <v>7.2558932669439891</v>
      </c>
      <c r="K119" s="96">
        <v>0</v>
      </c>
      <c r="L119" s="96">
        <v>0.18066008562525782</v>
      </c>
      <c r="M119" s="96">
        <v>0</v>
      </c>
      <c r="N119" s="96">
        <v>0</v>
      </c>
      <c r="O119" s="96">
        <v>0</v>
      </c>
      <c r="P119" s="96">
        <v>0</v>
      </c>
      <c r="Q119" s="96">
        <v>0</v>
      </c>
      <c r="R119" s="96">
        <v>0</v>
      </c>
      <c r="S119" s="96">
        <v>0</v>
      </c>
      <c r="T119" s="96">
        <v>0</v>
      </c>
      <c r="U119" s="96">
        <v>0</v>
      </c>
      <c r="W119" s="101"/>
      <c r="AC119" s="101"/>
      <c r="AD119" s="101"/>
      <c r="AE119" s="101"/>
      <c r="AF119" s="101"/>
      <c r="AG119" s="101"/>
      <c r="AH119" s="101"/>
      <c r="AI119" s="101"/>
      <c r="AJ119" s="101"/>
      <c r="AK119" s="101"/>
      <c r="AL119" s="101"/>
      <c r="AM119" s="101"/>
      <c r="AN119" s="101"/>
      <c r="AO119" s="101"/>
      <c r="AP119" s="101"/>
      <c r="AQ119" s="101"/>
      <c r="AR119" s="101"/>
      <c r="AS119" s="101"/>
      <c r="AT119" s="101"/>
      <c r="AU119" s="101"/>
      <c r="AV119" s="101"/>
      <c r="AW119" s="101"/>
      <c r="AX119" s="101"/>
      <c r="AY119" s="101"/>
      <c r="AZ119" s="101"/>
      <c r="BA119" s="101"/>
      <c r="BB119" s="101"/>
      <c r="BC119" s="101"/>
      <c r="BD119" s="101"/>
      <c r="BE119" s="101"/>
      <c r="BF119" s="101"/>
      <c r="BG119" s="101"/>
      <c r="BH119" s="101"/>
      <c r="BI119" s="101"/>
      <c r="BJ119" s="101"/>
      <c r="BK119" s="101"/>
      <c r="BL119" s="101"/>
      <c r="BM119" s="101"/>
      <c r="BN119" s="101"/>
      <c r="BO119" s="101"/>
      <c r="BP119" s="101"/>
      <c r="BQ119" s="101"/>
      <c r="BR119" s="101"/>
      <c r="BS119" s="101"/>
      <c r="BT119" s="101"/>
      <c r="BU119" s="101"/>
      <c r="BV119" s="101"/>
    </row>
    <row r="120" spans="1:74" ht="27.95" customHeight="1" x14ac:dyDescent="0.3">
      <c r="A120" s="89"/>
      <c r="B120" s="9" t="s">
        <v>11</v>
      </c>
      <c r="C120" s="9" t="s">
        <v>12</v>
      </c>
      <c r="D120" s="9" t="str">
        <f t="shared" si="87"/>
        <v>Pesos</v>
      </c>
      <c r="E120" s="9" t="s">
        <v>93</v>
      </c>
      <c r="F120" s="96">
        <v>61.538287410000002</v>
      </c>
      <c r="G120" s="96">
        <v>0</v>
      </c>
      <c r="H120" s="96">
        <v>52.027879789999993</v>
      </c>
      <c r="I120" s="96">
        <v>0</v>
      </c>
      <c r="J120" s="96">
        <v>21.653079270000003</v>
      </c>
      <c r="K120" s="96">
        <v>0</v>
      </c>
      <c r="L120" s="96">
        <v>3.1433539800000001</v>
      </c>
      <c r="M120" s="96">
        <v>0</v>
      </c>
      <c r="N120" s="96">
        <v>0</v>
      </c>
      <c r="O120" s="96">
        <v>0</v>
      </c>
      <c r="P120" s="96">
        <v>0</v>
      </c>
      <c r="Q120" s="96">
        <v>0</v>
      </c>
      <c r="R120" s="96">
        <v>0</v>
      </c>
      <c r="S120" s="96">
        <v>0</v>
      </c>
      <c r="T120" s="96">
        <v>0</v>
      </c>
      <c r="U120" s="96">
        <v>0</v>
      </c>
      <c r="W120" s="101"/>
      <c r="AC120" s="101"/>
      <c r="AD120" s="101"/>
      <c r="AE120" s="101"/>
      <c r="AF120" s="101"/>
      <c r="AG120" s="101"/>
      <c r="AH120" s="101"/>
      <c r="AI120" s="101"/>
      <c r="AJ120" s="101"/>
      <c r="AK120" s="101"/>
      <c r="AL120" s="101"/>
      <c r="AM120" s="101"/>
      <c r="AN120" s="101"/>
      <c r="AO120" s="101"/>
      <c r="AP120" s="101"/>
      <c r="AQ120" s="101"/>
      <c r="AR120" s="101"/>
      <c r="AS120" s="101"/>
      <c r="AT120" s="101"/>
      <c r="AU120" s="101"/>
      <c r="AV120" s="101"/>
      <c r="AW120" s="101"/>
      <c r="AX120" s="101"/>
      <c r="AY120" s="101"/>
      <c r="AZ120" s="101"/>
      <c r="BA120" s="101"/>
      <c r="BB120" s="101"/>
      <c r="BC120" s="101"/>
      <c r="BD120" s="101"/>
      <c r="BE120" s="101"/>
      <c r="BF120" s="101"/>
      <c r="BG120" s="101"/>
      <c r="BH120" s="101"/>
      <c r="BI120" s="101"/>
      <c r="BJ120" s="101"/>
      <c r="BK120" s="101"/>
      <c r="BL120" s="101"/>
      <c r="BM120" s="101"/>
      <c r="BN120" s="101"/>
      <c r="BO120" s="101"/>
      <c r="BP120" s="101"/>
      <c r="BQ120" s="101"/>
      <c r="BR120" s="101"/>
      <c r="BS120" s="101"/>
      <c r="BT120" s="101"/>
      <c r="BU120" s="101"/>
      <c r="BV120" s="101"/>
    </row>
    <row r="121" spans="1:74" ht="27.95" customHeight="1" x14ac:dyDescent="0.3">
      <c r="A121" s="89"/>
      <c r="B121" s="9" t="s">
        <v>13</v>
      </c>
      <c r="C121" s="9" t="s">
        <v>14</v>
      </c>
      <c r="D121" s="9" t="str">
        <f t="shared" si="87"/>
        <v>Pesos</v>
      </c>
      <c r="E121" s="9" t="s">
        <v>93</v>
      </c>
      <c r="F121" s="96">
        <v>3.1000458458832996</v>
      </c>
      <c r="G121" s="96">
        <v>0</v>
      </c>
      <c r="H121" s="96">
        <v>2.1221193168978743</v>
      </c>
      <c r="I121" s="96">
        <v>0</v>
      </c>
      <c r="J121" s="96">
        <v>0.74062068019957494</v>
      </c>
      <c r="K121" s="96">
        <v>0</v>
      </c>
      <c r="L121" s="96">
        <v>7.7369443102146378E-3</v>
      </c>
      <c r="M121" s="96">
        <v>0</v>
      </c>
      <c r="N121" s="96">
        <v>0</v>
      </c>
      <c r="O121" s="96">
        <v>0</v>
      </c>
      <c r="P121" s="96">
        <v>0</v>
      </c>
      <c r="Q121" s="96">
        <v>0</v>
      </c>
      <c r="R121" s="96">
        <v>0</v>
      </c>
      <c r="S121" s="96">
        <v>0</v>
      </c>
      <c r="T121" s="96">
        <v>0</v>
      </c>
      <c r="U121" s="96">
        <v>0</v>
      </c>
      <c r="W121" s="101"/>
      <c r="AC121" s="101"/>
      <c r="AD121" s="101"/>
      <c r="AE121" s="101"/>
      <c r="AF121" s="101"/>
      <c r="AG121" s="101"/>
      <c r="AH121" s="101"/>
      <c r="AI121" s="101"/>
      <c r="AJ121" s="101"/>
      <c r="AK121" s="101"/>
      <c r="AL121" s="101"/>
      <c r="AM121" s="101"/>
      <c r="AN121" s="101"/>
      <c r="AO121" s="101"/>
      <c r="AP121" s="101"/>
      <c r="AQ121" s="101"/>
      <c r="AR121" s="101"/>
      <c r="AS121" s="101"/>
      <c r="AT121" s="101"/>
      <c r="AU121" s="101"/>
      <c r="AV121" s="101"/>
      <c r="AW121" s="101"/>
      <c r="AX121" s="101"/>
      <c r="AY121" s="101"/>
      <c r="AZ121" s="101"/>
      <c r="BA121" s="101"/>
      <c r="BB121" s="101"/>
      <c r="BC121" s="101"/>
      <c r="BD121" s="101"/>
      <c r="BE121" s="101"/>
      <c r="BF121" s="101"/>
      <c r="BG121" s="101"/>
      <c r="BH121" s="101"/>
      <c r="BI121" s="101"/>
      <c r="BJ121" s="101"/>
      <c r="BK121" s="101"/>
      <c r="BL121" s="101"/>
      <c r="BM121" s="101"/>
      <c r="BN121" s="101"/>
      <c r="BO121" s="101"/>
      <c r="BP121" s="101"/>
      <c r="BQ121" s="101"/>
      <c r="BR121" s="101"/>
      <c r="BS121" s="101"/>
      <c r="BT121" s="101"/>
      <c r="BU121" s="101"/>
      <c r="BV121" s="101"/>
    </row>
    <row r="122" spans="1:74" ht="27.95" customHeight="1" x14ac:dyDescent="0.3">
      <c r="A122" s="89"/>
      <c r="B122" s="9" t="s">
        <v>5</v>
      </c>
      <c r="C122" s="9" t="s">
        <v>6</v>
      </c>
      <c r="D122" s="9" t="str">
        <f t="shared" si="87"/>
        <v>Pesos</v>
      </c>
      <c r="E122" s="9" t="s">
        <v>93</v>
      </c>
      <c r="F122" s="96">
        <v>114.90839568000001</v>
      </c>
      <c r="G122" s="96">
        <v>0</v>
      </c>
      <c r="H122" s="96">
        <v>0</v>
      </c>
      <c r="I122" s="96">
        <v>0</v>
      </c>
      <c r="J122" s="96">
        <v>0</v>
      </c>
      <c r="K122" s="96">
        <v>0</v>
      </c>
      <c r="L122" s="96">
        <v>0</v>
      </c>
      <c r="M122" s="96">
        <v>0</v>
      </c>
      <c r="N122" s="96">
        <v>0</v>
      </c>
      <c r="O122" s="96">
        <v>0</v>
      </c>
      <c r="P122" s="96">
        <v>0</v>
      </c>
      <c r="Q122" s="96">
        <v>0</v>
      </c>
      <c r="R122" s="96">
        <v>0</v>
      </c>
      <c r="S122" s="96">
        <v>0</v>
      </c>
      <c r="T122" s="96">
        <v>0</v>
      </c>
      <c r="U122" s="96">
        <v>0</v>
      </c>
      <c r="W122" s="101"/>
      <c r="AC122" s="101"/>
      <c r="AD122" s="101"/>
      <c r="AE122" s="101"/>
      <c r="AF122" s="101"/>
      <c r="AG122" s="101"/>
      <c r="AH122" s="101"/>
      <c r="AI122" s="101"/>
      <c r="AJ122" s="101"/>
      <c r="AK122" s="101"/>
      <c r="AL122" s="101"/>
      <c r="AM122" s="101"/>
      <c r="AN122" s="101"/>
      <c r="AO122" s="101"/>
      <c r="AP122" s="101"/>
      <c r="AQ122" s="101"/>
      <c r="AR122" s="101"/>
      <c r="AS122" s="101"/>
      <c r="AT122" s="101"/>
      <c r="AU122" s="101"/>
      <c r="AV122" s="101"/>
      <c r="AW122" s="101"/>
      <c r="AX122" s="101"/>
      <c r="AY122" s="101"/>
      <c r="AZ122" s="101"/>
      <c r="BA122" s="101"/>
      <c r="BB122" s="101"/>
      <c r="BC122" s="101"/>
      <c r="BD122" s="101"/>
      <c r="BE122" s="101"/>
      <c r="BF122" s="101"/>
      <c r="BG122" s="101"/>
      <c r="BH122" s="101"/>
      <c r="BI122" s="101"/>
      <c r="BJ122" s="101"/>
      <c r="BK122" s="101"/>
      <c r="BL122" s="101"/>
      <c r="BM122" s="101"/>
      <c r="BN122" s="101"/>
      <c r="BO122" s="101"/>
      <c r="BP122" s="101"/>
      <c r="BQ122" s="101"/>
      <c r="BR122" s="101"/>
      <c r="BS122" s="101"/>
      <c r="BT122" s="101"/>
      <c r="BU122" s="101"/>
      <c r="BV122" s="101"/>
    </row>
    <row r="123" spans="1:74" ht="27.95" customHeight="1" x14ac:dyDescent="0.3">
      <c r="A123" s="89"/>
      <c r="B123" s="18" t="s">
        <v>94</v>
      </c>
      <c r="C123" s="18"/>
      <c r="D123" s="18"/>
      <c r="E123" s="18"/>
      <c r="F123" s="94">
        <f>+F124</f>
        <v>14357.770989311473</v>
      </c>
      <c r="G123" s="94">
        <f t="shared" ref="G123:U123" si="88">+G124</f>
        <v>0</v>
      </c>
      <c r="H123" s="94">
        <f t="shared" si="88"/>
        <v>12130.880959060049</v>
      </c>
      <c r="I123" s="94">
        <f t="shared" si="88"/>
        <v>0</v>
      </c>
      <c r="J123" s="94">
        <f t="shared" si="88"/>
        <v>5687.965848906204</v>
      </c>
      <c r="K123" s="94">
        <f t="shared" si="88"/>
        <v>0</v>
      </c>
      <c r="L123" s="94">
        <f t="shared" si="88"/>
        <v>1297.2279103180317</v>
      </c>
      <c r="M123" s="94">
        <f t="shared" si="88"/>
        <v>0</v>
      </c>
      <c r="N123" s="94">
        <f t="shared" si="88"/>
        <v>108.9383418465959</v>
      </c>
      <c r="O123" s="94">
        <f t="shared" si="88"/>
        <v>0</v>
      </c>
      <c r="P123" s="94">
        <f t="shared" si="88"/>
        <v>0</v>
      </c>
      <c r="Q123" s="94">
        <f t="shared" si="88"/>
        <v>0</v>
      </c>
      <c r="R123" s="94">
        <f t="shared" si="88"/>
        <v>0</v>
      </c>
      <c r="S123" s="94">
        <f t="shared" si="88"/>
        <v>0</v>
      </c>
      <c r="T123" s="94">
        <f t="shared" si="88"/>
        <v>0</v>
      </c>
      <c r="U123" s="94">
        <f t="shared" si="88"/>
        <v>0</v>
      </c>
      <c r="W123" s="138"/>
      <c r="AC123" s="138"/>
      <c r="AD123" s="138"/>
      <c r="AE123" s="138"/>
      <c r="AF123" s="138"/>
      <c r="AG123" s="138"/>
      <c r="AH123" s="138"/>
      <c r="AI123" s="138"/>
      <c r="AJ123" s="138"/>
      <c r="AK123" s="138"/>
      <c r="AL123" s="138"/>
      <c r="AM123" s="138"/>
      <c r="AN123" s="138"/>
      <c r="AO123" s="138"/>
      <c r="AP123" s="138"/>
      <c r="AQ123" s="138"/>
      <c r="AR123" s="138"/>
      <c r="AS123" s="138"/>
      <c r="AT123" s="138"/>
      <c r="AU123" s="138"/>
      <c r="AV123" s="138"/>
      <c r="AW123" s="138"/>
      <c r="AX123" s="138"/>
      <c r="AY123" s="138"/>
      <c r="AZ123" s="138"/>
      <c r="BA123" s="138"/>
      <c r="BB123" s="138"/>
      <c r="BC123" s="138"/>
      <c r="BD123" s="138"/>
      <c r="BE123" s="138"/>
      <c r="BF123" s="138"/>
      <c r="BG123" s="138"/>
      <c r="BH123" s="138"/>
      <c r="BI123" s="138"/>
      <c r="BJ123" s="138"/>
      <c r="BK123" s="138"/>
      <c r="BL123" s="138"/>
      <c r="BM123" s="138"/>
      <c r="BN123" s="138"/>
      <c r="BO123" s="138"/>
      <c r="BP123" s="138"/>
      <c r="BQ123" s="138"/>
      <c r="BR123" s="138"/>
      <c r="BS123" s="138"/>
      <c r="BT123" s="138"/>
      <c r="BU123" s="138"/>
      <c r="BV123" s="138"/>
    </row>
    <row r="124" spans="1:74" ht="27.95" customHeight="1" x14ac:dyDescent="0.3">
      <c r="A124" s="89"/>
      <c r="B124" s="9" t="s">
        <v>154</v>
      </c>
      <c r="C124" s="9" t="s">
        <v>155</v>
      </c>
      <c r="D124" s="9" t="str">
        <f>+VLOOKUP($C124,$C$10:$D$45,2,FALSE)</f>
        <v>Pesos</v>
      </c>
      <c r="E124" s="9" t="s">
        <v>94</v>
      </c>
      <c r="F124" s="96">
        <v>14357.770989311473</v>
      </c>
      <c r="G124" s="96">
        <v>0</v>
      </c>
      <c r="H124" s="96">
        <v>12130.880959060049</v>
      </c>
      <c r="I124" s="96">
        <v>0</v>
      </c>
      <c r="J124" s="96">
        <v>5687.965848906204</v>
      </c>
      <c r="K124" s="96">
        <v>0</v>
      </c>
      <c r="L124" s="96">
        <v>1297.2279103180317</v>
      </c>
      <c r="M124" s="96">
        <v>0</v>
      </c>
      <c r="N124" s="96">
        <v>108.9383418465959</v>
      </c>
      <c r="O124" s="96">
        <v>0</v>
      </c>
      <c r="P124" s="96">
        <v>0</v>
      </c>
      <c r="Q124" s="96">
        <v>0</v>
      </c>
      <c r="R124" s="96">
        <v>0</v>
      </c>
      <c r="S124" s="96">
        <v>0</v>
      </c>
      <c r="T124" s="96">
        <v>0</v>
      </c>
      <c r="U124" s="96">
        <v>0</v>
      </c>
      <c r="W124" s="101"/>
      <c r="AC124" s="101"/>
      <c r="AD124" s="101"/>
      <c r="AE124" s="101"/>
      <c r="AF124" s="101"/>
      <c r="AG124" s="101"/>
      <c r="AH124" s="101"/>
      <c r="AI124" s="101"/>
      <c r="AJ124" s="101"/>
      <c r="AK124" s="101"/>
      <c r="AL124" s="101"/>
      <c r="AM124" s="101"/>
      <c r="AN124" s="101"/>
      <c r="AO124" s="101"/>
      <c r="AP124" s="101"/>
      <c r="AQ124" s="101"/>
      <c r="AR124" s="101"/>
      <c r="AS124" s="101"/>
      <c r="AT124" s="101"/>
      <c r="AU124" s="101"/>
      <c r="AV124" s="101"/>
      <c r="AW124" s="101"/>
      <c r="AX124" s="101"/>
      <c r="AY124" s="101"/>
      <c r="AZ124" s="101"/>
      <c r="BA124" s="101"/>
      <c r="BB124" s="101"/>
      <c r="BC124" s="101"/>
      <c r="BD124" s="101"/>
      <c r="BE124" s="101"/>
      <c r="BF124" s="101"/>
      <c r="BG124" s="101"/>
      <c r="BH124" s="101"/>
      <c r="BI124" s="101"/>
      <c r="BJ124" s="101"/>
      <c r="BK124" s="101"/>
      <c r="BL124" s="101"/>
      <c r="BM124" s="101"/>
      <c r="BN124" s="101"/>
      <c r="BO124" s="101"/>
      <c r="BP124" s="101"/>
      <c r="BQ124" s="101"/>
      <c r="BR124" s="101"/>
      <c r="BS124" s="101"/>
      <c r="BT124" s="101"/>
      <c r="BU124" s="101"/>
      <c r="BV124" s="101"/>
    </row>
    <row r="125" spans="1:74" ht="27.95" customHeight="1" x14ac:dyDescent="0.3">
      <c r="A125" s="89"/>
      <c r="B125" s="18" t="s">
        <v>15</v>
      </c>
      <c r="C125" s="18"/>
      <c r="D125" s="18"/>
      <c r="E125" s="18"/>
      <c r="F125" s="94">
        <f>+F126+F138</f>
        <v>0</v>
      </c>
      <c r="G125" s="94">
        <f t="shared" ref="G125:U125" si="89">+G126+G138</f>
        <v>10.212276739091823</v>
      </c>
      <c r="H125" s="94">
        <f t="shared" si="89"/>
        <v>0</v>
      </c>
      <c r="I125" s="94">
        <f t="shared" si="89"/>
        <v>12.059139133782983</v>
      </c>
      <c r="J125" s="94">
        <f t="shared" si="89"/>
        <v>0</v>
      </c>
      <c r="K125" s="94">
        <f t="shared" si="89"/>
        <v>9.4962951815566061</v>
      </c>
      <c r="L125" s="94">
        <f t="shared" si="89"/>
        <v>0</v>
      </c>
      <c r="M125" s="94">
        <f t="shared" si="89"/>
        <v>6.7680777677787551</v>
      </c>
      <c r="N125" s="94">
        <f t="shared" si="89"/>
        <v>0</v>
      </c>
      <c r="O125" s="94">
        <f t="shared" si="89"/>
        <v>4.7293593191820751</v>
      </c>
      <c r="P125" s="94">
        <f t="shared" si="89"/>
        <v>0</v>
      </c>
      <c r="Q125" s="94">
        <f t="shared" si="89"/>
        <v>3.9855038124239672</v>
      </c>
      <c r="R125" s="94">
        <f t="shared" si="89"/>
        <v>0</v>
      </c>
      <c r="S125" s="94">
        <f t="shared" si="89"/>
        <v>3.5355278036843552</v>
      </c>
      <c r="T125" s="94">
        <f t="shared" si="89"/>
        <v>0</v>
      </c>
      <c r="U125" s="94">
        <f t="shared" si="89"/>
        <v>1.6601479183261743</v>
      </c>
      <c r="W125" s="138"/>
      <c r="AC125" s="138"/>
      <c r="AD125" s="138"/>
      <c r="AE125" s="138"/>
      <c r="AF125" s="138"/>
      <c r="AG125" s="138"/>
      <c r="AH125" s="138"/>
      <c r="AI125" s="138"/>
      <c r="AJ125" s="138"/>
      <c r="AK125" s="138"/>
      <c r="AL125" s="138"/>
      <c r="AM125" s="138"/>
      <c r="AN125" s="138"/>
      <c r="AO125" s="138"/>
      <c r="AP125" s="138"/>
      <c r="AQ125" s="138"/>
      <c r="AR125" s="138"/>
      <c r="AS125" s="138"/>
      <c r="AT125" s="138"/>
      <c r="AU125" s="138"/>
      <c r="AV125" s="138"/>
      <c r="AW125" s="138"/>
      <c r="AX125" s="138"/>
      <c r="AY125" s="138"/>
      <c r="AZ125" s="138"/>
      <c r="BA125" s="138"/>
      <c r="BB125" s="138"/>
      <c r="BC125" s="138"/>
      <c r="BD125" s="138"/>
      <c r="BE125" s="138"/>
      <c r="BF125" s="138"/>
      <c r="BG125" s="138"/>
      <c r="BH125" s="138"/>
      <c r="BI125" s="138"/>
      <c r="BJ125" s="138"/>
      <c r="BK125" s="138"/>
      <c r="BL125" s="138"/>
      <c r="BM125" s="138"/>
      <c r="BN125" s="138"/>
      <c r="BO125" s="138"/>
      <c r="BP125" s="138"/>
      <c r="BQ125" s="138"/>
      <c r="BR125" s="138"/>
      <c r="BS125" s="138"/>
      <c r="BT125" s="138"/>
      <c r="BU125" s="138"/>
      <c r="BV125" s="138"/>
    </row>
    <row r="126" spans="1:74" ht="27.95" customHeight="1" x14ac:dyDescent="0.3">
      <c r="A126" s="89"/>
      <c r="B126" s="19" t="s">
        <v>16</v>
      </c>
      <c r="C126" s="19"/>
      <c r="D126" s="19"/>
      <c r="E126" s="19"/>
      <c r="F126" s="100">
        <f>+SUM(F127:F137)</f>
        <v>0</v>
      </c>
      <c r="G126" s="100">
        <f t="shared" ref="G126:U126" si="90">+SUM(G127:G137)</f>
        <v>8.6510250925354519</v>
      </c>
      <c r="H126" s="100">
        <f t="shared" si="90"/>
        <v>0</v>
      </c>
      <c r="I126" s="100">
        <f t="shared" si="90"/>
        <v>9.8502671178620425</v>
      </c>
      <c r="J126" s="100">
        <f t="shared" si="90"/>
        <v>0</v>
      </c>
      <c r="K126" s="100">
        <f t="shared" si="90"/>
        <v>7.620866318296434</v>
      </c>
      <c r="L126" s="100">
        <f t="shared" si="90"/>
        <v>0</v>
      </c>
      <c r="M126" s="100">
        <f t="shared" si="90"/>
        <v>5.3492011494025444</v>
      </c>
      <c r="N126" s="100">
        <f t="shared" si="90"/>
        <v>0</v>
      </c>
      <c r="O126" s="100">
        <f t="shared" si="90"/>
        <v>3.7247021567639158</v>
      </c>
      <c r="P126" s="100">
        <f t="shared" si="90"/>
        <v>0</v>
      </c>
      <c r="Q126" s="100">
        <f t="shared" si="90"/>
        <v>3.1153252231390249</v>
      </c>
      <c r="R126" s="100">
        <f t="shared" si="90"/>
        <v>0</v>
      </c>
      <c r="S126" s="100">
        <f t="shared" si="90"/>
        <v>2.7504568227283412</v>
      </c>
      <c r="T126" s="100">
        <f t="shared" si="90"/>
        <v>0</v>
      </c>
      <c r="U126" s="100">
        <f t="shared" si="90"/>
        <v>1.2779162768377885</v>
      </c>
      <c r="W126" s="141"/>
      <c r="AC126" s="141"/>
      <c r="AD126" s="141"/>
      <c r="AE126" s="141"/>
      <c r="AF126" s="141"/>
      <c r="AG126" s="141"/>
      <c r="AH126" s="141"/>
      <c r="AI126" s="141"/>
      <c r="AJ126" s="141"/>
      <c r="AK126" s="141"/>
      <c r="AL126" s="141"/>
      <c r="AM126" s="141"/>
      <c r="AN126" s="141"/>
      <c r="AO126" s="141"/>
      <c r="AP126" s="141"/>
      <c r="AQ126" s="141"/>
      <c r="AR126" s="141"/>
      <c r="AS126" s="141"/>
      <c r="AT126" s="141"/>
      <c r="AU126" s="141"/>
      <c r="AV126" s="141"/>
      <c r="AW126" s="141"/>
      <c r="AX126" s="141"/>
      <c r="AY126" s="141"/>
      <c r="AZ126" s="141"/>
      <c r="BA126" s="141"/>
      <c r="BB126" s="141"/>
      <c r="BC126" s="141"/>
      <c r="BD126" s="141"/>
      <c r="BE126" s="141"/>
      <c r="BF126" s="141"/>
      <c r="BG126" s="141"/>
      <c r="BH126" s="141"/>
      <c r="BI126" s="141"/>
      <c r="BJ126" s="141"/>
      <c r="BK126" s="141"/>
      <c r="BL126" s="141"/>
      <c r="BM126" s="141"/>
      <c r="BN126" s="141"/>
      <c r="BO126" s="141"/>
      <c r="BP126" s="141"/>
      <c r="BQ126" s="141"/>
      <c r="BR126" s="141"/>
      <c r="BS126" s="141"/>
      <c r="BT126" s="141"/>
      <c r="BU126" s="141"/>
      <c r="BV126" s="141"/>
    </row>
    <row r="127" spans="1:74" ht="27.95" customHeight="1" x14ac:dyDescent="0.3">
      <c r="A127" s="89"/>
      <c r="B127" s="9" t="s">
        <v>23</v>
      </c>
      <c r="C127" s="9" t="s">
        <v>24</v>
      </c>
      <c r="D127" s="9" t="str">
        <f t="shared" ref="D127:D133" si="91">+VLOOKUP($C127,$C$10:$D$45,2,FALSE)</f>
        <v>USD</v>
      </c>
      <c r="E127" s="9" t="s">
        <v>96</v>
      </c>
      <c r="F127" s="96">
        <v>0</v>
      </c>
      <c r="G127" s="96">
        <v>2.3998871902367043</v>
      </c>
      <c r="H127" s="96">
        <v>0</v>
      </c>
      <c r="I127" s="96">
        <v>2.7592953629667418</v>
      </c>
      <c r="J127" s="96">
        <v>0</v>
      </c>
      <c r="K127" s="96">
        <v>2.2652548663541214</v>
      </c>
      <c r="L127" s="96">
        <v>0</v>
      </c>
      <c r="M127" s="96">
        <v>1.6735005520294524</v>
      </c>
      <c r="N127" s="96">
        <v>0</v>
      </c>
      <c r="O127" s="96">
        <v>1.1529643535299685</v>
      </c>
      <c r="P127" s="96">
        <v>0</v>
      </c>
      <c r="Q127" s="96">
        <v>0.96023670982669573</v>
      </c>
      <c r="R127" s="96">
        <v>0</v>
      </c>
      <c r="S127" s="96">
        <v>0.87130953358432217</v>
      </c>
      <c r="T127" s="96">
        <v>0</v>
      </c>
      <c r="U127" s="96">
        <v>0.40692741547901845</v>
      </c>
      <c r="V127" s="101"/>
      <c r="W127" s="101"/>
      <c r="AC127" s="101"/>
      <c r="AD127" s="101"/>
      <c r="AE127" s="101"/>
      <c r="AF127" s="101"/>
      <c r="AG127" s="101"/>
      <c r="AH127" s="101"/>
      <c r="AI127" s="101"/>
      <c r="AJ127" s="101"/>
      <c r="AK127" s="101"/>
      <c r="AL127" s="101"/>
      <c r="AM127" s="101"/>
      <c r="AN127" s="101"/>
      <c r="AO127" s="101"/>
      <c r="AP127" s="101"/>
      <c r="AQ127" s="101"/>
      <c r="AR127" s="101"/>
      <c r="AS127" s="101"/>
      <c r="AT127" s="101"/>
      <c r="AU127" s="101"/>
      <c r="AV127" s="101"/>
      <c r="AW127" s="101"/>
      <c r="AX127" s="101"/>
      <c r="AY127" s="101"/>
      <c r="AZ127" s="101"/>
      <c r="BA127" s="101"/>
      <c r="BB127" s="101"/>
      <c r="BC127" s="101"/>
      <c r="BD127" s="101"/>
      <c r="BE127" s="101"/>
      <c r="BF127" s="101"/>
      <c r="BG127" s="101"/>
      <c r="BH127" s="101"/>
      <c r="BI127" s="101"/>
      <c r="BJ127" s="101"/>
      <c r="BK127" s="101"/>
      <c r="BL127" s="101"/>
      <c r="BM127" s="101"/>
      <c r="BN127" s="101"/>
      <c r="BO127" s="101"/>
      <c r="BP127" s="101"/>
      <c r="BQ127" s="101"/>
      <c r="BR127" s="101"/>
      <c r="BS127" s="101"/>
      <c r="BT127" s="101"/>
      <c r="BU127" s="101"/>
      <c r="BV127" s="101"/>
    </row>
    <row r="128" spans="1:74" ht="27.95" customHeight="1" x14ac:dyDescent="0.3">
      <c r="A128" s="89"/>
      <c r="B128" s="9" t="s">
        <v>17</v>
      </c>
      <c r="C128" s="9" t="s">
        <v>18</v>
      </c>
      <c r="D128" s="9" t="str">
        <f t="shared" si="91"/>
        <v>USD</v>
      </c>
      <c r="E128" s="9" t="s">
        <v>96</v>
      </c>
      <c r="F128" s="96">
        <v>0</v>
      </c>
      <c r="G128" s="96">
        <v>2.1803345905299483</v>
      </c>
      <c r="H128" s="96">
        <v>0</v>
      </c>
      <c r="I128" s="96">
        <v>2.3459417822784436</v>
      </c>
      <c r="J128" s="96">
        <v>0</v>
      </c>
      <c r="K128" s="96">
        <v>1.8012741525274334</v>
      </c>
      <c r="L128" s="96">
        <v>0</v>
      </c>
      <c r="M128" s="96">
        <v>1.2580565073153491</v>
      </c>
      <c r="N128" s="96">
        <v>0</v>
      </c>
      <c r="O128" s="96">
        <v>0.88320581681939336</v>
      </c>
      <c r="P128" s="96">
        <v>0</v>
      </c>
      <c r="Q128" s="96">
        <v>0.75114042814746174</v>
      </c>
      <c r="R128" s="96">
        <v>0</v>
      </c>
      <c r="S128" s="96">
        <v>0.66292261880716852</v>
      </c>
      <c r="T128" s="96">
        <v>0</v>
      </c>
      <c r="U128" s="96">
        <v>0.32093965820228293</v>
      </c>
      <c r="V128" s="101"/>
      <c r="W128" s="101"/>
      <c r="AC128" s="101"/>
      <c r="AD128" s="101"/>
      <c r="AE128" s="101"/>
      <c r="AF128" s="101"/>
      <c r="AG128" s="101"/>
      <c r="AH128" s="101"/>
      <c r="AI128" s="101"/>
      <c r="AJ128" s="101"/>
      <c r="AK128" s="101"/>
      <c r="AL128" s="101"/>
      <c r="AM128" s="101"/>
      <c r="AN128" s="101"/>
      <c r="AO128" s="101"/>
      <c r="AP128" s="101"/>
      <c r="AQ128" s="101"/>
      <c r="AR128" s="101"/>
      <c r="AS128" s="101"/>
      <c r="AT128" s="101"/>
      <c r="AU128" s="101"/>
      <c r="AV128" s="101"/>
      <c r="AW128" s="101"/>
      <c r="AX128" s="101"/>
      <c r="AY128" s="101"/>
      <c r="AZ128" s="101"/>
      <c r="BA128" s="101"/>
      <c r="BB128" s="101"/>
      <c r="BC128" s="101"/>
      <c r="BD128" s="101"/>
      <c r="BE128" s="101"/>
      <c r="BF128" s="101"/>
      <c r="BG128" s="101"/>
      <c r="BH128" s="101"/>
      <c r="BI128" s="101"/>
      <c r="BJ128" s="101"/>
      <c r="BK128" s="101"/>
      <c r="BL128" s="101"/>
      <c r="BM128" s="101"/>
      <c r="BN128" s="101"/>
      <c r="BO128" s="101"/>
      <c r="BP128" s="101"/>
      <c r="BQ128" s="101"/>
      <c r="BR128" s="101"/>
      <c r="BS128" s="101"/>
      <c r="BT128" s="101"/>
      <c r="BU128" s="101"/>
      <c r="BV128" s="101"/>
    </row>
    <row r="129" spans="1:74" ht="27.95" customHeight="1" x14ac:dyDescent="0.3">
      <c r="A129" s="89"/>
      <c r="B129" s="9" t="s">
        <v>19</v>
      </c>
      <c r="C129" s="9" t="s">
        <v>20</v>
      </c>
      <c r="D129" s="9" t="str">
        <f t="shared" si="91"/>
        <v>USD</v>
      </c>
      <c r="E129" s="9" t="s">
        <v>96</v>
      </c>
      <c r="F129" s="96">
        <v>0</v>
      </c>
      <c r="G129" s="96">
        <v>1.5034748899999999</v>
      </c>
      <c r="H129" s="96">
        <v>0</v>
      </c>
      <c r="I129" s="96">
        <v>1.99651975</v>
      </c>
      <c r="J129" s="96">
        <v>0</v>
      </c>
      <c r="K129" s="96">
        <v>1.5446344999999999</v>
      </c>
      <c r="L129" s="96">
        <v>0</v>
      </c>
      <c r="M129" s="96">
        <v>1.0980905400000001</v>
      </c>
      <c r="N129" s="96">
        <v>0</v>
      </c>
      <c r="O129" s="96">
        <v>0.7527621699999999</v>
      </c>
      <c r="P129" s="96">
        <v>0</v>
      </c>
      <c r="Q129" s="96">
        <v>0.59689231000000009</v>
      </c>
      <c r="R129" s="96">
        <v>0</v>
      </c>
      <c r="S129" s="96">
        <v>0.48048163999999999</v>
      </c>
      <c r="T129" s="96">
        <v>0</v>
      </c>
      <c r="U129" s="96">
        <v>0.19791599680031921</v>
      </c>
      <c r="V129" s="101"/>
      <c r="W129" s="101"/>
      <c r="AC129" s="101"/>
      <c r="AD129" s="101"/>
      <c r="AE129" s="101"/>
      <c r="AF129" s="101"/>
      <c r="AG129" s="101"/>
      <c r="AH129" s="101"/>
      <c r="AI129" s="101"/>
      <c r="AJ129" s="101"/>
      <c r="AK129" s="101"/>
      <c r="AL129" s="101"/>
      <c r="AM129" s="101"/>
      <c r="AN129" s="101"/>
      <c r="AO129" s="101"/>
      <c r="AP129" s="101"/>
      <c r="AQ129" s="101"/>
      <c r="AR129" s="101"/>
      <c r="AS129" s="101"/>
      <c r="AT129" s="101"/>
      <c r="AU129" s="101"/>
      <c r="AV129" s="101"/>
      <c r="AW129" s="101"/>
      <c r="AX129" s="101"/>
      <c r="AY129" s="101"/>
      <c r="AZ129" s="101"/>
      <c r="BA129" s="101"/>
      <c r="BB129" s="101"/>
      <c r="BC129" s="101"/>
      <c r="BD129" s="101"/>
      <c r="BE129" s="101"/>
      <c r="BF129" s="101"/>
      <c r="BG129" s="101"/>
      <c r="BH129" s="101"/>
      <c r="BI129" s="101"/>
      <c r="BJ129" s="101"/>
      <c r="BK129" s="101"/>
      <c r="BL129" s="101"/>
      <c r="BM129" s="101"/>
      <c r="BN129" s="101"/>
      <c r="BO129" s="101"/>
      <c r="BP129" s="101"/>
      <c r="BQ129" s="101"/>
      <c r="BR129" s="101"/>
      <c r="BS129" s="101"/>
      <c r="BT129" s="101"/>
      <c r="BU129" s="101"/>
      <c r="BV129" s="101"/>
    </row>
    <row r="130" spans="1:74" ht="27.95" customHeight="1" x14ac:dyDescent="0.3">
      <c r="A130" s="89"/>
      <c r="B130" s="9" t="s">
        <v>133</v>
      </c>
      <c r="C130" s="9" t="s">
        <v>134</v>
      </c>
      <c r="D130" s="9" t="str">
        <f t="shared" si="91"/>
        <v>USD</v>
      </c>
      <c r="E130" s="9" t="s">
        <v>96</v>
      </c>
      <c r="F130" s="96">
        <v>0</v>
      </c>
      <c r="G130" s="96">
        <v>0.90103471849315053</v>
      </c>
      <c r="H130" s="96">
        <v>0</v>
      </c>
      <c r="I130" s="96">
        <v>0.93727942356164362</v>
      </c>
      <c r="J130" s="96">
        <v>0</v>
      </c>
      <c r="K130" s="96">
        <v>0.77880767769863013</v>
      </c>
      <c r="L130" s="96">
        <v>0</v>
      </c>
      <c r="M130" s="96">
        <v>0.56959467090410953</v>
      </c>
      <c r="N130" s="96">
        <v>0</v>
      </c>
      <c r="O130" s="96">
        <v>0.41150012252054785</v>
      </c>
      <c r="P130" s="96">
        <v>0</v>
      </c>
      <c r="Q130" s="96">
        <v>0.36413881972602724</v>
      </c>
      <c r="R130" s="96">
        <v>0</v>
      </c>
      <c r="S130" s="96">
        <v>0.34072254246575329</v>
      </c>
      <c r="T130" s="96">
        <v>0</v>
      </c>
      <c r="U130" s="96">
        <v>0.16774519232876686</v>
      </c>
      <c r="V130" s="101"/>
      <c r="W130" s="101"/>
      <c r="AC130" s="101"/>
      <c r="AD130" s="101"/>
      <c r="AE130" s="101"/>
      <c r="AF130" s="101"/>
      <c r="AG130" s="101"/>
      <c r="AH130" s="101"/>
      <c r="AI130" s="101"/>
      <c r="AJ130" s="101"/>
      <c r="AK130" s="101"/>
      <c r="AL130" s="101"/>
      <c r="AM130" s="101"/>
      <c r="AN130" s="101"/>
      <c r="AO130" s="101"/>
      <c r="AP130" s="101"/>
      <c r="AQ130" s="101"/>
      <c r="AR130" s="101"/>
      <c r="AS130" s="101"/>
      <c r="AT130" s="101"/>
      <c r="AU130" s="101"/>
      <c r="AV130" s="101"/>
      <c r="AW130" s="101"/>
      <c r="AX130" s="101"/>
      <c r="AY130" s="101"/>
      <c r="AZ130" s="101"/>
      <c r="BA130" s="101"/>
      <c r="BB130" s="101"/>
      <c r="BC130" s="101"/>
      <c r="BD130" s="101"/>
      <c r="BE130" s="101"/>
      <c r="BF130" s="101"/>
      <c r="BG130" s="101"/>
      <c r="BH130" s="101"/>
      <c r="BI130" s="101"/>
      <c r="BJ130" s="101"/>
      <c r="BK130" s="101"/>
      <c r="BL130" s="101"/>
      <c r="BM130" s="101"/>
      <c r="BN130" s="101"/>
      <c r="BO130" s="101"/>
      <c r="BP130" s="101"/>
      <c r="BQ130" s="101"/>
      <c r="BR130" s="101"/>
      <c r="BS130" s="101"/>
      <c r="BT130" s="101"/>
      <c r="BU130" s="101"/>
      <c r="BV130" s="101"/>
    </row>
    <row r="131" spans="1:74" ht="27.95" customHeight="1" x14ac:dyDescent="0.3">
      <c r="A131" s="89"/>
      <c r="B131" s="9" t="s">
        <v>21</v>
      </c>
      <c r="C131" s="9" t="s">
        <v>22</v>
      </c>
      <c r="D131" s="9" t="str">
        <f t="shared" si="91"/>
        <v>USD</v>
      </c>
      <c r="E131" s="9" t="s">
        <v>96</v>
      </c>
      <c r="F131" s="96">
        <v>0</v>
      </c>
      <c r="G131" s="96">
        <v>0.74662721871616344</v>
      </c>
      <c r="H131" s="96">
        <v>0</v>
      </c>
      <c r="I131" s="96">
        <v>0.56172114185930155</v>
      </c>
      <c r="J131" s="96">
        <v>0</v>
      </c>
      <c r="K131" s="96">
        <v>0.21304855566725805</v>
      </c>
      <c r="L131" s="96">
        <v>0</v>
      </c>
      <c r="M131" s="96">
        <v>0</v>
      </c>
      <c r="N131" s="96">
        <v>0</v>
      </c>
      <c r="O131" s="96">
        <v>0</v>
      </c>
      <c r="P131" s="96">
        <v>0</v>
      </c>
      <c r="Q131" s="96">
        <v>0</v>
      </c>
      <c r="R131" s="96">
        <v>0</v>
      </c>
      <c r="S131" s="96">
        <v>0</v>
      </c>
      <c r="T131" s="96">
        <v>0</v>
      </c>
      <c r="U131" s="96">
        <v>0</v>
      </c>
      <c r="V131" s="101"/>
      <c r="W131" s="101"/>
      <c r="AC131" s="101"/>
      <c r="AD131" s="101"/>
      <c r="AE131" s="101"/>
      <c r="AF131" s="101"/>
      <c r="AG131" s="101"/>
      <c r="AH131" s="101"/>
      <c r="AI131" s="101"/>
      <c r="AJ131" s="101"/>
      <c r="AK131" s="101"/>
      <c r="AL131" s="101"/>
      <c r="AM131" s="101"/>
      <c r="AN131" s="101"/>
      <c r="AO131" s="101"/>
      <c r="AP131" s="101"/>
      <c r="AQ131" s="101"/>
      <c r="AR131" s="101"/>
      <c r="AS131" s="101"/>
      <c r="AT131" s="101"/>
      <c r="AU131" s="101"/>
      <c r="AV131" s="101"/>
      <c r="AW131" s="101"/>
      <c r="AX131" s="101"/>
      <c r="AY131" s="101"/>
      <c r="AZ131" s="101"/>
      <c r="BA131" s="101"/>
      <c r="BB131" s="101"/>
      <c r="BC131" s="101"/>
      <c r="BD131" s="101"/>
      <c r="BE131" s="101"/>
      <c r="BF131" s="101"/>
      <c r="BG131" s="101"/>
      <c r="BH131" s="101"/>
      <c r="BI131" s="101"/>
      <c r="BJ131" s="101"/>
      <c r="BK131" s="101"/>
      <c r="BL131" s="101"/>
      <c r="BM131" s="101"/>
      <c r="BN131" s="101"/>
      <c r="BO131" s="101"/>
      <c r="BP131" s="101"/>
      <c r="BQ131" s="101"/>
      <c r="BR131" s="101"/>
      <c r="BS131" s="101"/>
      <c r="BT131" s="101"/>
      <c r="BU131" s="101"/>
      <c r="BV131" s="101"/>
    </row>
    <row r="132" spans="1:74" ht="27.95" customHeight="1" x14ac:dyDescent="0.3">
      <c r="A132" s="89"/>
      <c r="B132" s="9" t="s">
        <v>27</v>
      </c>
      <c r="C132" s="9" t="s">
        <v>28</v>
      </c>
      <c r="D132" s="9" t="str">
        <f t="shared" si="91"/>
        <v>USD</v>
      </c>
      <c r="E132" s="9" t="s">
        <v>96</v>
      </c>
      <c r="F132" s="96">
        <v>0</v>
      </c>
      <c r="G132" s="96">
        <v>0.573691036657211</v>
      </c>
      <c r="H132" s="96">
        <v>0</v>
      </c>
      <c r="I132" s="96">
        <v>0.71383475525792728</v>
      </c>
      <c r="J132" s="96">
        <v>0</v>
      </c>
      <c r="K132" s="96">
        <v>0.57319407988895621</v>
      </c>
      <c r="L132" s="96">
        <v>0</v>
      </c>
      <c r="M132" s="96">
        <v>0.41991049859122337</v>
      </c>
      <c r="N132" s="96">
        <v>0</v>
      </c>
      <c r="O132" s="96">
        <v>0.29633918548473076</v>
      </c>
      <c r="P132" s="96">
        <v>0</v>
      </c>
      <c r="Q132" s="96">
        <v>0.25681485322222264</v>
      </c>
      <c r="R132" s="96">
        <v>0</v>
      </c>
      <c r="S132" s="96">
        <v>0.23728141472985725</v>
      </c>
      <c r="T132" s="96">
        <v>0</v>
      </c>
      <c r="U132" s="96">
        <v>0.11199231371399899</v>
      </c>
      <c r="V132" s="101"/>
      <c r="W132" s="101"/>
      <c r="AC132" s="101"/>
      <c r="AD132" s="101"/>
      <c r="AE132" s="101"/>
      <c r="AF132" s="101"/>
      <c r="AG132" s="101"/>
      <c r="AH132" s="101"/>
      <c r="AI132" s="101"/>
      <c r="AJ132" s="101"/>
      <c r="AK132" s="101"/>
      <c r="AL132" s="101"/>
      <c r="AM132" s="101"/>
      <c r="AN132" s="101"/>
      <c r="AO132" s="101"/>
      <c r="AP132" s="101"/>
      <c r="AQ132" s="101"/>
      <c r="AR132" s="101"/>
      <c r="AS132" s="101"/>
      <c r="AT132" s="101"/>
      <c r="AU132" s="101"/>
      <c r="AV132" s="101"/>
      <c r="AW132" s="101"/>
      <c r="AX132" s="101"/>
      <c r="AY132" s="101"/>
      <c r="AZ132" s="101"/>
      <c r="BA132" s="101"/>
      <c r="BB132" s="101"/>
      <c r="BC132" s="101"/>
      <c r="BD132" s="101"/>
      <c r="BE132" s="101"/>
      <c r="BF132" s="101"/>
      <c r="BG132" s="101"/>
      <c r="BH132" s="101"/>
      <c r="BI132" s="101"/>
      <c r="BJ132" s="101"/>
      <c r="BK132" s="101"/>
      <c r="BL132" s="101"/>
      <c r="BM132" s="101"/>
      <c r="BN132" s="101"/>
      <c r="BO132" s="101"/>
      <c r="BP132" s="101"/>
      <c r="BQ132" s="101"/>
      <c r="BR132" s="101"/>
      <c r="BS132" s="101"/>
      <c r="BT132" s="101"/>
      <c r="BU132" s="101"/>
      <c r="BV132" s="101"/>
    </row>
    <row r="133" spans="1:74" ht="27.95" customHeight="1" x14ac:dyDescent="0.3">
      <c r="A133" s="89"/>
      <c r="B133" s="9" t="s">
        <v>25</v>
      </c>
      <c r="C133" s="9" t="s">
        <v>26</v>
      </c>
      <c r="D133" s="9" t="str">
        <f t="shared" si="91"/>
        <v>USD</v>
      </c>
      <c r="E133" s="9" t="s">
        <v>96</v>
      </c>
      <c r="F133" s="96">
        <v>0</v>
      </c>
      <c r="G133" s="96">
        <v>0.2232498432300685</v>
      </c>
      <c r="H133" s="96">
        <v>0</v>
      </c>
      <c r="I133" s="96">
        <v>0.25602781930812718</v>
      </c>
      <c r="J133" s="96">
        <v>0</v>
      </c>
      <c r="K133" s="96">
        <v>0.1956603546790685</v>
      </c>
      <c r="L133" s="96">
        <v>0</v>
      </c>
      <c r="M133" s="96">
        <v>0.13723980299930316</v>
      </c>
      <c r="N133" s="96">
        <v>0</v>
      </c>
      <c r="O133" s="96">
        <v>9.3702461859865735E-2</v>
      </c>
      <c r="P133" s="96">
        <v>0</v>
      </c>
      <c r="Q133" s="96">
        <v>7.3469327235510196E-2</v>
      </c>
      <c r="R133" s="96">
        <v>0</v>
      </c>
      <c r="S133" s="96">
        <v>5.7711788834360483E-2</v>
      </c>
      <c r="T133" s="96">
        <v>0</v>
      </c>
      <c r="U133" s="96">
        <v>2.6929355657358753E-2</v>
      </c>
      <c r="V133" s="101"/>
      <c r="W133" s="101"/>
      <c r="AC133" s="101"/>
      <c r="AD133" s="101"/>
      <c r="AE133" s="101"/>
      <c r="AF133" s="101"/>
      <c r="AG133" s="101"/>
      <c r="AH133" s="101"/>
      <c r="AI133" s="101"/>
      <c r="AJ133" s="101"/>
      <c r="AK133" s="101"/>
      <c r="AL133" s="101"/>
      <c r="AM133" s="101"/>
      <c r="AN133" s="101"/>
      <c r="AO133" s="101"/>
      <c r="AP133" s="101"/>
      <c r="AQ133" s="101"/>
      <c r="AR133" s="101"/>
      <c r="AS133" s="101"/>
      <c r="AT133" s="101"/>
      <c r="AU133" s="101"/>
      <c r="AV133" s="101"/>
      <c r="AW133" s="101"/>
      <c r="AX133" s="101"/>
      <c r="AY133" s="101"/>
      <c r="AZ133" s="101"/>
      <c r="BA133" s="101"/>
      <c r="BB133" s="101"/>
      <c r="BC133" s="101"/>
      <c r="BD133" s="101"/>
      <c r="BE133" s="101"/>
      <c r="BF133" s="101"/>
      <c r="BG133" s="101"/>
      <c r="BH133" s="101"/>
      <c r="BI133" s="101"/>
      <c r="BJ133" s="101"/>
      <c r="BK133" s="101"/>
      <c r="BL133" s="101"/>
      <c r="BM133" s="101"/>
      <c r="BN133" s="101"/>
      <c r="BO133" s="101"/>
      <c r="BP133" s="101"/>
      <c r="BQ133" s="101"/>
      <c r="BR133" s="101"/>
      <c r="BS133" s="101"/>
      <c r="BT133" s="101"/>
      <c r="BU133" s="101"/>
      <c r="BV133" s="101"/>
    </row>
    <row r="134" spans="1:74" ht="27.95" customHeight="1" x14ac:dyDescent="0.3">
      <c r="A134" s="89"/>
      <c r="B134" s="9" t="s">
        <v>157</v>
      </c>
      <c r="C134" s="9" t="s">
        <v>158</v>
      </c>
      <c r="D134" s="9" t="s">
        <v>103</v>
      </c>
      <c r="E134" s="9" t="s">
        <v>96</v>
      </c>
      <c r="F134" s="96">
        <v>0</v>
      </c>
      <c r="G134" s="96">
        <v>9.1411902900425168E-2</v>
      </c>
      <c r="H134" s="96">
        <v>0</v>
      </c>
      <c r="I134" s="96">
        <v>0.26399584993503999</v>
      </c>
      <c r="J134" s="96">
        <v>0</v>
      </c>
      <c r="K134" s="96">
        <v>0.24377466148096719</v>
      </c>
      <c r="L134" s="96">
        <v>0</v>
      </c>
      <c r="M134" s="96">
        <v>0.18814763756310618</v>
      </c>
      <c r="N134" s="96">
        <v>0</v>
      </c>
      <c r="O134" s="96">
        <v>0.13012363654940928</v>
      </c>
      <c r="P134" s="96">
        <v>0</v>
      </c>
      <c r="Q134" s="96">
        <v>0.10908488498110749</v>
      </c>
      <c r="R134" s="96">
        <v>0</v>
      </c>
      <c r="S134" s="96">
        <v>9.7035934306880053E-2</v>
      </c>
      <c r="T134" s="96">
        <v>0</v>
      </c>
      <c r="U134" s="96">
        <v>4.4144584656043311E-2</v>
      </c>
      <c r="V134" s="101"/>
      <c r="W134" s="101"/>
      <c r="AC134" s="101"/>
      <c r="AD134" s="101"/>
      <c r="AE134" s="101"/>
      <c r="AF134" s="101"/>
      <c r="AG134" s="101"/>
      <c r="AH134" s="101"/>
      <c r="AI134" s="101"/>
      <c r="AJ134" s="101"/>
      <c r="AK134" s="101"/>
      <c r="AL134" s="101"/>
      <c r="AM134" s="101"/>
      <c r="AN134" s="101"/>
      <c r="AO134" s="101"/>
      <c r="AP134" s="101"/>
      <c r="AQ134" s="101"/>
      <c r="AR134" s="101"/>
      <c r="AS134" s="101"/>
      <c r="AT134" s="101"/>
      <c r="AU134" s="101"/>
      <c r="AV134" s="101"/>
      <c r="AW134" s="101"/>
      <c r="AX134" s="101"/>
      <c r="AY134" s="101"/>
      <c r="AZ134" s="101"/>
      <c r="BA134" s="101"/>
      <c r="BB134" s="101"/>
      <c r="BC134" s="101"/>
      <c r="BD134" s="101"/>
      <c r="BE134" s="101"/>
      <c r="BF134" s="101"/>
      <c r="BG134" s="101"/>
      <c r="BH134" s="101"/>
      <c r="BI134" s="101"/>
      <c r="BJ134" s="101"/>
      <c r="BK134" s="101"/>
      <c r="BL134" s="101"/>
      <c r="BM134" s="101"/>
      <c r="BN134" s="101"/>
      <c r="BO134" s="101"/>
      <c r="BP134" s="101"/>
      <c r="BQ134" s="101"/>
      <c r="BR134" s="101"/>
      <c r="BS134" s="101"/>
      <c r="BT134" s="101"/>
      <c r="BU134" s="101"/>
      <c r="BV134" s="101"/>
    </row>
    <row r="135" spans="1:74" ht="27.95" customHeight="1" x14ac:dyDescent="0.3">
      <c r="A135" s="89"/>
      <c r="B135" s="9" t="s">
        <v>31</v>
      </c>
      <c r="C135" s="9" t="s">
        <v>32</v>
      </c>
      <c r="D135" s="9" t="str">
        <f>+VLOOKUP($C135,$C$10:$D$45,2,FALSE)</f>
        <v>USD</v>
      </c>
      <c r="E135" s="9" t="s">
        <v>96</v>
      </c>
      <c r="F135" s="96">
        <v>0</v>
      </c>
      <c r="G135" s="96">
        <v>6.33053E-3</v>
      </c>
      <c r="H135" s="96">
        <v>0</v>
      </c>
      <c r="I135" s="96">
        <v>5.7740100000000004E-3</v>
      </c>
      <c r="J135" s="96">
        <v>0</v>
      </c>
      <c r="K135" s="96">
        <v>5.2174700000000001E-3</v>
      </c>
      <c r="L135" s="96">
        <v>0</v>
      </c>
      <c r="M135" s="96">
        <v>4.6609400000000006E-3</v>
      </c>
      <c r="N135" s="96">
        <v>0</v>
      </c>
      <c r="O135" s="96">
        <v>4.1044100000000002E-3</v>
      </c>
      <c r="P135" s="96">
        <v>0</v>
      </c>
      <c r="Q135" s="96">
        <v>3.5478900000000002E-3</v>
      </c>
      <c r="R135" s="96">
        <v>0</v>
      </c>
      <c r="S135" s="96">
        <v>2.9913499999999998E-3</v>
      </c>
      <c r="T135" s="96">
        <v>0</v>
      </c>
      <c r="U135" s="96">
        <v>1.3217599999999995E-3</v>
      </c>
      <c r="V135" s="101"/>
      <c r="W135" s="101"/>
      <c r="AC135" s="101"/>
      <c r="AD135" s="101"/>
      <c r="AE135" s="101"/>
      <c r="AF135" s="101"/>
      <c r="AG135" s="101"/>
      <c r="AH135" s="101"/>
      <c r="AI135" s="101"/>
      <c r="AJ135" s="101"/>
      <c r="AK135" s="101"/>
      <c r="AL135" s="101"/>
      <c r="AM135" s="101"/>
      <c r="AN135" s="101"/>
      <c r="AO135" s="101"/>
      <c r="AP135" s="101"/>
      <c r="AQ135" s="101"/>
      <c r="AR135" s="101"/>
      <c r="AS135" s="101"/>
      <c r="AT135" s="101"/>
      <c r="AU135" s="101"/>
      <c r="AV135" s="101"/>
      <c r="AW135" s="101"/>
      <c r="AX135" s="101"/>
      <c r="AY135" s="101"/>
      <c r="AZ135" s="101"/>
      <c r="BA135" s="101"/>
      <c r="BB135" s="101"/>
      <c r="BC135" s="101"/>
      <c r="BD135" s="101"/>
      <c r="BE135" s="101"/>
      <c r="BF135" s="101"/>
      <c r="BG135" s="101"/>
      <c r="BH135" s="101"/>
      <c r="BI135" s="101"/>
      <c r="BJ135" s="101"/>
      <c r="BK135" s="101"/>
      <c r="BL135" s="101"/>
      <c r="BM135" s="101"/>
      <c r="BN135" s="101"/>
      <c r="BO135" s="101"/>
      <c r="BP135" s="101"/>
      <c r="BQ135" s="101"/>
      <c r="BR135" s="101"/>
      <c r="BS135" s="101"/>
      <c r="BT135" s="101"/>
      <c r="BU135" s="101"/>
      <c r="BV135" s="101"/>
    </row>
    <row r="136" spans="1:74" ht="27.95" customHeight="1" x14ac:dyDescent="0.3">
      <c r="A136" s="89"/>
      <c r="B136" s="9" t="s">
        <v>29</v>
      </c>
      <c r="C136" s="9" t="s">
        <v>30</v>
      </c>
      <c r="D136" s="9" t="str">
        <f>+VLOOKUP($C136,$C$10:$D$45,2,FALSE)</f>
        <v>USD</v>
      </c>
      <c r="E136" s="9" t="s">
        <v>96</v>
      </c>
      <c r="F136" s="96">
        <v>0</v>
      </c>
      <c r="G136" s="96">
        <v>2.2974911771781778E-2</v>
      </c>
      <c r="H136" s="96">
        <v>0</v>
      </c>
      <c r="I136" s="96">
        <v>9.8772226948189417E-3</v>
      </c>
      <c r="J136" s="96">
        <v>0</v>
      </c>
      <c r="K136" s="96">
        <v>0</v>
      </c>
      <c r="L136" s="96">
        <v>0</v>
      </c>
      <c r="M136" s="96">
        <v>0</v>
      </c>
      <c r="N136" s="96">
        <v>0</v>
      </c>
      <c r="O136" s="96">
        <v>0</v>
      </c>
      <c r="P136" s="96">
        <v>0</v>
      </c>
      <c r="Q136" s="96">
        <v>0</v>
      </c>
      <c r="R136" s="96">
        <v>0</v>
      </c>
      <c r="S136" s="96">
        <v>0</v>
      </c>
      <c r="T136" s="96">
        <v>0</v>
      </c>
      <c r="U136" s="96">
        <v>0</v>
      </c>
      <c r="V136" s="101"/>
      <c r="W136" s="101"/>
      <c r="AC136" s="101"/>
      <c r="AD136" s="101"/>
      <c r="AE136" s="101"/>
      <c r="AF136" s="101"/>
      <c r="AG136" s="101"/>
      <c r="AH136" s="101"/>
      <c r="AI136" s="101"/>
      <c r="AJ136" s="101"/>
      <c r="AK136" s="101"/>
      <c r="AL136" s="101"/>
      <c r="AM136" s="101"/>
      <c r="AN136" s="101"/>
      <c r="AO136" s="101"/>
      <c r="AP136" s="101"/>
      <c r="AQ136" s="101"/>
      <c r="AR136" s="101"/>
      <c r="AS136" s="101"/>
      <c r="AT136" s="101"/>
      <c r="AU136" s="101"/>
      <c r="AV136" s="101"/>
      <c r="AW136" s="101"/>
      <c r="AX136" s="101"/>
      <c r="AY136" s="101"/>
      <c r="AZ136" s="101"/>
      <c r="BA136" s="101"/>
      <c r="BB136" s="101"/>
      <c r="BC136" s="101"/>
      <c r="BD136" s="101"/>
      <c r="BE136" s="101"/>
      <c r="BF136" s="101"/>
      <c r="BG136" s="101"/>
      <c r="BH136" s="101"/>
      <c r="BI136" s="101"/>
      <c r="BJ136" s="101"/>
      <c r="BK136" s="101"/>
      <c r="BL136" s="101"/>
      <c r="BM136" s="101"/>
      <c r="BN136" s="101"/>
      <c r="BO136" s="101"/>
      <c r="BP136" s="101"/>
      <c r="BQ136" s="101"/>
      <c r="BR136" s="101"/>
      <c r="BS136" s="101"/>
      <c r="BT136" s="101"/>
      <c r="BU136" s="101"/>
      <c r="BV136" s="101"/>
    </row>
    <row r="137" spans="1:74" ht="27.95" customHeight="1" x14ac:dyDescent="0.3">
      <c r="A137" s="89"/>
      <c r="B137" s="9" t="s">
        <v>33</v>
      </c>
      <c r="C137" s="9" t="s">
        <v>34</v>
      </c>
      <c r="D137" s="9" t="str">
        <f>+VLOOKUP($C137,$C$10:$D$45,2,FALSE)</f>
        <v>USD</v>
      </c>
      <c r="E137" s="9" t="s">
        <v>96</v>
      </c>
      <c r="F137" s="96">
        <v>0</v>
      </c>
      <c r="G137" s="96">
        <v>2.00826E-3</v>
      </c>
      <c r="H137" s="96">
        <v>0</v>
      </c>
      <c r="I137" s="96">
        <v>0</v>
      </c>
      <c r="J137" s="96">
        <v>0</v>
      </c>
      <c r="K137" s="96">
        <v>0</v>
      </c>
      <c r="L137" s="96">
        <v>0</v>
      </c>
      <c r="M137" s="96">
        <v>0</v>
      </c>
      <c r="N137" s="96">
        <v>0</v>
      </c>
      <c r="O137" s="96">
        <v>0</v>
      </c>
      <c r="P137" s="96">
        <v>0</v>
      </c>
      <c r="Q137" s="96">
        <v>0</v>
      </c>
      <c r="R137" s="96">
        <v>0</v>
      </c>
      <c r="S137" s="96">
        <v>0</v>
      </c>
      <c r="T137" s="96">
        <v>0</v>
      </c>
      <c r="U137" s="96">
        <v>0</v>
      </c>
      <c r="V137" s="101"/>
      <c r="W137" s="101"/>
      <c r="AC137" s="101"/>
      <c r="AD137" s="101"/>
      <c r="AE137" s="101"/>
      <c r="AF137" s="101"/>
      <c r="AG137" s="101"/>
      <c r="AH137" s="101"/>
      <c r="AI137" s="101"/>
      <c r="AJ137" s="101"/>
      <c r="AK137" s="101"/>
      <c r="AL137" s="101"/>
      <c r="AM137" s="101"/>
      <c r="AN137" s="101"/>
      <c r="AO137" s="101"/>
      <c r="AP137" s="101"/>
      <c r="AQ137" s="101"/>
      <c r="AR137" s="101"/>
      <c r="AS137" s="101"/>
      <c r="AT137" s="101"/>
      <c r="AU137" s="101"/>
      <c r="AV137" s="101"/>
      <c r="AW137" s="101"/>
      <c r="AX137" s="101"/>
      <c r="AY137" s="101"/>
      <c r="AZ137" s="101"/>
      <c r="BA137" s="101"/>
      <c r="BB137" s="101"/>
      <c r="BC137" s="101"/>
      <c r="BD137" s="101"/>
      <c r="BE137" s="101"/>
      <c r="BF137" s="101"/>
      <c r="BG137" s="101"/>
      <c r="BH137" s="101"/>
      <c r="BI137" s="101"/>
      <c r="BJ137" s="101"/>
      <c r="BK137" s="101"/>
      <c r="BL137" s="101"/>
      <c r="BM137" s="101"/>
      <c r="BN137" s="101"/>
      <c r="BO137" s="101"/>
      <c r="BP137" s="101"/>
      <c r="BQ137" s="101"/>
      <c r="BR137" s="101"/>
      <c r="BS137" s="101"/>
      <c r="BT137" s="101"/>
      <c r="BU137" s="101"/>
      <c r="BV137" s="101"/>
    </row>
    <row r="138" spans="1:74" ht="27.95" customHeight="1" x14ac:dyDescent="0.3">
      <c r="A138" s="89"/>
      <c r="B138" s="19" t="s">
        <v>35</v>
      </c>
      <c r="C138" s="19"/>
      <c r="D138" s="19"/>
      <c r="E138" s="19"/>
      <c r="F138" s="100">
        <f t="shared" ref="F138:T138" si="92">+SUM(F139:F141)</f>
        <v>0</v>
      </c>
      <c r="G138" s="100">
        <f t="shared" si="92"/>
        <v>1.5612516465563717</v>
      </c>
      <c r="H138" s="100">
        <f t="shared" si="92"/>
        <v>0</v>
      </c>
      <c r="I138" s="100">
        <f t="shared" si="92"/>
        <v>2.2088720159209405</v>
      </c>
      <c r="J138" s="100">
        <f t="shared" si="92"/>
        <v>0</v>
      </c>
      <c r="K138" s="100">
        <f t="shared" si="92"/>
        <v>1.8754288632601728</v>
      </c>
      <c r="L138" s="100">
        <f t="shared" si="92"/>
        <v>0</v>
      </c>
      <c r="M138" s="100">
        <f t="shared" si="92"/>
        <v>1.4188766183762109</v>
      </c>
      <c r="N138" s="100">
        <f t="shared" si="92"/>
        <v>0</v>
      </c>
      <c r="O138" s="100">
        <f t="shared" si="92"/>
        <v>1.0046571624181595</v>
      </c>
      <c r="P138" s="100">
        <f t="shared" si="92"/>
        <v>0</v>
      </c>
      <c r="Q138" s="100">
        <f t="shared" si="92"/>
        <v>0.87017858928494229</v>
      </c>
      <c r="R138" s="100">
        <f t="shared" si="92"/>
        <v>0</v>
      </c>
      <c r="S138" s="100">
        <f t="shared" si="92"/>
        <v>0.78507098095601391</v>
      </c>
      <c r="T138" s="100">
        <f t="shared" si="92"/>
        <v>0</v>
      </c>
      <c r="U138" s="100">
        <f>+SUM(U139:U141)</f>
        <v>0.38223164148838579</v>
      </c>
      <c r="V138" s="141"/>
      <c r="W138" s="141"/>
      <c r="AC138" s="141"/>
      <c r="AD138" s="141"/>
      <c r="AE138" s="141"/>
      <c r="AF138" s="141"/>
      <c r="AG138" s="141"/>
      <c r="AH138" s="141"/>
      <c r="AI138" s="141"/>
      <c r="AJ138" s="141"/>
      <c r="AK138" s="141"/>
      <c r="AL138" s="141"/>
      <c r="AM138" s="141"/>
      <c r="AN138" s="141"/>
      <c r="AO138" s="141"/>
      <c r="AP138" s="141"/>
      <c r="AQ138" s="141"/>
      <c r="AR138" s="141"/>
      <c r="AS138" s="141"/>
      <c r="AT138" s="141"/>
      <c r="AU138" s="141"/>
      <c r="AV138" s="141"/>
      <c r="AW138" s="141"/>
      <c r="AX138" s="141"/>
      <c r="AY138" s="141"/>
      <c r="AZ138" s="141"/>
      <c r="BA138" s="141"/>
      <c r="BB138" s="141"/>
      <c r="BC138" s="141"/>
      <c r="BD138" s="141"/>
      <c r="BE138" s="141"/>
      <c r="BF138" s="141"/>
      <c r="BG138" s="141"/>
      <c r="BH138" s="141"/>
      <c r="BI138" s="141"/>
      <c r="BJ138" s="141"/>
      <c r="BK138" s="141"/>
      <c r="BL138" s="141"/>
      <c r="BM138" s="141"/>
      <c r="BN138" s="141"/>
      <c r="BO138" s="141"/>
      <c r="BP138" s="141"/>
      <c r="BQ138" s="141"/>
      <c r="BR138" s="141"/>
      <c r="BS138" s="141"/>
      <c r="BT138" s="141"/>
      <c r="BU138" s="141"/>
      <c r="BV138" s="141"/>
    </row>
    <row r="139" spans="1:74" ht="27.95" customHeight="1" x14ac:dyDescent="0.3">
      <c r="A139" s="89"/>
      <c r="B139" s="9" t="s">
        <v>36</v>
      </c>
      <c r="C139" s="9" t="s">
        <v>37</v>
      </c>
      <c r="D139" s="9" t="str">
        <f>+VLOOKUP($C139,$C$10:$D$45,2,FALSE)</f>
        <v>USD</v>
      </c>
      <c r="E139" s="9" t="s">
        <v>96</v>
      </c>
      <c r="F139" s="96">
        <v>0</v>
      </c>
      <c r="G139" s="96">
        <v>1.343604344339403</v>
      </c>
      <c r="H139" s="96">
        <v>0</v>
      </c>
      <c r="I139" s="96">
        <v>1.8848910960215401</v>
      </c>
      <c r="J139" s="96">
        <v>0</v>
      </c>
      <c r="K139" s="96">
        <v>1.572409134124422</v>
      </c>
      <c r="L139" s="96">
        <v>0</v>
      </c>
      <c r="M139" s="96">
        <v>1.1870880767211658</v>
      </c>
      <c r="N139" s="96">
        <v>0</v>
      </c>
      <c r="O139" s="96">
        <v>0.8437800951787634</v>
      </c>
      <c r="P139" s="96">
        <v>0</v>
      </c>
      <c r="Q139" s="96">
        <v>0.74025019866413622</v>
      </c>
      <c r="R139" s="96">
        <v>0</v>
      </c>
      <c r="S139" s="96">
        <v>0.66949928999669472</v>
      </c>
      <c r="T139" s="96">
        <v>0</v>
      </c>
      <c r="U139" s="96">
        <v>0.32630302351440921</v>
      </c>
      <c r="V139" s="101"/>
      <c r="W139" s="101"/>
      <c r="AC139" s="101"/>
      <c r="AD139" s="101"/>
      <c r="AE139" s="101"/>
      <c r="AF139" s="101"/>
      <c r="AG139" s="101"/>
      <c r="AH139" s="101"/>
      <c r="AI139" s="101"/>
      <c r="AJ139" s="101"/>
      <c r="AK139" s="101"/>
      <c r="AL139" s="101"/>
      <c r="AM139" s="101"/>
      <c r="AN139" s="101"/>
      <c r="AO139" s="101"/>
      <c r="AP139" s="101"/>
      <c r="AQ139" s="101"/>
      <c r="AR139" s="101"/>
      <c r="AS139" s="101"/>
      <c r="AT139" s="101"/>
      <c r="AU139" s="101"/>
      <c r="AV139" s="101"/>
      <c r="AW139" s="101"/>
      <c r="AX139" s="101"/>
      <c r="AY139" s="101"/>
      <c r="AZ139" s="101"/>
      <c r="BA139" s="101"/>
      <c r="BB139" s="101"/>
      <c r="BC139" s="101"/>
      <c r="BD139" s="101"/>
      <c r="BE139" s="101"/>
      <c r="BF139" s="101"/>
      <c r="BG139" s="101"/>
      <c r="BH139" s="101"/>
      <c r="BI139" s="101"/>
      <c r="BJ139" s="101"/>
      <c r="BK139" s="101"/>
      <c r="BL139" s="101"/>
      <c r="BM139" s="101"/>
      <c r="BN139" s="101"/>
      <c r="BO139" s="101"/>
      <c r="BP139" s="101"/>
      <c r="BQ139" s="101"/>
      <c r="BR139" s="101"/>
      <c r="BS139" s="101"/>
      <c r="BT139" s="101"/>
      <c r="BU139" s="101"/>
      <c r="BV139" s="101"/>
    </row>
    <row r="140" spans="1:74" ht="27.95" customHeight="1" x14ac:dyDescent="0.3">
      <c r="A140" s="89"/>
      <c r="B140" s="9" t="s">
        <v>186</v>
      </c>
      <c r="C140" s="9" t="s">
        <v>187</v>
      </c>
      <c r="D140" s="9" t="s">
        <v>103</v>
      </c>
      <c r="E140" s="9" t="s">
        <v>96</v>
      </c>
      <c r="F140" s="96">
        <v>0</v>
      </c>
      <c r="G140" s="96">
        <v>0.21712936885735382</v>
      </c>
      <c r="H140" s="96">
        <v>0</v>
      </c>
      <c r="I140" s="96">
        <v>0.29969857647990888</v>
      </c>
      <c r="J140" s="96">
        <v>0</v>
      </c>
      <c r="K140" s="96">
        <v>0.28059733102416073</v>
      </c>
      <c r="L140" s="96">
        <v>0</v>
      </c>
      <c r="M140" s="96">
        <v>0.21353151202628551</v>
      </c>
      <c r="N140" s="96">
        <v>0</v>
      </c>
      <c r="O140" s="96">
        <v>0.14759387138514812</v>
      </c>
      <c r="P140" s="96">
        <v>0</v>
      </c>
      <c r="Q140" s="96">
        <v>0.11810773396267125</v>
      </c>
      <c r="R140" s="96">
        <v>0</v>
      </c>
      <c r="S140" s="96">
        <v>0.10431251456790577</v>
      </c>
      <c r="T140" s="96">
        <v>0</v>
      </c>
      <c r="U140" s="96">
        <v>5.0491135309642048E-2</v>
      </c>
      <c r="V140" s="101"/>
      <c r="W140" s="101"/>
      <c r="AC140" s="101"/>
      <c r="AD140" s="101"/>
      <c r="AE140" s="101"/>
      <c r="AF140" s="101"/>
      <c r="AG140" s="101"/>
      <c r="AH140" s="101"/>
      <c r="AI140" s="101"/>
      <c r="AJ140" s="101"/>
      <c r="AK140" s="101"/>
      <c r="AL140" s="101"/>
      <c r="AM140" s="101"/>
      <c r="AN140" s="101"/>
      <c r="AO140" s="101"/>
      <c r="AP140" s="101"/>
      <c r="AQ140" s="101"/>
      <c r="AR140" s="101"/>
      <c r="AS140" s="101"/>
      <c r="AT140" s="101"/>
      <c r="AU140" s="101"/>
      <c r="AV140" s="101"/>
      <c r="AW140" s="101"/>
      <c r="AX140" s="101"/>
      <c r="AY140" s="101"/>
      <c r="AZ140" s="101"/>
      <c r="BA140" s="101"/>
      <c r="BB140" s="101"/>
      <c r="BC140" s="101"/>
      <c r="BD140" s="101"/>
      <c r="BE140" s="101"/>
      <c r="BF140" s="101"/>
      <c r="BG140" s="101"/>
      <c r="BH140" s="101"/>
      <c r="BI140" s="101"/>
      <c r="BJ140" s="101"/>
      <c r="BK140" s="101"/>
      <c r="BL140" s="101"/>
      <c r="BM140" s="101"/>
      <c r="BN140" s="101"/>
      <c r="BO140" s="101"/>
      <c r="BP140" s="101"/>
      <c r="BQ140" s="101"/>
      <c r="BR140" s="101"/>
      <c r="BS140" s="101"/>
      <c r="BT140" s="101"/>
      <c r="BU140" s="101"/>
      <c r="BV140" s="101"/>
    </row>
    <row r="141" spans="1:74" ht="27.75" customHeight="1" x14ac:dyDescent="0.3">
      <c r="A141" s="89"/>
      <c r="B141" s="9" t="s">
        <v>159</v>
      </c>
      <c r="C141" s="9" t="s">
        <v>160</v>
      </c>
      <c r="D141" s="9" t="s">
        <v>103</v>
      </c>
      <c r="E141" s="9" t="s">
        <v>96</v>
      </c>
      <c r="F141" s="96">
        <v>0</v>
      </c>
      <c r="G141" s="96">
        <v>5.1793335961482754E-4</v>
      </c>
      <c r="H141" s="96">
        <v>0</v>
      </c>
      <c r="I141" s="96">
        <v>2.4282343419491269E-2</v>
      </c>
      <c r="J141" s="96">
        <v>0</v>
      </c>
      <c r="K141" s="96">
        <v>2.2422398111590146E-2</v>
      </c>
      <c r="L141" s="96">
        <v>0</v>
      </c>
      <c r="M141" s="96">
        <v>1.8257029628759743E-2</v>
      </c>
      <c r="N141" s="96">
        <v>0</v>
      </c>
      <c r="O141" s="96">
        <v>1.3283195854248071E-2</v>
      </c>
      <c r="P141" s="96">
        <v>0</v>
      </c>
      <c r="Q141" s="96">
        <v>1.1820656658134769E-2</v>
      </c>
      <c r="R141" s="96">
        <v>0</v>
      </c>
      <c r="S141" s="96">
        <v>1.1259176391413392E-2</v>
      </c>
      <c r="T141" s="96">
        <v>0</v>
      </c>
      <c r="U141" s="96">
        <v>5.4374826643345245E-3</v>
      </c>
      <c r="V141" s="101"/>
      <c r="W141" s="101"/>
      <c r="AC141" s="101"/>
      <c r="AD141" s="101"/>
      <c r="AE141" s="101"/>
      <c r="AF141" s="101"/>
      <c r="AG141" s="101"/>
      <c r="AH141" s="101"/>
      <c r="AI141" s="101"/>
      <c r="AJ141" s="101"/>
      <c r="AK141" s="101"/>
      <c r="AL141" s="101"/>
      <c r="AM141" s="101"/>
      <c r="AN141" s="101"/>
      <c r="AO141" s="101"/>
      <c r="AP141" s="101"/>
      <c r="AQ141" s="101"/>
      <c r="AR141" s="101"/>
      <c r="AS141" s="101"/>
      <c r="AT141" s="101"/>
      <c r="AU141" s="101"/>
      <c r="AV141" s="101"/>
      <c r="AW141" s="101"/>
      <c r="AX141" s="101"/>
      <c r="AY141" s="101"/>
      <c r="AZ141" s="101"/>
      <c r="BA141" s="101"/>
      <c r="BB141" s="101"/>
      <c r="BC141" s="101"/>
      <c r="BD141" s="101"/>
      <c r="BE141" s="101"/>
      <c r="BF141" s="101"/>
      <c r="BG141" s="101"/>
      <c r="BH141" s="101"/>
      <c r="BI141" s="101"/>
      <c r="BJ141" s="101"/>
      <c r="BK141" s="101"/>
      <c r="BL141" s="101"/>
      <c r="BM141" s="101"/>
      <c r="BN141" s="101"/>
      <c r="BO141" s="101"/>
      <c r="BP141" s="101"/>
      <c r="BQ141" s="101"/>
      <c r="BR141" s="101"/>
      <c r="BS141" s="101"/>
      <c r="BT141" s="101"/>
      <c r="BU141" s="101"/>
      <c r="BV141" s="101"/>
    </row>
    <row r="142" spans="1:74" ht="27.95" customHeight="1" x14ac:dyDescent="0.3">
      <c r="A142" s="89"/>
      <c r="B142" s="18" t="s">
        <v>97</v>
      </c>
      <c r="C142" s="18"/>
      <c r="D142" s="18"/>
      <c r="E142" s="18"/>
      <c r="F142" s="94">
        <f t="shared" ref="F142:U142" si="93">+SUM(F143:F150)</f>
        <v>11638.099885405383</v>
      </c>
      <c r="G142" s="94">
        <f t="shared" si="93"/>
        <v>24.772320384615387</v>
      </c>
      <c r="H142" s="94">
        <f t="shared" si="93"/>
        <v>9200.8885980204304</v>
      </c>
      <c r="I142" s="94">
        <f t="shared" si="93"/>
        <v>24.058090673076929</v>
      </c>
      <c r="J142" s="94">
        <f t="shared" si="93"/>
        <v>3325.9435013409952</v>
      </c>
      <c r="K142" s="94">
        <f t="shared" si="93"/>
        <v>19.475597211538471</v>
      </c>
      <c r="L142" s="94">
        <f t="shared" si="93"/>
        <v>1050.5272772885151</v>
      </c>
      <c r="M142" s="94">
        <f t="shared" si="93"/>
        <v>14.893103750000007</v>
      </c>
      <c r="N142" s="94">
        <f t="shared" si="93"/>
        <v>614.90305792218612</v>
      </c>
      <c r="O142" s="94">
        <f t="shared" si="93"/>
        <v>10.310610288461547</v>
      </c>
      <c r="P142" s="94">
        <f t="shared" si="93"/>
        <v>257.85913433868666</v>
      </c>
      <c r="Q142" s="94">
        <f t="shared" si="93"/>
        <v>5.7281168269230855</v>
      </c>
      <c r="R142" s="94">
        <f t="shared" si="93"/>
        <v>121.74098129944858</v>
      </c>
      <c r="S142" s="94">
        <f t="shared" si="93"/>
        <v>1.1456233653846195</v>
      </c>
      <c r="T142" s="94">
        <f t="shared" si="93"/>
        <v>18.762066519764286</v>
      </c>
      <c r="U142" s="94">
        <f t="shared" si="93"/>
        <v>0</v>
      </c>
      <c r="W142" s="138"/>
      <c r="AC142" s="138"/>
      <c r="AD142" s="138"/>
      <c r="AE142" s="138"/>
      <c r="AF142" s="138"/>
      <c r="AG142" s="138"/>
      <c r="AH142" s="138"/>
      <c r="AI142" s="138"/>
      <c r="AJ142" s="138"/>
      <c r="AK142" s="138"/>
      <c r="AL142" s="138"/>
      <c r="AM142" s="138"/>
      <c r="AN142" s="138"/>
      <c r="AO142" s="138"/>
      <c r="AP142" s="138"/>
      <c r="AQ142" s="138"/>
      <c r="AR142" s="138"/>
      <c r="AS142" s="138"/>
      <c r="AT142" s="138"/>
      <c r="AU142" s="138"/>
      <c r="AV142" s="138"/>
      <c r="AW142" s="138"/>
      <c r="AX142" s="138"/>
      <c r="AY142" s="138"/>
      <c r="AZ142" s="138"/>
      <c r="BA142" s="138"/>
      <c r="BB142" s="138"/>
      <c r="BC142" s="138"/>
      <c r="BD142" s="138"/>
      <c r="BE142" s="138"/>
      <c r="BF142" s="138"/>
      <c r="BG142" s="138"/>
      <c r="BH142" s="138"/>
      <c r="BI142" s="138"/>
      <c r="BJ142" s="138"/>
      <c r="BK142" s="138"/>
      <c r="BL142" s="138"/>
      <c r="BM142" s="138"/>
      <c r="BN142" s="138"/>
      <c r="BO142" s="138"/>
      <c r="BP142" s="138"/>
      <c r="BQ142" s="138"/>
      <c r="BR142" s="138"/>
      <c r="BS142" s="138"/>
      <c r="BT142" s="138"/>
      <c r="BU142" s="138"/>
      <c r="BV142" s="138"/>
    </row>
    <row r="143" spans="1:74" ht="27.95" customHeight="1" x14ac:dyDescent="0.3">
      <c r="A143" s="89"/>
      <c r="B143" s="9" t="s">
        <v>132</v>
      </c>
      <c r="C143" s="9" t="s">
        <v>131</v>
      </c>
      <c r="D143" s="9" t="str">
        <f>+VLOOKUP($C143,$C$10:$D$45,2,FALSE)</f>
        <v>USD</v>
      </c>
      <c r="E143" s="9" t="s">
        <v>97</v>
      </c>
      <c r="F143" s="96">
        <v>0</v>
      </c>
      <c r="G143" s="96">
        <v>24.772320384615387</v>
      </c>
      <c r="H143" s="96">
        <v>0</v>
      </c>
      <c r="I143" s="96">
        <v>24.058090673076929</v>
      </c>
      <c r="J143" s="96">
        <v>0</v>
      </c>
      <c r="K143" s="96">
        <v>19.475597211538471</v>
      </c>
      <c r="L143" s="96">
        <v>0</v>
      </c>
      <c r="M143" s="96">
        <v>14.893103750000007</v>
      </c>
      <c r="N143" s="96">
        <v>0</v>
      </c>
      <c r="O143" s="96">
        <v>10.310610288461547</v>
      </c>
      <c r="P143" s="96">
        <v>0</v>
      </c>
      <c r="Q143" s="96">
        <v>5.7281168269230855</v>
      </c>
      <c r="R143" s="96">
        <v>0</v>
      </c>
      <c r="S143" s="96">
        <v>1.1456233653846195</v>
      </c>
      <c r="T143" s="96">
        <v>0</v>
      </c>
      <c r="U143" s="96">
        <v>0</v>
      </c>
      <c r="W143" s="101"/>
      <c r="AC143" s="101"/>
      <c r="AD143" s="101"/>
      <c r="AE143" s="101"/>
      <c r="AF143" s="101"/>
      <c r="AG143" s="101"/>
      <c r="AH143" s="101"/>
      <c r="AI143" s="101"/>
      <c r="AJ143" s="101"/>
      <c r="AK143" s="101"/>
      <c r="AL143" s="101"/>
      <c r="AM143" s="101"/>
      <c r="AN143" s="101"/>
      <c r="AO143" s="101"/>
      <c r="AP143" s="101"/>
      <c r="AQ143" s="101"/>
      <c r="AR143" s="101"/>
      <c r="AS143" s="101"/>
      <c r="AT143" s="101"/>
      <c r="AU143" s="101"/>
      <c r="AV143" s="101"/>
      <c r="AW143" s="101"/>
      <c r="AX143" s="101"/>
      <c r="AY143" s="101"/>
      <c r="AZ143" s="101"/>
      <c r="BA143" s="101"/>
      <c r="BB143" s="101"/>
      <c r="BC143" s="101"/>
      <c r="BD143" s="101"/>
      <c r="BE143" s="101"/>
      <c r="BF143" s="101"/>
      <c r="BG143" s="101"/>
      <c r="BH143" s="101"/>
      <c r="BI143" s="101"/>
      <c r="BJ143" s="101"/>
      <c r="BK143" s="101"/>
      <c r="BL143" s="101"/>
      <c r="BM143" s="101"/>
      <c r="BN143" s="101"/>
      <c r="BO143" s="101"/>
      <c r="BP143" s="101"/>
      <c r="BQ143" s="101"/>
      <c r="BR143" s="101"/>
      <c r="BS143" s="101"/>
      <c r="BT143" s="101"/>
      <c r="BU143" s="101"/>
      <c r="BV143" s="101"/>
    </row>
    <row r="144" spans="1:74" ht="27.95" customHeight="1" x14ac:dyDescent="0.3">
      <c r="A144" s="89"/>
      <c r="B144" s="9" t="s">
        <v>143</v>
      </c>
      <c r="C144" s="9" t="s">
        <v>144</v>
      </c>
      <c r="D144" s="9" t="str">
        <f>+VLOOKUP($C144,$C$10:$D$45,2,FALSE)</f>
        <v>Pesos</v>
      </c>
      <c r="E144" s="9" t="s">
        <v>97</v>
      </c>
      <c r="F144" s="96">
        <v>348.28992914636689</v>
      </c>
      <c r="G144" s="96">
        <v>0</v>
      </c>
      <c r="H144" s="96">
        <v>174.63953627758551</v>
      </c>
      <c r="I144" s="96">
        <v>0</v>
      </c>
      <c r="J144" s="96">
        <v>0</v>
      </c>
      <c r="K144" s="96">
        <v>0</v>
      </c>
      <c r="L144" s="96">
        <v>0</v>
      </c>
      <c r="M144" s="96">
        <v>0</v>
      </c>
      <c r="N144" s="96">
        <v>0</v>
      </c>
      <c r="O144" s="96">
        <v>0</v>
      </c>
      <c r="P144" s="96">
        <v>0</v>
      </c>
      <c r="Q144" s="96">
        <v>0</v>
      </c>
      <c r="R144" s="96">
        <v>0</v>
      </c>
      <c r="S144" s="96">
        <v>0</v>
      </c>
      <c r="T144" s="96">
        <v>0</v>
      </c>
      <c r="U144" s="96">
        <v>0</v>
      </c>
      <c r="W144" s="101"/>
      <c r="AC144" s="101"/>
      <c r="AD144" s="101"/>
      <c r="AE144" s="101"/>
      <c r="AF144" s="101"/>
      <c r="AG144" s="101"/>
      <c r="AH144" s="101"/>
      <c r="AI144" s="101"/>
      <c r="AJ144" s="101"/>
      <c r="AK144" s="101"/>
      <c r="AL144" s="101"/>
      <c r="AM144" s="101"/>
      <c r="AN144" s="101"/>
      <c r="AO144" s="101"/>
      <c r="AP144" s="101"/>
      <c r="AQ144" s="101"/>
      <c r="AR144" s="101"/>
      <c r="AS144" s="101"/>
      <c r="AT144" s="101"/>
      <c r="AU144" s="101"/>
      <c r="AV144" s="101"/>
      <c r="AW144" s="101"/>
      <c r="AX144" s="101"/>
      <c r="AY144" s="101"/>
      <c r="AZ144" s="101"/>
      <c r="BA144" s="101"/>
      <c r="BB144" s="101"/>
      <c r="BC144" s="101"/>
      <c r="BD144" s="101"/>
      <c r="BE144" s="101"/>
      <c r="BF144" s="101"/>
      <c r="BG144" s="101"/>
      <c r="BH144" s="101"/>
      <c r="BI144" s="101"/>
      <c r="BJ144" s="101"/>
      <c r="BK144" s="101"/>
      <c r="BL144" s="101"/>
      <c r="BM144" s="101"/>
      <c r="BN144" s="101"/>
      <c r="BO144" s="101"/>
      <c r="BP144" s="101"/>
      <c r="BQ144" s="101"/>
      <c r="BR144" s="101"/>
      <c r="BS144" s="101"/>
      <c r="BT144" s="101"/>
      <c r="BU144" s="101"/>
      <c r="BV144" s="101"/>
    </row>
    <row r="145" spans="1:86" ht="27.95" customHeight="1" x14ac:dyDescent="0.3">
      <c r="A145" s="89"/>
      <c r="B145" s="9" t="s">
        <v>147</v>
      </c>
      <c r="C145" s="9" t="s">
        <v>148</v>
      </c>
      <c r="D145" s="9" t="s">
        <v>2</v>
      </c>
      <c r="E145" s="9" t="s">
        <v>97</v>
      </c>
      <c r="F145" s="96">
        <v>4120.4473211975073</v>
      </c>
      <c r="G145" s="96">
        <v>0</v>
      </c>
      <c r="H145" s="96">
        <v>4392.3793353214251</v>
      </c>
      <c r="I145" s="96">
        <v>0</v>
      </c>
      <c r="J145" s="96">
        <v>2859.9014933006365</v>
      </c>
      <c r="K145" s="96">
        <v>0</v>
      </c>
      <c r="L145" s="96">
        <v>1050.5272772885151</v>
      </c>
      <c r="M145" s="96">
        <v>0</v>
      </c>
      <c r="N145" s="96">
        <v>614.90305792218612</v>
      </c>
      <c r="O145" s="96">
        <v>0</v>
      </c>
      <c r="P145" s="96">
        <v>257.85913433868666</v>
      </c>
      <c r="Q145" s="96">
        <v>0</v>
      </c>
      <c r="R145" s="96">
        <v>121.74098129944858</v>
      </c>
      <c r="S145" s="96">
        <v>0</v>
      </c>
      <c r="T145" s="96">
        <v>18.762066519764286</v>
      </c>
      <c r="U145" s="96">
        <v>0</v>
      </c>
      <c r="W145" s="101"/>
      <c r="AC145" s="101"/>
      <c r="AD145" s="101"/>
      <c r="AE145" s="101"/>
      <c r="AF145" s="101"/>
      <c r="AG145" s="101"/>
      <c r="AH145" s="101"/>
      <c r="AI145" s="101"/>
      <c r="AJ145" s="101"/>
      <c r="AK145" s="101"/>
      <c r="AL145" s="101"/>
      <c r="AM145" s="101"/>
      <c r="AN145" s="101"/>
      <c r="AO145" s="101"/>
      <c r="AP145" s="101"/>
      <c r="AQ145" s="101"/>
      <c r="AR145" s="101"/>
      <c r="AS145" s="101"/>
      <c r="AT145" s="101"/>
      <c r="AU145" s="101"/>
      <c r="AV145" s="101"/>
      <c r="AW145" s="101"/>
      <c r="AX145" s="101"/>
      <c r="AY145" s="101"/>
      <c r="AZ145" s="101"/>
      <c r="BA145" s="101"/>
      <c r="BB145" s="101"/>
      <c r="BC145" s="101"/>
      <c r="BD145" s="101"/>
      <c r="BE145" s="101"/>
      <c r="BF145" s="101"/>
      <c r="BG145" s="101"/>
      <c r="BH145" s="101"/>
      <c r="BI145" s="101"/>
      <c r="BJ145" s="101"/>
      <c r="BK145" s="101"/>
      <c r="BL145" s="101"/>
      <c r="BM145" s="101"/>
      <c r="BN145" s="101"/>
      <c r="BO145" s="101"/>
      <c r="BP145" s="101"/>
      <c r="BQ145" s="101"/>
      <c r="BR145" s="101"/>
      <c r="BS145" s="101"/>
      <c r="BT145" s="101"/>
      <c r="BU145" s="101"/>
      <c r="BV145" s="101"/>
    </row>
    <row r="146" spans="1:86" ht="27.95" customHeight="1" x14ac:dyDescent="0.3">
      <c r="A146" s="89"/>
      <c r="B146" s="9" t="s">
        <v>180</v>
      </c>
      <c r="C146" s="9" t="s">
        <v>182</v>
      </c>
      <c r="D146" s="9" t="s">
        <v>2</v>
      </c>
      <c r="E146" s="9" t="s">
        <v>97</v>
      </c>
      <c r="F146" s="96">
        <v>2312.594144213901</v>
      </c>
      <c r="G146" s="96">
        <v>0</v>
      </c>
      <c r="H146" s="96">
        <v>2667.394593599292</v>
      </c>
      <c r="I146" s="96">
        <v>0</v>
      </c>
      <c r="J146" s="96">
        <v>346.65917572230899</v>
      </c>
      <c r="K146" s="96">
        <v>0</v>
      </c>
      <c r="L146" s="96">
        <v>0</v>
      </c>
      <c r="M146" s="96">
        <v>0</v>
      </c>
      <c r="N146" s="96">
        <v>0</v>
      </c>
      <c r="O146" s="96">
        <v>0</v>
      </c>
      <c r="P146" s="96">
        <v>0</v>
      </c>
      <c r="Q146" s="96">
        <v>0</v>
      </c>
      <c r="R146" s="96">
        <v>0</v>
      </c>
      <c r="S146" s="96">
        <v>0</v>
      </c>
      <c r="T146" s="96">
        <v>0</v>
      </c>
      <c r="U146" s="96">
        <v>0</v>
      </c>
      <c r="W146" s="101"/>
      <c r="AC146" s="101"/>
      <c r="AD146" s="101"/>
      <c r="AE146" s="101"/>
      <c r="AF146" s="101"/>
      <c r="AG146" s="101"/>
      <c r="AH146" s="101"/>
      <c r="AI146" s="101"/>
      <c r="AJ146" s="101"/>
      <c r="AK146" s="101"/>
      <c r="AL146" s="101"/>
      <c r="AM146" s="101"/>
      <c r="AN146" s="101"/>
      <c r="AO146" s="101"/>
      <c r="AP146" s="101"/>
      <c r="AQ146" s="101"/>
      <c r="AR146" s="101"/>
      <c r="AS146" s="101"/>
      <c r="AT146" s="101"/>
      <c r="AU146" s="101"/>
      <c r="AV146" s="101"/>
      <c r="AW146" s="101"/>
      <c r="AX146" s="101"/>
      <c r="AY146" s="101"/>
      <c r="AZ146" s="101"/>
      <c r="BA146" s="101"/>
      <c r="BB146" s="101"/>
      <c r="BC146" s="101"/>
      <c r="BD146" s="101"/>
      <c r="BE146" s="101"/>
      <c r="BF146" s="101"/>
      <c r="BG146" s="101"/>
      <c r="BH146" s="101"/>
      <c r="BI146" s="101"/>
      <c r="BJ146" s="101"/>
      <c r="BK146" s="101"/>
      <c r="BL146" s="101"/>
      <c r="BM146" s="101"/>
      <c r="BN146" s="101"/>
      <c r="BO146" s="101"/>
      <c r="BP146" s="101"/>
      <c r="BQ146" s="101"/>
      <c r="BR146" s="101"/>
      <c r="BS146" s="101"/>
      <c r="BT146" s="101"/>
      <c r="BU146" s="101"/>
      <c r="BV146" s="101"/>
    </row>
    <row r="147" spans="1:86" ht="27.95" customHeight="1" x14ac:dyDescent="0.3">
      <c r="A147" s="89"/>
      <c r="B147" s="9" t="s">
        <v>181</v>
      </c>
      <c r="C147" s="9" t="s">
        <v>183</v>
      </c>
      <c r="D147" s="9" t="s">
        <v>2</v>
      </c>
      <c r="E147" s="9" t="s">
        <v>97</v>
      </c>
      <c r="F147" s="96">
        <v>1219.0251105642419</v>
      </c>
      <c r="G147" s="96">
        <v>0</v>
      </c>
      <c r="H147" s="96">
        <v>1079.1742041039624</v>
      </c>
      <c r="I147" s="96">
        <v>0</v>
      </c>
      <c r="J147" s="96">
        <v>0</v>
      </c>
      <c r="K147" s="96">
        <v>0</v>
      </c>
      <c r="L147" s="96">
        <v>0</v>
      </c>
      <c r="M147" s="96">
        <v>0</v>
      </c>
      <c r="N147" s="96">
        <v>0</v>
      </c>
      <c r="O147" s="96">
        <v>0</v>
      </c>
      <c r="P147" s="96">
        <v>0</v>
      </c>
      <c r="Q147" s="96">
        <v>0</v>
      </c>
      <c r="R147" s="96">
        <v>0</v>
      </c>
      <c r="S147" s="96">
        <v>0</v>
      </c>
      <c r="T147" s="96">
        <v>0</v>
      </c>
      <c r="U147" s="96">
        <v>0</v>
      </c>
      <c r="W147" s="101"/>
      <c r="AC147" s="101"/>
      <c r="AD147" s="101"/>
      <c r="AE147" s="101"/>
      <c r="AF147" s="101"/>
      <c r="AG147" s="101"/>
      <c r="AH147" s="101"/>
      <c r="AI147" s="101"/>
      <c r="AJ147" s="101"/>
      <c r="AK147" s="101"/>
      <c r="AL147" s="101"/>
      <c r="AM147" s="101"/>
      <c r="AN147" s="101"/>
      <c r="AO147" s="101"/>
      <c r="AP147" s="101"/>
      <c r="AQ147" s="101"/>
      <c r="AR147" s="101"/>
      <c r="AS147" s="101"/>
      <c r="AT147" s="101"/>
      <c r="AU147" s="101"/>
      <c r="AV147" s="101"/>
      <c r="AW147" s="101"/>
      <c r="AX147" s="101"/>
      <c r="AY147" s="101"/>
      <c r="AZ147" s="101"/>
      <c r="BA147" s="101"/>
      <c r="BB147" s="101"/>
      <c r="BC147" s="101"/>
      <c r="BD147" s="101"/>
      <c r="BE147" s="101"/>
      <c r="BF147" s="101"/>
      <c r="BG147" s="101"/>
      <c r="BH147" s="101"/>
      <c r="BI147" s="101"/>
      <c r="BJ147" s="101"/>
      <c r="BK147" s="101"/>
      <c r="BL147" s="101"/>
      <c r="BM147" s="101"/>
      <c r="BN147" s="101"/>
      <c r="BO147" s="101"/>
      <c r="BP147" s="101"/>
      <c r="BQ147" s="101"/>
      <c r="BR147" s="101"/>
      <c r="BS147" s="101"/>
      <c r="BT147" s="101"/>
      <c r="BU147" s="101"/>
      <c r="BV147" s="101"/>
    </row>
    <row r="148" spans="1:86" ht="27.95" customHeight="1" x14ac:dyDescent="0.3">
      <c r="A148" s="89"/>
      <c r="B148" s="9" t="s">
        <v>136</v>
      </c>
      <c r="C148" s="9" t="s">
        <v>137</v>
      </c>
      <c r="D148" s="9" t="s">
        <v>2</v>
      </c>
      <c r="E148" s="9" t="s">
        <v>97</v>
      </c>
      <c r="F148" s="96">
        <v>1469.4682766356937</v>
      </c>
      <c r="G148" s="96">
        <v>0</v>
      </c>
      <c r="H148" s="96">
        <v>875.48896915272496</v>
      </c>
      <c r="I148" s="96">
        <v>0</v>
      </c>
      <c r="J148" s="96">
        <v>115.0896327629189</v>
      </c>
      <c r="K148" s="96">
        <v>0</v>
      </c>
      <c r="L148" s="96">
        <v>0</v>
      </c>
      <c r="M148" s="96">
        <v>0</v>
      </c>
      <c r="N148" s="96">
        <v>0</v>
      </c>
      <c r="O148" s="96">
        <v>0</v>
      </c>
      <c r="P148" s="96">
        <v>0</v>
      </c>
      <c r="Q148" s="96">
        <v>0</v>
      </c>
      <c r="R148" s="96">
        <v>0</v>
      </c>
      <c r="S148" s="96">
        <v>0</v>
      </c>
      <c r="T148" s="96">
        <v>0</v>
      </c>
      <c r="U148" s="96">
        <v>0</v>
      </c>
      <c r="W148" s="101"/>
      <c r="AC148" s="101"/>
      <c r="AD148" s="101"/>
      <c r="AE148" s="101"/>
      <c r="AF148" s="101"/>
      <c r="AG148" s="101"/>
      <c r="AH148" s="101"/>
      <c r="AI148" s="101"/>
      <c r="AJ148" s="101"/>
      <c r="AK148" s="101"/>
      <c r="AL148" s="101"/>
      <c r="AM148" s="101"/>
      <c r="AN148" s="101"/>
      <c r="AO148" s="101"/>
      <c r="AP148" s="101"/>
      <c r="AQ148" s="101"/>
      <c r="AR148" s="101"/>
      <c r="AS148" s="101"/>
      <c r="AT148" s="101"/>
      <c r="AU148" s="101"/>
      <c r="AV148" s="101"/>
      <c r="AW148" s="101"/>
      <c r="AX148" s="101"/>
      <c r="AY148" s="101"/>
      <c r="AZ148" s="101"/>
      <c r="BA148" s="101"/>
      <c r="BB148" s="101"/>
      <c r="BC148" s="101"/>
      <c r="BD148" s="101"/>
      <c r="BE148" s="101"/>
      <c r="BF148" s="101"/>
      <c r="BG148" s="101"/>
      <c r="BH148" s="101"/>
      <c r="BI148" s="101"/>
      <c r="BJ148" s="101"/>
      <c r="BK148" s="101"/>
      <c r="BL148" s="101"/>
      <c r="BM148" s="101"/>
      <c r="BN148" s="101"/>
      <c r="BO148" s="101"/>
      <c r="BP148" s="101"/>
      <c r="BQ148" s="101"/>
      <c r="BR148" s="101"/>
      <c r="BS148" s="101"/>
      <c r="BT148" s="101"/>
      <c r="BU148" s="101"/>
      <c r="BV148" s="101"/>
    </row>
    <row r="149" spans="1:86" ht="27.95" customHeight="1" x14ac:dyDescent="0.3">
      <c r="A149" s="89"/>
      <c r="B149" s="9" t="s">
        <v>38</v>
      </c>
      <c r="C149" s="9" t="s">
        <v>39</v>
      </c>
      <c r="D149" s="9" t="s">
        <v>2</v>
      </c>
      <c r="E149" s="9" t="s">
        <v>97</v>
      </c>
      <c r="F149" s="96">
        <v>12.410642789130453</v>
      </c>
      <c r="G149" s="96">
        <v>0</v>
      </c>
      <c r="H149" s="96">
        <v>11.811959565441441</v>
      </c>
      <c r="I149" s="96">
        <v>0</v>
      </c>
      <c r="J149" s="96">
        <v>4.2931995551309132</v>
      </c>
      <c r="K149" s="96">
        <v>0</v>
      </c>
      <c r="L149" s="96">
        <v>0</v>
      </c>
      <c r="M149" s="96">
        <v>0</v>
      </c>
      <c r="N149" s="96">
        <v>0</v>
      </c>
      <c r="O149" s="96">
        <v>0</v>
      </c>
      <c r="P149" s="96">
        <v>0</v>
      </c>
      <c r="Q149" s="96">
        <v>0</v>
      </c>
      <c r="R149" s="96">
        <v>0</v>
      </c>
      <c r="S149" s="96">
        <v>0</v>
      </c>
      <c r="T149" s="96">
        <v>0</v>
      </c>
      <c r="U149" s="96">
        <v>0</v>
      </c>
      <c r="W149" s="101"/>
      <c r="AC149" s="101"/>
      <c r="AD149" s="101"/>
      <c r="AE149" s="101"/>
      <c r="AF149" s="101"/>
      <c r="AG149" s="101"/>
      <c r="AH149" s="101"/>
      <c r="AI149" s="101"/>
      <c r="AJ149" s="101"/>
      <c r="AK149" s="101"/>
      <c r="AL149" s="101"/>
      <c r="AM149" s="101"/>
      <c r="AN149" s="101"/>
      <c r="AO149" s="101"/>
      <c r="AP149" s="101"/>
      <c r="AQ149" s="101"/>
      <c r="AR149" s="101"/>
      <c r="AS149" s="101"/>
      <c r="AT149" s="101"/>
      <c r="AU149" s="101"/>
      <c r="AV149" s="101"/>
      <c r="AW149" s="101"/>
      <c r="AX149" s="101"/>
      <c r="AY149" s="101"/>
      <c r="AZ149" s="101"/>
      <c r="BA149" s="101"/>
      <c r="BB149" s="101"/>
      <c r="BC149" s="101"/>
      <c r="BD149" s="101"/>
      <c r="BE149" s="101"/>
      <c r="BF149" s="101"/>
      <c r="BG149" s="101"/>
      <c r="BH149" s="101"/>
      <c r="BI149" s="101"/>
      <c r="BJ149" s="101"/>
      <c r="BK149" s="101"/>
      <c r="BL149" s="101"/>
      <c r="BM149" s="101"/>
      <c r="BN149" s="101"/>
      <c r="BO149" s="101"/>
      <c r="BP149" s="101"/>
      <c r="BQ149" s="101"/>
      <c r="BR149" s="101"/>
      <c r="BS149" s="101"/>
      <c r="BT149" s="101"/>
      <c r="BU149" s="101"/>
      <c r="BV149" s="101"/>
    </row>
    <row r="150" spans="1:86" ht="27.95" customHeight="1" x14ac:dyDescent="0.3">
      <c r="A150" s="89"/>
      <c r="B150" s="9" t="s">
        <v>145</v>
      </c>
      <c r="C150" s="9" t="s">
        <v>146</v>
      </c>
      <c r="D150" s="9" t="s">
        <v>2</v>
      </c>
      <c r="E150" s="9" t="s">
        <v>97</v>
      </c>
      <c r="F150" s="96">
        <v>2155.8644608585423</v>
      </c>
      <c r="G150" s="96">
        <v>0</v>
      </c>
      <c r="H150" s="96">
        <v>0</v>
      </c>
      <c r="I150" s="96">
        <v>0</v>
      </c>
      <c r="J150" s="96">
        <v>0</v>
      </c>
      <c r="K150" s="96">
        <v>0</v>
      </c>
      <c r="L150" s="96">
        <v>0</v>
      </c>
      <c r="M150" s="96">
        <v>0</v>
      </c>
      <c r="N150" s="96">
        <v>0</v>
      </c>
      <c r="O150" s="96">
        <v>0</v>
      </c>
      <c r="P150" s="96">
        <v>0</v>
      </c>
      <c r="Q150" s="96">
        <v>0</v>
      </c>
      <c r="R150" s="96">
        <v>0</v>
      </c>
      <c r="S150" s="96">
        <v>0</v>
      </c>
      <c r="T150" s="96">
        <v>0</v>
      </c>
      <c r="U150" s="96">
        <v>0</v>
      </c>
      <c r="W150" s="101"/>
      <c r="AC150" s="101"/>
      <c r="AD150" s="101"/>
      <c r="AE150" s="101"/>
      <c r="AF150" s="101"/>
      <c r="AG150" s="101"/>
      <c r="AH150" s="101"/>
      <c r="AI150" s="101"/>
      <c r="AJ150" s="101"/>
      <c r="AK150" s="101"/>
      <c r="AL150" s="101"/>
      <c r="AM150" s="101"/>
      <c r="AN150" s="101"/>
      <c r="AO150" s="101"/>
      <c r="AP150" s="101"/>
      <c r="AQ150" s="101"/>
      <c r="AR150" s="101"/>
      <c r="AS150" s="101"/>
      <c r="AT150" s="101"/>
      <c r="AU150" s="101"/>
      <c r="AV150" s="101"/>
      <c r="AW150" s="101"/>
      <c r="AX150" s="101"/>
      <c r="AY150" s="101"/>
      <c r="AZ150" s="101"/>
      <c r="BA150" s="101"/>
      <c r="BB150" s="101"/>
      <c r="BC150" s="101"/>
      <c r="BD150" s="101"/>
      <c r="BE150" s="101"/>
      <c r="BF150" s="101"/>
      <c r="BG150" s="101"/>
      <c r="BH150" s="101"/>
      <c r="BI150" s="101"/>
      <c r="BJ150" s="101"/>
      <c r="BK150" s="101"/>
      <c r="BL150" s="101"/>
      <c r="BM150" s="101"/>
      <c r="BN150" s="101"/>
      <c r="BO150" s="101"/>
      <c r="BP150" s="101"/>
      <c r="BQ150" s="101"/>
      <c r="BR150" s="101"/>
      <c r="BS150" s="101"/>
      <c r="BT150" s="101"/>
      <c r="BU150" s="101"/>
      <c r="BV150" s="101"/>
    </row>
    <row r="151" spans="1:86" ht="6.75" customHeight="1" x14ac:dyDescent="0.3">
      <c r="B151" s="21"/>
      <c r="C151" s="13"/>
      <c r="D151" s="13"/>
      <c r="F151" s="46"/>
      <c r="G151" s="101"/>
      <c r="H151" s="101"/>
      <c r="I151" s="101"/>
      <c r="J151" s="101"/>
      <c r="K151" s="101"/>
      <c r="L151" s="101"/>
      <c r="M151" s="101"/>
      <c r="N151" s="101"/>
      <c r="O151" s="101"/>
      <c r="P151" s="101"/>
      <c r="Q151" s="101"/>
      <c r="R151" s="101"/>
      <c r="S151" s="101"/>
      <c r="T151" s="99"/>
      <c r="U151" s="99"/>
      <c r="W151" s="101"/>
      <c r="AC151" s="99"/>
      <c r="AD151" s="101"/>
      <c r="AE151" s="101"/>
      <c r="AF151" s="101"/>
      <c r="AG151" s="101"/>
      <c r="AH151" s="101"/>
      <c r="AI151" s="101"/>
      <c r="AJ151" s="101"/>
      <c r="AK151" s="101"/>
      <c r="AL151" s="101"/>
      <c r="AM151" s="101"/>
      <c r="AN151" s="101"/>
      <c r="AO151" s="101"/>
      <c r="AP151" s="101"/>
      <c r="AQ151" s="101"/>
      <c r="AR151" s="101"/>
      <c r="AS151" s="101"/>
      <c r="AT151" s="101"/>
      <c r="AU151" s="101"/>
      <c r="AV151" s="101"/>
      <c r="AW151" s="101"/>
      <c r="AX151" s="101"/>
      <c r="AY151" s="101"/>
      <c r="AZ151" s="101"/>
      <c r="BA151" s="101"/>
      <c r="BB151" s="101"/>
      <c r="BC151" s="101"/>
      <c r="BD151" s="101"/>
      <c r="BE151" s="101"/>
      <c r="BF151" s="101"/>
      <c r="BG151" s="101"/>
      <c r="BH151" s="101"/>
      <c r="BI151" s="101"/>
      <c r="BJ151" s="101"/>
      <c r="BK151" s="101"/>
      <c r="BL151" s="101"/>
      <c r="BM151" s="101"/>
      <c r="BN151" s="101"/>
      <c r="BO151" s="101"/>
      <c r="BP151" s="101"/>
      <c r="BQ151" s="101"/>
      <c r="BR151" s="101"/>
      <c r="BS151" s="101"/>
      <c r="BT151" s="101"/>
      <c r="BU151" s="101"/>
      <c r="BV151" s="101"/>
    </row>
    <row r="152" spans="1:86" ht="29.25" customHeight="1" x14ac:dyDescent="0.3">
      <c r="B152" s="196" t="s">
        <v>40</v>
      </c>
      <c r="C152" s="197"/>
      <c r="D152" s="197"/>
      <c r="E152" s="198"/>
      <c r="F152" s="94">
        <f t="shared" ref="F152:U152" si="94">+F142+F125+F114+F123</f>
        <v>26866.830925620292</v>
      </c>
      <c r="G152" s="94">
        <f t="shared" si="94"/>
        <v>34.984597123707211</v>
      </c>
      <c r="H152" s="94">
        <f t="shared" si="94"/>
        <v>21425.958633678914</v>
      </c>
      <c r="I152" s="94">
        <f t="shared" si="94"/>
        <v>36.11722980685991</v>
      </c>
      <c r="J152" s="94">
        <f t="shared" si="94"/>
        <v>9043.5589434643425</v>
      </c>
      <c r="K152" s="94">
        <f t="shared" si="94"/>
        <v>28.971892393095075</v>
      </c>
      <c r="L152" s="94">
        <f t="shared" si="94"/>
        <v>2351.0869386164823</v>
      </c>
      <c r="M152" s="94">
        <f t="shared" si="94"/>
        <v>21.661181517778761</v>
      </c>
      <c r="N152" s="94">
        <f t="shared" si="94"/>
        <v>723.84139976878203</v>
      </c>
      <c r="O152" s="94">
        <f t="shared" si="94"/>
        <v>15.039969607643622</v>
      </c>
      <c r="P152" s="94">
        <f t="shared" si="94"/>
        <v>257.85913433868666</v>
      </c>
      <c r="Q152" s="94">
        <f t="shared" si="94"/>
        <v>9.7136206393470523</v>
      </c>
      <c r="R152" s="94">
        <f t="shared" si="94"/>
        <v>121.74098129944858</v>
      </c>
      <c r="S152" s="94">
        <f t="shared" si="94"/>
        <v>4.6811511690689747</v>
      </c>
      <c r="T152" s="94">
        <f t="shared" si="94"/>
        <v>18.762066519764286</v>
      </c>
      <c r="U152" s="94">
        <f t="shared" si="94"/>
        <v>1.6601479183261743</v>
      </c>
      <c r="W152" s="138"/>
      <c r="AC152" s="138"/>
      <c r="AD152" s="138"/>
      <c r="AE152" s="138"/>
      <c r="AF152" s="138"/>
      <c r="AG152" s="138"/>
      <c r="AH152" s="138"/>
      <c r="AI152" s="138"/>
      <c r="AJ152" s="138"/>
      <c r="AK152" s="138"/>
      <c r="AL152" s="138"/>
      <c r="AM152" s="138"/>
      <c r="AN152" s="138"/>
      <c r="AO152" s="138"/>
      <c r="AP152" s="138"/>
      <c r="AQ152" s="138"/>
      <c r="AR152" s="138"/>
      <c r="AS152" s="138"/>
      <c r="AT152" s="138"/>
      <c r="AU152" s="138"/>
      <c r="AV152" s="138"/>
      <c r="AW152" s="138"/>
      <c r="AX152" s="138"/>
      <c r="AY152" s="138"/>
      <c r="AZ152" s="138"/>
      <c r="BA152" s="138"/>
      <c r="BB152" s="138"/>
      <c r="BC152" s="138"/>
      <c r="BD152" s="138"/>
      <c r="BE152" s="138"/>
      <c r="BF152" s="138"/>
      <c r="BG152" s="138"/>
      <c r="BH152" s="138"/>
      <c r="BI152" s="138"/>
      <c r="BJ152" s="138"/>
      <c r="BK152" s="138"/>
      <c r="BL152" s="138"/>
      <c r="BM152" s="138"/>
      <c r="BN152" s="138"/>
      <c r="BO152" s="138"/>
      <c r="BP152" s="138"/>
      <c r="BQ152" s="138"/>
      <c r="BR152" s="138"/>
      <c r="BS152" s="138"/>
      <c r="BT152" s="138"/>
      <c r="BU152" s="138"/>
      <c r="BV152" s="138"/>
    </row>
    <row r="153" spans="1:86" x14ac:dyDescent="0.3">
      <c r="B153" s="52"/>
      <c r="C153" s="52"/>
      <c r="D153" s="52"/>
      <c r="E153" s="116"/>
      <c r="F153" s="179"/>
      <c r="G153" s="119"/>
      <c r="H153" s="119"/>
      <c r="I153" s="119"/>
      <c r="J153" s="119"/>
      <c r="K153" s="119"/>
      <c r="L153" s="119"/>
      <c r="M153" s="119"/>
      <c r="N153" s="119"/>
      <c r="O153" s="119"/>
      <c r="P153" s="119"/>
      <c r="Q153" s="119"/>
      <c r="R153" s="119"/>
      <c r="S153" s="119"/>
      <c r="T153" s="119"/>
      <c r="U153" s="119"/>
      <c r="V153" s="132"/>
      <c r="W153" s="132"/>
      <c r="X153" s="132"/>
      <c r="Y153" s="132"/>
      <c r="Z153" s="132"/>
      <c r="AA153" s="132"/>
      <c r="AB153" s="132"/>
      <c r="AC153" s="132"/>
      <c r="AD153" s="132"/>
      <c r="AE153" s="132"/>
      <c r="AF153" s="132"/>
      <c r="AG153" s="132"/>
      <c r="AH153" s="132"/>
      <c r="AI153" s="132"/>
      <c r="AJ153" s="132"/>
      <c r="AK153" s="132"/>
      <c r="AL153" s="132"/>
      <c r="AM153" s="132"/>
      <c r="AN153" s="132"/>
      <c r="AO153" s="132"/>
      <c r="AP153" s="132"/>
      <c r="AQ153" s="132"/>
      <c r="AR153" s="132"/>
      <c r="AS153" s="132"/>
      <c r="AT153" s="132"/>
      <c r="AU153" s="132"/>
      <c r="AV153" s="132"/>
      <c r="AW153" s="132"/>
      <c r="AX153" s="132"/>
      <c r="AY153" s="132"/>
      <c r="AZ153" s="132"/>
      <c r="BA153" s="132"/>
      <c r="BB153" s="132"/>
      <c r="BC153" s="132"/>
      <c r="BD153" s="132"/>
      <c r="BE153" s="132"/>
      <c r="BF153" s="132"/>
      <c r="BG153" s="132"/>
      <c r="BH153" s="132"/>
      <c r="BI153" s="132"/>
      <c r="BJ153" s="132"/>
      <c r="BK153" s="132"/>
      <c r="BL153" s="132"/>
      <c r="BM153" s="132"/>
      <c r="BN153" s="132"/>
      <c r="BO153" s="132"/>
      <c r="BP153" s="132"/>
      <c r="BQ153" s="132"/>
      <c r="BR153" s="132"/>
      <c r="BS153" s="132"/>
      <c r="BT153" s="132"/>
      <c r="BU153" s="132"/>
      <c r="BV153" s="132"/>
      <c r="BW153" s="132"/>
      <c r="BX153" s="132"/>
      <c r="BY153" s="132"/>
      <c r="BZ153" s="132"/>
      <c r="CA153" s="132"/>
      <c r="CB153" s="132"/>
      <c r="CC153" s="132"/>
      <c r="CD153" s="132"/>
      <c r="CE153" s="132"/>
      <c r="CF153" s="132"/>
      <c r="CG153" s="132"/>
      <c r="CH153" s="132"/>
    </row>
  </sheetData>
  <sortState xmlns:xlrd2="http://schemas.microsoft.com/office/spreadsheetml/2017/richdata2" ref="A10:CT17">
    <sortCondition descending="1" ref="E10:E17"/>
  </sortState>
  <mergeCells count="24">
    <mergeCell ref="B62:U62"/>
    <mergeCell ref="B109:U109"/>
    <mergeCell ref="B47:D47"/>
    <mergeCell ref="B105:E105"/>
    <mergeCell ref="B152:E152"/>
    <mergeCell ref="B51:N51"/>
    <mergeCell ref="B55:N55"/>
    <mergeCell ref="B52:N52"/>
    <mergeCell ref="B53:N53"/>
    <mergeCell ref="B54:N54"/>
    <mergeCell ref="B2:U2"/>
    <mergeCell ref="B6:B8"/>
    <mergeCell ref="C6:C8"/>
    <mergeCell ref="G6:G8"/>
    <mergeCell ref="D6:D8"/>
    <mergeCell ref="J6:J8"/>
    <mergeCell ref="N6:N8"/>
    <mergeCell ref="H6:H8"/>
    <mergeCell ref="I6:I8"/>
    <mergeCell ref="K6:K8"/>
    <mergeCell ref="L6:L8"/>
    <mergeCell ref="E6:E7"/>
    <mergeCell ref="F6:F7"/>
    <mergeCell ref="M6:M8"/>
  </mergeCells>
  <hyperlinks>
    <hyperlink ref="C80" location="BIDF40!A1" display="BIDF40" xr:uid="{00000000-0004-0000-0000-000002000000}"/>
    <hyperlink ref="C89" location="BIDO24!A1" display="BIDO24" xr:uid="{00000000-0004-0000-0000-000004000000}"/>
    <hyperlink ref="C86" location="BIDN32!A1" display="BIDN32" xr:uid="{00000000-0004-0000-0000-000005000000}"/>
    <hyperlink ref="C92" location="BIRS38!A1" display="BIRS38" xr:uid="{00000000-0004-0000-0000-000009000000}"/>
    <hyperlink ref="C88" location="BIDS34!A1" display="BIDS34" xr:uid="{00000000-0004-0000-0000-00000B000000}"/>
    <hyperlink ref="C85" location="BIDY42!A1" display="BIDY42" xr:uid="{00000000-0004-0000-0000-000011000000}"/>
    <hyperlink ref="C71" location="FFFIRO24!A1" display="FFFIRO24" xr:uid="{00000000-0004-0000-0000-000015000000}"/>
    <hyperlink ref="C72" location="FFFIRF26!A1" display="FFFIRF26" xr:uid="{00000000-0004-0000-0000-000017000000}"/>
    <hyperlink ref="C75" location="ANSE23!A1" display="ANSE23" xr:uid="{00000000-0004-0000-0000-000018000000}"/>
    <hyperlink ref="C73" location="IPVO26!A1" display="IPVO26" xr:uid="{00000000-0004-0000-0000-00001A000000}"/>
    <hyperlink ref="C74" location="FFFIRE26!A1" display="FFFIRE26" xr:uid="{00000000-0004-0000-0000-00001B000000}"/>
    <hyperlink ref="C103" location="'PMG25'!A1" display="PMG25" xr:uid="{00000000-0004-0000-0000-00001C000000}"/>
    <hyperlink ref="C68" location="FFDPO23!A1" display="FFDPO23" xr:uid="{00000000-0004-0000-0000-00001D000000}"/>
    <hyperlink ref="C127" location="BIDF40!A1" display="BIDF40" xr:uid="{00000000-0004-0000-0000-000020000000}"/>
    <hyperlink ref="C136" location="BIDO24!A1" display="BIDO24" xr:uid="{00000000-0004-0000-0000-000022000000}"/>
    <hyperlink ref="C133" location="BIDN32!A1" display="BIDN32" xr:uid="{00000000-0004-0000-0000-000023000000}"/>
    <hyperlink ref="C139" location="BIRS38!A1" display="BIRS38" xr:uid="{00000000-0004-0000-0000-000027000000}"/>
    <hyperlink ref="C135" location="BIDS34!A1" display="BIDS34" xr:uid="{00000000-0004-0000-0000-000029000000}"/>
    <hyperlink ref="C137" location="BIDS23!A1" display="BIDS23" xr:uid="{00000000-0004-0000-0000-00002A000000}"/>
    <hyperlink ref="C132" location="BIDY42!A1" display="BIDY42" xr:uid="{00000000-0004-0000-0000-00002F000000}"/>
    <hyperlink ref="C118" location="FFFIRO24!A1" display="FFFIRO24" xr:uid="{00000000-0004-0000-0000-000033000000}"/>
    <hyperlink ref="C119" location="FFFIRF26!A1" display="FFFIRF26" xr:uid="{00000000-0004-0000-0000-000035000000}"/>
    <hyperlink ref="C122" location="ANSE23!A1" display="ANSE23" xr:uid="{00000000-0004-0000-0000-000036000000}"/>
    <hyperlink ref="C120" location="IPVO26!A1" display="IPVO26" xr:uid="{00000000-0004-0000-0000-000038000000}"/>
    <hyperlink ref="C121" location="FFFIRE26!A1" display="FFFIRE26" xr:uid="{00000000-0004-0000-0000-000039000000}"/>
    <hyperlink ref="C150" location="'PMG25'!A1" display="PMG25" xr:uid="{00000000-0004-0000-0000-00003A000000}"/>
    <hyperlink ref="C115" location="FFDPO23!A1" display="FFDPO23" xr:uid="{00000000-0004-0000-0000-00003B000000}"/>
    <hyperlink ref="C22" location="BIDF40!A1" display="BIDF40" xr:uid="{00000000-0004-0000-0000-00003E000000}"/>
    <hyperlink ref="C31" location="BIDO24!A1" display="BIDO24" xr:uid="{00000000-0004-0000-0000-000040000000}"/>
    <hyperlink ref="C28" location="BIDN32!A1" display="BIDN32" xr:uid="{00000000-0004-0000-0000-000041000000}"/>
    <hyperlink ref="C34" location="BIRS38!A1" display="BIRS38" xr:uid="{00000000-0004-0000-0000-000045000000}"/>
    <hyperlink ref="C30" location="BIDS34!A1" display="BIDS34" xr:uid="{00000000-0004-0000-0000-000047000000}"/>
    <hyperlink ref="C32" location="BIDS23!A1" display="BIDS23" xr:uid="{00000000-0004-0000-0000-000048000000}"/>
    <hyperlink ref="C27" location="BIDY42!A1" display="BIDY42" xr:uid="{00000000-0004-0000-0000-00004D000000}"/>
    <hyperlink ref="C13" location="FFFIRO24!A1" display="FFFIRO24" xr:uid="{00000000-0004-0000-0000-000051000000}"/>
    <hyperlink ref="C14" location="FFFIRF26!A1" display="FFFIRF26" xr:uid="{00000000-0004-0000-0000-000053000000}"/>
    <hyperlink ref="C17" location="ANSE23!A1" display="ANSE23" xr:uid="{00000000-0004-0000-0000-000054000000}"/>
    <hyperlink ref="C15" location="IPVO26!A1" display="IPVO26" xr:uid="{00000000-0004-0000-0000-000056000000}"/>
    <hyperlink ref="C16" location="FFFIRE26!A1" display="FFFIRE26" xr:uid="{00000000-0004-0000-0000-000057000000}"/>
    <hyperlink ref="C44" location="'PMG25'!A1" display="PMG25" xr:uid="{00000000-0004-0000-0000-000058000000}"/>
    <hyperlink ref="C11" location="FFDPO23!A1" display="FFDPO23" xr:uid="{00000000-0004-0000-0000-000059000000}"/>
    <hyperlink ref="C12" location="GOBD23!A1" display="GOBD23" xr:uid="{00000000-0004-0000-0000-00005A000000}"/>
    <hyperlink ref="C70" location="GOBD23!A1" display="GOBD23" xr:uid="{00000000-0004-0000-0000-00005B000000}"/>
    <hyperlink ref="C117" location="GOBD23!A1" display="GOBD23" xr:uid="{00000000-0004-0000-0000-00005C000000}"/>
    <hyperlink ref="C83" location="BIDN44!A1" display="BIDN44" xr:uid="{00000000-0004-0000-0000-00005D000000}"/>
    <hyperlink ref="C130" location="BIDN44!A1" display="BIDN44" xr:uid="{00000000-0004-0000-0000-00005E000000}"/>
    <hyperlink ref="C43" location="'PMY25'!A1" display="PMY25" xr:uid="{00000000-0004-0000-0000-000060000000}"/>
    <hyperlink ref="C102" location="'PMY25'!A1" display="PMY25" xr:uid="{00000000-0004-0000-0000-000062000000}"/>
    <hyperlink ref="C149" location="'PMY25'!A1" display="PMY25" xr:uid="{00000000-0004-0000-0000-000064000000}"/>
    <hyperlink ref="C39" location="'PMD24'!A1" display="PMD24" xr:uid="{00000000-0004-0000-0000-000065000000}"/>
    <hyperlink ref="C77" location="BNAM27!A1" display="BNAM27" xr:uid="{00000000-0004-0000-0000-000066000000}"/>
    <hyperlink ref="C19" location="BNAM27!A1" display="BNAM27" xr:uid="{00000000-0004-0000-0000-000067000000}"/>
    <hyperlink ref="C124" location="BNAM27!A1" display="BNAM27" xr:uid="{00000000-0004-0000-0000-000068000000}"/>
    <hyperlink ref="C93" location="BIRFE50!A1" display="BIRFE50" xr:uid="{9D292A42-9473-4EA4-BB1C-80D860B19D40}"/>
    <hyperlink ref="C90" location="BIDS23!A1" display="BIDS23" xr:uid="{00000000-0004-0000-0000-00000C000000}"/>
  </hyperlinks>
  <pageMargins left="0.7" right="0.7" top="0.75" bottom="0.75" header="0.3" footer="0.3"/>
  <pageSetup paperSize="9"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C32AF-5C1A-4608-BF41-62103B7B6A4E}">
  <dimension ref="A2:P117"/>
  <sheetViews>
    <sheetView zoomScaleNormal="100" workbookViewId="0">
      <selection activeCell="P3" sqref="P3:P40"/>
    </sheetView>
  </sheetViews>
  <sheetFormatPr baseColWidth="10" defaultRowHeight="15" x14ac:dyDescent="0.25"/>
  <sheetData>
    <row r="2" spans="1:16" x14ac:dyDescent="0.25">
      <c r="A2" t="s">
        <v>209</v>
      </c>
      <c r="B2" t="s">
        <v>210</v>
      </c>
      <c r="C2" t="s">
        <v>211</v>
      </c>
      <c r="D2" t="s">
        <v>212</v>
      </c>
      <c r="E2" t="s">
        <v>213</v>
      </c>
      <c r="G2" t="s">
        <v>209</v>
      </c>
      <c r="H2" t="s">
        <v>214</v>
      </c>
      <c r="M2" t="s">
        <v>213</v>
      </c>
    </row>
    <row r="3" spans="1:16" x14ac:dyDescent="0.25">
      <c r="A3" s="165">
        <v>41609</v>
      </c>
      <c r="C3" s="167">
        <v>544.12</v>
      </c>
      <c r="E3" s="170">
        <f>+C3</f>
        <v>544.12</v>
      </c>
      <c r="G3" s="165">
        <v>41699</v>
      </c>
      <c r="H3">
        <f>+AVERAGE($E$115:$E$117)/AVERAGE(E4:E6)</f>
        <v>36.337803351908946</v>
      </c>
      <c r="J3">
        <v>29.541577188732788</v>
      </c>
      <c r="M3" s="49">
        <f t="shared" ref="M3:M39" si="0">+_xlfn.XLOOKUP($G$40,$A:$A,$E:$E)/_xlfn.XLOOKUP(G3,$A:$A,$E:$E)</f>
        <v>36.468688265055327</v>
      </c>
      <c r="N3" s="166" t="e">
        <f t="shared" ref="N3:N39" si="1">+M3/M2-1</f>
        <v>#VALUE!</v>
      </c>
      <c r="P3">
        <v>36.468688265055327</v>
      </c>
    </row>
    <row r="4" spans="1:16" x14ac:dyDescent="0.25">
      <c r="A4" s="165">
        <f>+EDATE(A3,1)</f>
        <v>41640</v>
      </c>
      <c r="C4" s="167">
        <v>561.83000000000004</v>
      </c>
      <c r="D4" s="149">
        <f>+C4/C3-1</f>
        <v>3.2547967360141206E-2</v>
      </c>
      <c r="E4" s="170">
        <f t="shared" ref="E4:E39" si="2">+C4</f>
        <v>561.83000000000004</v>
      </c>
      <c r="G4" s="165">
        <f>+EDATE(G3,3)</f>
        <v>41791</v>
      </c>
      <c r="H4">
        <f>+AVERAGE($E$115:$E$117)/AVERAGE(E7:E9)</f>
        <v>32.223133842689407</v>
      </c>
      <c r="I4" s="166">
        <f>+H4/H3-1</f>
        <v>-0.11323385371899153</v>
      </c>
      <c r="J4">
        <v>27.497746740226049</v>
      </c>
      <c r="K4" s="166">
        <f>+J4/J3-1</f>
        <v>-6.9184879177211278E-2</v>
      </c>
      <c r="M4" s="49">
        <f t="shared" si="0"/>
        <v>33.503511104262358</v>
      </c>
      <c r="N4" s="166">
        <f t="shared" si="1"/>
        <v>-8.1307480522523568E-2</v>
      </c>
      <c r="P4">
        <v>33.503511104262358</v>
      </c>
    </row>
    <row r="5" spans="1:16" x14ac:dyDescent="0.25">
      <c r="A5" s="165">
        <f>+EDATE(A4,1)</f>
        <v>41671</v>
      </c>
      <c r="C5" s="167">
        <v>585.34</v>
      </c>
      <c r="D5" s="149">
        <f t="shared" ref="D5:D68" si="3">+C5/C4-1</f>
        <v>4.1845398074150442E-2</v>
      </c>
      <c r="E5" s="170">
        <f t="shared" si="2"/>
        <v>585.34</v>
      </c>
      <c r="G5" s="165">
        <f t="shared" ref="G5:G40" si="4">+EDATE(G4,3)</f>
        <v>41883</v>
      </c>
      <c r="H5">
        <f>+AVERAGE($E$115:$E$117)/AVERAGE(E10:E12)</f>
        <v>30.264703187376579</v>
      </c>
      <c r="I5" s="166">
        <f t="shared" ref="I5:I40" si="5">+H5/H4-1</f>
        <v>-6.0777162918843275E-2</v>
      </c>
      <c r="J5">
        <v>25.741624627759919</v>
      </c>
      <c r="K5" s="166">
        <f t="shared" ref="K5:K40" si="6">+J5/J4-1</f>
        <v>-6.3864218732407108E-2</v>
      </c>
      <c r="M5" s="49">
        <f t="shared" si="0"/>
        <v>31.484438465841642</v>
      </c>
      <c r="N5" s="166">
        <f t="shared" si="1"/>
        <v>-6.0264508759616198E-2</v>
      </c>
      <c r="P5">
        <v>31.484438465841642</v>
      </c>
    </row>
    <row r="6" spans="1:16" x14ac:dyDescent="0.25">
      <c r="A6" s="165">
        <f t="shared" ref="A6:A36" si="7">+EDATE(A5,1)</f>
        <v>41699</v>
      </c>
      <c r="C6" s="167">
        <v>627.32000000000005</v>
      </c>
      <c r="D6" s="149">
        <f t="shared" si="3"/>
        <v>7.1719000922540799E-2</v>
      </c>
      <c r="E6" s="170">
        <f t="shared" si="2"/>
        <v>627.32000000000005</v>
      </c>
      <c r="G6" s="165">
        <f t="shared" si="4"/>
        <v>41974</v>
      </c>
      <c r="H6">
        <f>+AVERAGE($E$115:$E$117)/AVERAGE(E13:E15)</f>
        <v>28.315198383113447</v>
      </c>
      <c r="I6" s="166">
        <f t="shared" si="5"/>
        <v>-6.4415130463802872E-2</v>
      </c>
      <c r="J6">
        <v>24.609303887173208</v>
      </c>
      <c r="K6" s="166">
        <f t="shared" si="6"/>
        <v>-4.3987928382950958E-2</v>
      </c>
      <c r="M6" s="49">
        <f t="shared" si="0"/>
        <v>29.724985087098528</v>
      </c>
      <c r="N6" s="166">
        <f t="shared" si="1"/>
        <v>-5.5883270100306692E-2</v>
      </c>
      <c r="P6">
        <v>29.724985087098528</v>
      </c>
    </row>
    <row r="7" spans="1:16" x14ac:dyDescent="0.25">
      <c r="A7" s="165">
        <f t="shared" si="7"/>
        <v>41730</v>
      </c>
      <c r="C7" s="167">
        <v>652.39</v>
      </c>
      <c r="D7" s="149">
        <f t="shared" si="3"/>
        <v>3.9963654912962943E-2</v>
      </c>
      <c r="E7" s="170">
        <f t="shared" si="2"/>
        <v>652.39</v>
      </c>
      <c r="G7" s="165">
        <f t="shared" si="4"/>
        <v>42064</v>
      </c>
      <c r="H7">
        <f>+AVERAGE($E$115:$E$117)/AVERAGE(E16:E18)</f>
        <v>27.066274616523636</v>
      </c>
      <c r="I7" s="166">
        <f t="shared" si="5"/>
        <v>-4.4107893919423935E-2</v>
      </c>
      <c r="J7">
        <v>23.267931578378025</v>
      </c>
      <c r="K7" s="166">
        <f t="shared" si="6"/>
        <v>-5.4506714815867996E-2</v>
      </c>
      <c r="M7" s="49">
        <f t="shared" si="0"/>
        <v>28.292424682398821</v>
      </c>
      <c r="N7" s="166">
        <f t="shared" si="1"/>
        <v>-4.819381407600698E-2</v>
      </c>
      <c r="P7">
        <v>28.292424682398821</v>
      </c>
    </row>
    <row r="8" spans="1:16" x14ac:dyDescent="0.25">
      <c r="A8" s="165">
        <f t="shared" si="7"/>
        <v>41760</v>
      </c>
      <c r="C8" s="167">
        <v>665.85</v>
      </c>
      <c r="D8" s="149">
        <f t="shared" si="3"/>
        <v>2.063183065344365E-2</v>
      </c>
      <c r="E8" s="170">
        <f t="shared" si="2"/>
        <v>665.85</v>
      </c>
      <c r="G8" s="165">
        <f t="shared" si="4"/>
        <v>42156</v>
      </c>
      <c r="H8">
        <f>+AVERAGE($E$115:$E$117)/AVERAGE(E19:E21)</f>
        <v>25.56469714579681</v>
      </c>
      <c r="I8" s="166">
        <f t="shared" si="5"/>
        <v>-5.5477803724422792E-2</v>
      </c>
      <c r="J8">
        <v>22.093317965256286</v>
      </c>
      <c r="K8" s="166">
        <f t="shared" si="6"/>
        <v>-5.0482081278477753E-2</v>
      </c>
      <c r="M8" s="49">
        <f t="shared" si="0"/>
        <v>26.703010857943497</v>
      </c>
      <c r="N8" s="166">
        <f t="shared" si="1"/>
        <v>-5.6178070359735655E-2</v>
      </c>
      <c r="P8">
        <v>26.703010857943497</v>
      </c>
    </row>
    <row r="9" spans="1:16" x14ac:dyDescent="0.25">
      <c r="A9" s="165">
        <f t="shared" si="7"/>
        <v>41791</v>
      </c>
      <c r="C9" s="167">
        <v>682.84</v>
      </c>
      <c r="D9" s="149">
        <f t="shared" si="3"/>
        <v>2.551625741533381E-2</v>
      </c>
      <c r="E9" s="170">
        <f t="shared" si="2"/>
        <v>682.84</v>
      </c>
      <c r="G9" s="165">
        <f t="shared" si="4"/>
        <v>42248</v>
      </c>
      <c r="H9">
        <f>+AVERAGE($E$115:$E$117)/AVERAGE(E22:E24)</f>
        <v>24.280801866943158</v>
      </c>
      <c r="I9" s="166">
        <f t="shared" si="5"/>
        <v>-5.0221415553312831E-2</v>
      </c>
      <c r="J9">
        <v>20.881330193908372</v>
      </c>
      <c r="K9" s="166">
        <f t="shared" si="6"/>
        <v>-5.4857662088323433E-2</v>
      </c>
      <c r="M9" s="49">
        <f t="shared" si="0"/>
        <v>25.329986849171277</v>
      </c>
      <c r="N9" s="166">
        <f t="shared" si="1"/>
        <v>-5.1418321929183386E-2</v>
      </c>
      <c r="P9">
        <v>25.329986849171277</v>
      </c>
    </row>
    <row r="10" spans="1:16" x14ac:dyDescent="0.25">
      <c r="A10" s="165">
        <f t="shared" si="7"/>
        <v>41821</v>
      </c>
      <c r="C10" s="167">
        <v>695.13</v>
      </c>
      <c r="D10" s="149">
        <f t="shared" si="3"/>
        <v>1.7998359791459251E-2</v>
      </c>
      <c r="E10" s="170">
        <f t="shared" si="2"/>
        <v>695.13</v>
      </c>
      <c r="G10" s="165">
        <f t="shared" si="4"/>
        <v>42339</v>
      </c>
      <c r="H10">
        <f>+AVERAGE($E$115:$E$117)/AVERAGE(E25:E27)</f>
        <v>22.799170032716308</v>
      </c>
      <c r="I10" s="166">
        <f t="shared" si="5"/>
        <v>-6.1020712674403121E-2</v>
      </c>
      <c r="J10">
        <v>19.172189011428014</v>
      </c>
      <c r="K10" s="166">
        <f t="shared" si="6"/>
        <v>-8.1850206218134547E-2</v>
      </c>
      <c r="M10" s="49">
        <f t="shared" si="0"/>
        <v>23.708275495807609</v>
      </c>
      <c r="N10" s="166">
        <f t="shared" si="1"/>
        <v>-6.4023379207428399E-2</v>
      </c>
      <c r="P10">
        <v>23.708275495807609</v>
      </c>
    </row>
    <row r="11" spans="1:16" x14ac:dyDescent="0.25">
      <c r="A11" s="165">
        <f t="shared" si="7"/>
        <v>41852</v>
      </c>
      <c r="C11" s="167">
        <v>708.81</v>
      </c>
      <c r="D11" s="149">
        <f t="shared" si="3"/>
        <v>1.9679772128954331E-2</v>
      </c>
      <c r="E11" s="170">
        <f t="shared" si="2"/>
        <v>708.81</v>
      </c>
      <c r="G11" s="165">
        <f t="shared" si="4"/>
        <v>42430</v>
      </c>
      <c r="H11">
        <f>+AVERAGE($E$115:$E$117)/AVERAGE(E28:E30)</f>
        <v>20.164070732539333</v>
      </c>
      <c r="I11" s="166">
        <f t="shared" si="5"/>
        <v>-0.11557873801527274</v>
      </c>
      <c r="J11">
        <v>17.31764991747065</v>
      </c>
      <c r="K11" s="166">
        <f t="shared" si="6"/>
        <v>-9.6730691151225567E-2</v>
      </c>
      <c r="M11" s="49">
        <f t="shared" si="0"/>
        <v>20.804191770578644</v>
      </c>
      <c r="N11" s="166">
        <f t="shared" si="1"/>
        <v>-0.1224924067439026</v>
      </c>
      <c r="P11">
        <v>20.804191770578644</v>
      </c>
    </row>
    <row r="12" spans="1:16" x14ac:dyDescent="0.25">
      <c r="A12" s="165">
        <f t="shared" si="7"/>
        <v>41883</v>
      </c>
      <c r="C12" s="168">
        <v>726.63</v>
      </c>
      <c r="D12" s="149">
        <f t="shared" si="3"/>
        <v>2.5140728827189207E-2</v>
      </c>
      <c r="E12" s="170">
        <f t="shared" si="2"/>
        <v>726.63</v>
      </c>
      <c r="G12" s="165">
        <f t="shared" si="4"/>
        <v>42522</v>
      </c>
      <c r="H12">
        <f>+AVERAGE($E$115:$E$117)/AVERAGE(E31:E33)</f>
        <v>18.302470755682222</v>
      </c>
      <c r="I12" s="166">
        <f t="shared" si="5"/>
        <v>-9.2322626792465723E-2</v>
      </c>
      <c r="J12">
        <v>15.357014315529433</v>
      </c>
      <c r="K12" s="166">
        <f t="shared" si="6"/>
        <v>-0.1132160316951123</v>
      </c>
      <c r="M12" s="49">
        <f t="shared" si="0"/>
        <v>18.754232061412385</v>
      </c>
      <c r="N12" s="166">
        <f t="shared" si="1"/>
        <v>-9.8535897562015307E-2</v>
      </c>
      <c r="P12">
        <v>18.754232061412385</v>
      </c>
    </row>
    <row r="13" spans="1:16" x14ac:dyDescent="0.25">
      <c r="A13" s="165">
        <f t="shared" si="7"/>
        <v>41913</v>
      </c>
      <c r="C13" s="168">
        <v>749.11</v>
      </c>
      <c r="D13" s="149">
        <f t="shared" si="3"/>
        <v>3.093734087499822E-2</v>
      </c>
      <c r="E13" s="170">
        <f t="shared" si="2"/>
        <v>749.11</v>
      </c>
      <c r="G13" s="165">
        <f t="shared" si="4"/>
        <v>42614</v>
      </c>
      <c r="H13">
        <f>+AVERAGE($E$115:$E$117)/AVERAGE(E34:E36)</f>
        <v>17.070722308832238</v>
      </c>
      <c r="I13" s="166">
        <f t="shared" si="5"/>
        <v>-6.7299571915314882E-2</v>
      </c>
      <c r="J13">
        <v>15.308841624632819</v>
      </c>
      <c r="K13" s="166">
        <f t="shared" si="6"/>
        <v>-3.1368526398976027E-3</v>
      </c>
      <c r="M13" s="49">
        <f t="shared" si="0"/>
        <v>17.960070279819842</v>
      </c>
      <c r="N13" s="166">
        <f t="shared" si="1"/>
        <v>-4.2345737164389829E-2</v>
      </c>
      <c r="P13">
        <v>17.960070279819842</v>
      </c>
    </row>
    <row r="14" spans="1:16" x14ac:dyDescent="0.25">
      <c r="A14" s="165">
        <f t="shared" si="7"/>
        <v>41944</v>
      </c>
      <c r="C14" s="168">
        <v>758.51</v>
      </c>
      <c r="D14" s="149">
        <f t="shared" si="3"/>
        <v>1.2548223892352217E-2</v>
      </c>
      <c r="E14" s="170">
        <f t="shared" si="2"/>
        <v>758.51</v>
      </c>
      <c r="G14" s="165">
        <f t="shared" si="4"/>
        <v>42705</v>
      </c>
      <c r="H14">
        <f>+AVERAGE($E$115:$E$117)/AVERAGE(E37:E39)</f>
        <v>16.299974385077711</v>
      </c>
      <c r="I14" s="166">
        <f t="shared" si="5"/>
        <v>-4.5150281857478824E-2</v>
      </c>
      <c r="J14">
        <v>14.313991251839109</v>
      </c>
      <c r="K14" s="166">
        <f t="shared" si="6"/>
        <v>-6.4985346193204951E-2</v>
      </c>
      <c r="M14" s="49">
        <f t="shared" si="0"/>
        <v>17.085284403843492</v>
      </c>
      <c r="N14" s="166">
        <f t="shared" si="1"/>
        <v>-4.8707263521082678E-2</v>
      </c>
      <c r="P14">
        <v>17.085284403843492</v>
      </c>
    </row>
    <row r="15" spans="1:16" x14ac:dyDescent="0.25">
      <c r="A15" s="165">
        <f t="shared" si="7"/>
        <v>41974</v>
      </c>
      <c r="C15" s="168">
        <v>769.64</v>
      </c>
      <c r="D15" s="149">
        <f t="shared" si="3"/>
        <v>1.4673504634085344E-2</v>
      </c>
      <c r="E15" s="170">
        <f t="shared" si="2"/>
        <v>769.64</v>
      </c>
      <c r="G15" s="165">
        <f t="shared" si="4"/>
        <v>42795</v>
      </c>
      <c r="H15">
        <f>+AVERAGE($E$115:$E$117)/AVERAGE(E40:E42)</f>
        <v>15.456384727513633</v>
      </c>
      <c r="I15" s="166">
        <f t="shared" si="5"/>
        <v>-5.1754048051533497E-2</v>
      </c>
      <c r="J15">
        <v>13.446086420628284</v>
      </c>
      <c r="K15" s="166">
        <f t="shared" si="6"/>
        <v>-6.0633321338610879E-2</v>
      </c>
      <c r="M15" s="49">
        <f t="shared" si="0"/>
        <v>16.084323739490781</v>
      </c>
      <c r="N15" s="166">
        <f t="shared" si="1"/>
        <v>-5.8586128313294905E-2</v>
      </c>
      <c r="P15">
        <v>16.084323739490781</v>
      </c>
    </row>
    <row r="16" spans="1:16" x14ac:dyDescent="0.25">
      <c r="A16" s="165">
        <f t="shared" si="7"/>
        <v>42005</v>
      </c>
      <c r="C16" s="168">
        <v>780.99</v>
      </c>
      <c r="D16" s="149">
        <f t="shared" si="3"/>
        <v>1.474715451379871E-2</v>
      </c>
      <c r="E16" s="170">
        <f t="shared" si="2"/>
        <v>780.99</v>
      </c>
      <c r="G16" s="165">
        <f t="shared" si="4"/>
        <v>42887</v>
      </c>
      <c r="H16">
        <f>+AVERAGE($E$115:$E$117)/AVERAGE(E43:E45)</f>
        <v>14.519702869544492</v>
      </c>
      <c r="I16" s="166">
        <f t="shared" si="5"/>
        <v>-6.0601613797938825E-2</v>
      </c>
      <c r="J16">
        <v>12.727396684747387</v>
      </c>
      <c r="K16" s="166">
        <f t="shared" si="6"/>
        <v>-5.3449733505975483E-2</v>
      </c>
      <c r="M16" s="49">
        <f t="shared" si="0"/>
        <v>15.262085941025891</v>
      </c>
      <c r="N16" s="166">
        <f t="shared" si="1"/>
        <v>-5.1120445707400375E-2</v>
      </c>
      <c r="P16">
        <v>15.262085941025891</v>
      </c>
    </row>
    <row r="17" spans="1:16" x14ac:dyDescent="0.25">
      <c r="A17" s="165">
        <f t="shared" si="7"/>
        <v>42036</v>
      </c>
      <c r="C17" s="168">
        <v>792.74</v>
      </c>
      <c r="D17" s="149">
        <f t="shared" si="3"/>
        <v>1.5045006978322339E-2</v>
      </c>
      <c r="E17" s="170">
        <f t="shared" si="2"/>
        <v>792.74</v>
      </c>
      <c r="G17" s="165">
        <f t="shared" si="4"/>
        <v>42979</v>
      </c>
      <c r="H17">
        <f>+AVERAGE($E$115:$E$117)/AVERAGE(E46:E48)</f>
        <v>13.880513282884458</v>
      </c>
      <c r="I17" s="166">
        <f t="shared" si="5"/>
        <v>-4.4022222245384435E-2</v>
      </c>
      <c r="J17">
        <v>12.057536986645186</v>
      </c>
      <c r="K17" s="166">
        <f t="shared" si="6"/>
        <v>-5.2631320818731564E-2</v>
      </c>
      <c r="M17" s="49">
        <f t="shared" si="0"/>
        <v>14.523818158764648</v>
      </c>
      <c r="N17" s="166">
        <f t="shared" si="1"/>
        <v>-4.8372665775437085E-2</v>
      </c>
      <c r="P17">
        <v>14.523818158764648</v>
      </c>
    </row>
    <row r="18" spans="1:16" x14ac:dyDescent="0.25">
      <c r="A18" s="165">
        <f t="shared" si="7"/>
        <v>42064</v>
      </c>
      <c r="C18" s="168">
        <v>808.61</v>
      </c>
      <c r="D18" s="149">
        <f t="shared" si="3"/>
        <v>2.0019174004087148E-2</v>
      </c>
      <c r="E18" s="170">
        <f t="shared" si="2"/>
        <v>808.61</v>
      </c>
      <c r="G18" s="165">
        <f t="shared" si="4"/>
        <v>43070</v>
      </c>
      <c r="H18">
        <f>+AVERAGE($E$115:$E$117)/AVERAGE(E49:E51)</f>
        <v>13.182464852132139</v>
      </c>
      <c r="I18" s="166">
        <f t="shared" si="5"/>
        <v>-5.0289813966249874E-2</v>
      </c>
      <c r="J18">
        <v>11.485513799432496</v>
      </c>
      <c r="K18" s="166">
        <f t="shared" si="6"/>
        <v>-4.7441130626118544E-2</v>
      </c>
      <c r="M18" s="49">
        <f t="shared" si="0"/>
        <v>13.687311156883052</v>
      </c>
      <c r="N18" s="166">
        <f t="shared" si="1"/>
        <v>-5.7595529821253821E-2</v>
      </c>
      <c r="P18">
        <v>13.687311156883052</v>
      </c>
    </row>
    <row r="19" spans="1:16" x14ac:dyDescent="0.25">
      <c r="A19" s="165">
        <f t="shared" si="7"/>
        <v>42095</v>
      </c>
      <c r="C19" s="168">
        <v>825.24</v>
      </c>
      <c r="D19" s="149">
        <f t="shared" si="3"/>
        <v>2.0566156738106134E-2</v>
      </c>
      <c r="E19" s="170">
        <f t="shared" si="2"/>
        <v>825.24</v>
      </c>
      <c r="G19" s="165">
        <f>+EDATE(G18,3)</f>
        <v>43160</v>
      </c>
      <c r="H19">
        <f>+AVERAGE($E$115:$E$117)/AVERAGE(E52:E54)</f>
        <v>12.337735072244392</v>
      </c>
      <c r="I19" s="166">
        <f t="shared" si="5"/>
        <v>-6.4079805208137497E-2</v>
      </c>
      <c r="J19">
        <v>10.554406787053709</v>
      </c>
      <c r="K19" s="166">
        <f t="shared" si="6"/>
        <v>-8.1067945991653678E-2</v>
      </c>
      <c r="M19" s="49">
        <f t="shared" si="0"/>
        <v>12.834967459284785</v>
      </c>
      <c r="N19" s="166">
        <f t="shared" si="1"/>
        <v>-6.2272544828473553E-2</v>
      </c>
      <c r="P19">
        <v>12.834967459284785</v>
      </c>
    </row>
    <row r="20" spans="1:16" x14ac:dyDescent="0.25">
      <c r="A20" s="165">
        <f t="shared" si="7"/>
        <v>42125</v>
      </c>
      <c r="C20" s="168">
        <v>840.29</v>
      </c>
      <c r="D20" s="149">
        <f t="shared" si="3"/>
        <v>1.8237118898744464E-2</v>
      </c>
      <c r="E20" s="170">
        <f t="shared" si="2"/>
        <v>840.29</v>
      </c>
      <c r="G20" s="165">
        <f t="shared" si="4"/>
        <v>43252</v>
      </c>
      <c r="H20">
        <f>+AVERAGE($E$115:$E$117)/AVERAGE(E55:E57)</f>
        <v>11.437418364774047</v>
      </c>
      <c r="I20" s="166">
        <f t="shared" si="5"/>
        <v>-7.2972608197410915E-2</v>
      </c>
      <c r="J20">
        <v>9.5689306435149799</v>
      </c>
      <c r="K20" s="166">
        <f t="shared" si="6"/>
        <v>-9.3371059446707982E-2</v>
      </c>
      <c r="M20" s="49">
        <f t="shared" si="0"/>
        <v>11.803745302551345</v>
      </c>
      <c r="N20" s="166">
        <f t="shared" si="1"/>
        <v>-8.0344742595156005E-2</v>
      </c>
      <c r="P20">
        <v>11.803745302551345</v>
      </c>
    </row>
    <row r="21" spans="1:16" x14ac:dyDescent="0.25">
      <c r="A21" s="165">
        <f t="shared" si="7"/>
        <v>42156</v>
      </c>
      <c r="C21" s="168">
        <v>856.74</v>
      </c>
      <c r="D21" s="149">
        <f t="shared" si="3"/>
        <v>1.9576574753954024E-2</v>
      </c>
      <c r="E21" s="170">
        <f t="shared" si="2"/>
        <v>856.74</v>
      </c>
      <c r="G21" s="165">
        <f t="shared" si="4"/>
        <v>43344</v>
      </c>
      <c r="H21">
        <f>+AVERAGE($E$115:$E$117)/AVERAGE(E58:E60)</f>
        <v>10.258635353339397</v>
      </c>
      <c r="I21" s="166">
        <f t="shared" si="5"/>
        <v>-0.10306373115327916</v>
      </c>
      <c r="J21">
        <v>8.3727761850591236</v>
      </c>
      <c r="K21" s="166">
        <f t="shared" si="6"/>
        <v>-0.12500398456399198</v>
      </c>
      <c r="M21" s="49">
        <f t="shared" si="0"/>
        <v>10.346560682913816</v>
      </c>
      <c r="N21" s="166">
        <f t="shared" si="1"/>
        <v>-0.12345103882600406</v>
      </c>
      <c r="P21">
        <v>10.346560682913816</v>
      </c>
    </row>
    <row r="22" spans="1:16" x14ac:dyDescent="0.25">
      <c r="A22" s="165">
        <f t="shared" si="7"/>
        <v>42186</v>
      </c>
      <c r="C22" s="168">
        <v>866.25</v>
      </c>
      <c r="D22" s="149">
        <f t="shared" si="3"/>
        <v>1.1100217102038012E-2</v>
      </c>
      <c r="E22" s="170">
        <f t="shared" si="2"/>
        <v>866.25</v>
      </c>
      <c r="G22" s="165">
        <f t="shared" si="4"/>
        <v>43435</v>
      </c>
      <c r="H22">
        <f>+AVERAGE($E$115:$E$117)/AVERAGE(E61:E63)</f>
        <v>8.9516470173768212</v>
      </c>
      <c r="I22" s="166">
        <f t="shared" si="5"/>
        <v>-0.12740372290717239</v>
      </c>
      <c r="J22">
        <v>7.471963674237208</v>
      </c>
      <c r="K22" s="166">
        <f t="shared" si="6"/>
        <v>-0.10758827071352728</v>
      </c>
      <c r="M22" s="49">
        <f t="shared" si="0"/>
        <v>9.2710375547406141</v>
      </c>
      <c r="N22" s="166">
        <f t="shared" si="1"/>
        <v>-0.10394982073118342</v>
      </c>
      <c r="P22">
        <v>9.2710375547406141</v>
      </c>
    </row>
    <row r="23" spans="1:16" x14ac:dyDescent="0.25">
      <c r="A23" s="165">
        <f t="shared" si="7"/>
        <v>42217</v>
      </c>
      <c r="C23" s="168">
        <v>886.21</v>
      </c>
      <c r="D23" s="149">
        <f t="shared" si="3"/>
        <v>2.3041847041846975E-2</v>
      </c>
      <c r="E23" s="170">
        <f t="shared" si="2"/>
        <v>886.21</v>
      </c>
      <c r="G23" s="165">
        <f t="shared" si="4"/>
        <v>43525</v>
      </c>
      <c r="H23">
        <f>+AVERAGE($E$115:$E$117)/AVERAGE(E64:E66)</f>
        <v>8.1267263416995252</v>
      </c>
      <c r="I23" s="166">
        <f t="shared" si="5"/>
        <v>-9.2152949515990845E-2</v>
      </c>
      <c r="J23">
        <v>6.7301633734570832</v>
      </c>
      <c r="K23" s="166">
        <f t="shared" si="6"/>
        <v>-9.927782482907388E-2</v>
      </c>
      <c r="M23" s="49">
        <f t="shared" si="0"/>
        <v>8.29027487410589</v>
      </c>
      <c r="N23" s="166">
        <f t="shared" si="1"/>
        <v>-0.10578780151022305</v>
      </c>
      <c r="P23">
        <v>8.29027487410589</v>
      </c>
    </row>
    <row r="24" spans="1:16" x14ac:dyDescent="0.25">
      <c r="A24" s="165">
        <f t="shared" si="7"/>
        <v>42248</v>
      </c>
      <c r="C24" s="168">
        <v>903.18</v>
      </c>
      <c r="D24" s="149">
        <f t="shared" si="3"/>
        <v>1.9148960178738683E-2</v>
      </c>
      <c r="E24" s="170">
        <f t="shared" si="2"/>
        <v>903.18</v>
      </c>
      <c r="G24" s="165">
        <f t="shared" si="4"/>
        <v>43617</v>
      </c>
      <c r="H24">
        <f>+AVERAGE($E$115:$E$117)/AVERAGE(E67:E69)</f>
        <v>7.3136769342972308</v>
      </c>
      <c r="I24" s="166">
        <f t="shared" si="5"/>
        <v>-0.10004636223941843</v>
      </c>
      <c r="J24">
        <v>6.1370062640075211</v>
      </c>
      <c r="K24" s="166">
        <f t="shared" si="6"/>
        <v>-8.8134132343487992E-2</v>
      </c>
      <c r="M24" s="49">
        <f t="shared" si="0"/>
        <v>7.5721512938095792</v>
      </c>
      <c r="N24" s="166">
        <f t="shared" si="1"/>
        <v>-8.6622408931134598E-2</v>
      </c>
      <c r="P24">
        <v>7.5721512938095792</v>
      </c>
    </row>
    <row r="25" spans="1:16" x14ac:dyDescent="0.25">
      <c r="A25" s="165">
        <f t="shared" si="7"/>
        <v>42278</v>
      </c>
      <c r="C25" s="168">
        <v>925.23</v>
      </c>
      <c r="D25" s="149">
        <f t="shared" si="3"/>
        <v>2.4413738125290685E-2</v>
      </c>
      <c r="E25" s="170">
        <f t="shared" si="2"/>
        <v>925.23</v>
      </c>
      <c r="G25" s="165">
        <f t="shared" si="4"/>
        <v>43709</v>
      </c>
      <c r="H25">
        <f>+AVERAGE($E$115:$E$117)/AVERAGE(E70:E72)</f>
        <v>6.6477339132153617</v>
      </c>
      <c r="I25" s="166">
        <f t="shared" si="5"/>
        <v>-9.1054476026819375E-2</v>
      </c>
      <c r="J25">
        <v>5.4471201512400098</v>
      </c>
      <c r="K25" s="166">
        <f t="shared" si="6"/>
        <v>-0.1124141125313125</v>
      </c>
      <c r="M25" s="49">
        <f t="shared" si="0"/>
        <v>6.7272735471987692</v>
      </c>
      <c r="N25" s="166">
        <f t="shared" si="1"/>
        <v>-0.11157697645337838</v>
      </c>
      <c r="P25">
        <v>6.7272735471987692</v>
      </c>
    </row>
    <row r="26" spans="1:16" x14ac:dyDescent="0.25">
      <c r="A26" s="165">
        <f t="shared" si="7"/>
        <v>42309</v>
      </c>
      <c r="C26" s="168">
        <v>938.03</v>
      </c>
      <c r="D26" s="149">
        <f t="shared" si="3"/>
        <v>1.3834397933486731E-2</v>
      </c>
      <c r="E26" s="170">
        <f t="shared" si="2"/>
        <v>938.03</v>
      </c>
      <c r="G26" s="165">
        <f t="shared" si="4"/>
        <v>43800</v>
      </c>
      <c r="H26">
        <f>+AVERAGE($E$115:$E$117)/AVERAGE(E73:E75)</f>
        <v>5.8744679504323472</v>
      </c>
      <c r="I26" s="166">
        <f t="shared" si="5"/>
        <v>-0.11632023376353862</v>
      </c>
      <c r="J26">
        <v>4.8584125061970376</v>
      </c>
      <c r="K26" s="166">
        <f t="shared" si="6"/>
        <v>-0.10807686056070487</v>
      </c>
      <c r="M26" s="49">
        <f t="shared" si="0"/>
        <v>6.0210980732602568</v>
      </c>
      <c r="N26" s="166">
        <f t="shared" si="1"/>
        <v>-0.10497201711569515</v>
      </c>
      <c r="P26">
        <v>6.0210980732602568</v>
      </c>
    </row>
    <row r="27" spans="1:16" x14ac:dyDescent="0.25">
      <c r="A27" s="165">
        <f>+EDATE(A26,1)</f>
        <v>42339</v>
      </c>
      <c r="C27" s="168">
        <v>964.96</v>
      </c>
      <c r="D27" s="149">
        <f t="shared" si="3"/>
        <v>2.870910312036945E-2</v>
      </c>
      <c r="E27" s="170">
        <f t="shared" si="2"/>
        <v>964.96</v>
      </c>
      <c r="G27" s="165">
        <f t="shared" si="4"/>
        <v>43891</v>
      </c>
      <c r="H27">
        <f>+AVERAGE($E$115:$E$117)/AVERAGE(E76:E78)</f>
        <v>5.3971836043522563</v>
      </c>
      <c r="I27" s="166">
        <f t="shared" si="5"/>
        <v>-8.1247246577447751E-2</v>
      </c>
      <c r="J27">
        <v>4.4871206410969489</v>
      </c>
      <c r="K27" s="166">
        <f t="shared" si="6"/>
        <v>-7.6422466109350662E-2</v>
      </c>
      <c r="M27" s="49">
        <f t="shared" si="0"/>
        <v>5.5859825435371198</v>
      </c>
      <c r="N27" s="166">
        <f t="shared" si="1"/>
        <v>-7.2265145730724512E-2</v>
      </c>
      <c r="P27">
        <v>5.5859825435371198</v>
      </c>
    </row>
    <row r="28" spans="1:16" x14ac:dyDescent="0.25">
      <c r="A28" s="165">
        <f t="shared" si="7"/>
        <v>42370</v>
      </c>
      <c r="C28" s="168">
        <v>1027.54</v>
      </c>
      <c r="D28" s="149">
        <f t="shared" si="3"/>
        <v>6.4852429116232679E-2</v>
      </c>
      <c r="E28" s="170">
        <f t="shared" si="2"/>
        <v>1027.54</v>
      </c>
      <c r="G28" s="165">
        <f t="shared" si="4"/>
        <v>43983</v>
      </c>
      <c r="H28">
        <f>+AVERAGE($E$115:$E$117)/AVERAGE(E79:E81)</f>
        <v>5.0818869189647433</v>
      </c>
      <c r="I28" s="166">
        <f t="shared" si="5"/>
        <v>-5.8418743644974347E-2</v>
      </c>
      <c r="J28">
        <v>4.295881608164879</v>
      </c>
      <c r="K28" s="166">
        <f t="shared" si="6"/>
        <v>-4.2619543406196114E-2</v>
      </c>
      <c r="M28" s="49">
        <f t="shared" si="0"/>
        <v>5.305381197281938</v>
      </c>
      <c r="N28" s="166">
        <f t="shared" si="1"/>
        <v>-5.023312265446167E-2</v>
      </c>
      <c r="P28">
        <v>5.305381197281938</v>
      </c>
    </row>
    <row r="29" spans="1:16" x14ac:dyDescent="0.25">
      <c r="A29" s="165">
        <f t="shared" si="7"/>
        <v>42401</v>
      </c>
      <c r="C29" s="168">
        <v>1070.6199999999999</v>
      </c>
      <c r="D29" s="149">
        <f t="shared" si="3"/>
        <v>4.1925375167876533E-2</v>
      </c>
      <c r="E29" s="170">
        <f t="shared" si="2"/>
        <v>1070.6199999999999</v>
      </c>
      <c r="G29" s="165">
        <f t="shared" si="4"/>
        <v>44075</v>
      </c>
      <c r="H29">
        <f>+AVERAGE($E$115:$E$117)/AVERAGE(E82:E84)</f>
        <v>4.7602110531811448</v>
      </c>
      <c r="I29" s="166">
        <f t="shared" si="5"/>
        <v>-6.3298509178383866E-2</v>
      </c>
      <c r="J29">
        <v>3.9922132064905664</v>
      </c>
      <c r="K29" s="166">
        <f t="shared" si="6"/>
        <v>-7.0688261309890699E-2</v>
      </c>
      <c r="M29" s="49">
        <f t="shared" si="0"/>
        <v>4.93149788970846</v>
      </c>
      <c r="N29" s="166">
        <f t="shared" si="1"/>
        <v>-7.0472468173451208E-2</v>
      </c>
      <c r="P29">
        <v>4.93149788970846</v>
      </c>
    </row>
    <row r="30" spans="1:16" x14ac:dyDescent="0.25">
      <c r="A30" s="165">
        <f t="shared" si="7"/>
        <v>42430</v>
      </c>
      <c r="C30" s="168">
        <v>1099.6600000000001</v>
      </c>
      <c r="D30" s="149">
        <f t="shared" si="3"/>
        <v>2.7124469933309747E-2</v>
      </c>
      <c r="E30" s="170">
        <f t="shared" si="2"/>
        <v>1099.6600000000001</v>
      </c>
      <c r="G30" s="165">
        <f t="shared" si="4"/>
        <v>44166</v>
      </c>
      <c r="H30">
        <f>+AVERAGE($E$115:$E$117)/AVERAGE(E85:E87)</f>
        <v>4.3122475308308923</v>
      </c>
      <c r="I30" s="166">
        <f t="shared" si="5"/>
        <v>-9.4105811138539441E-2</v>
      </c>
      <c r="J30">
        <v>3.5717171558502021</v>
      </c>
      <c r="K30" s="166">
        <f t="shared" si="6"/>
        <v>-0.10532905656359215</v>
      </c>
      <c r="M30" s="49">
        <f t="shared" si="0"/>
        <v>4.4265814681170195</v>
      </c>
      <c r="N30" s="166">
        <f t="shared" si="1"/>
        <v>-0.10238601594966723</v>
      </c>
      <c r="P30">
        <v>4.4265814681170195</v>
      </c>
    </row>
    <row r="31" spans="1:16" x14ac:dyDescent="0.25">
      <c r="A31" s="165">
        <f t="shared" si="7"/>
        <v>42461</v>
      </c>
      <c r="C31" s="168">
        <v>1132.3900000000001</v>
      </c>
      <c r="D31" s="149">
        <f t="shared" si="3"/>
        <v>2.9763745157594279E-2</v>
      </c>
      <c r="E31" s="170">
        <f t="shared" si="2"/>
        <v>1132.3900000000001</v>
      </c>
      <c r="G31" s="165">
        <f t="shared" si="4"/>
        <v>44256</v>
      </c>
      <c r="H31">
        <f>+AVERAGE($E$115:$E$117)/AVERAGE(E88:E90)</f>
        <v>3.8429347691410123</v>
      </c>
      <c r="I31" s="166">
        <f t="shared" si="5"/>
        <v>-0.10883251908302483</v>
      </c>
      <c r="J31">
        <v>3.1907893654843473</v>
      </c>
      <c r="K31" s="166">
        <f t="shared" si="6"/>
        <v>-0.10665116350042558</v>
      </c>
      <c r="M31" s="49">
        <f t="shared" si="0"/>
        <v>3.920252894581242</v>
      </c>
      <c r="N31" s="166">
        <f t="shared" si="1"/>
        <v>-0.11438365636838932</v>
      </c>
      <c r="P31">
        <v>3.920252894581242</v>
      </c>
    </row>
    <row r="32" spans="1:16" x14ac:dyDescent="0.25">
      <c r="A32" s="165">
        <f t="shared" si="7"/>
        <v>42491</v>
      </c>
      <c r="C32" s="168">
        <v>1170.83</v>
      </c>
      <c r="D32" s="149">
        <f t="shared" si="3"/>
        <v>3.3945902030219077E-2</v>
      </c>
      <c r="E32" s="170">
        <f t="shared" si="2"/>
        <v>1170.83</v>
      </c>
      <c r="G32" s="165">
        <f t="shared" si="4"/>
        <v>44348</v>
      </c>
      <c r="H32">
        <f t="shared" ref="H32" si="8">+AVERAGE($E$115:$E$117)/AVERAGE(E97:E99)</f>
        <v>2.8500574728399517</v>
      </c>
      <c r="I32" s="166">
        <f t="shared" si="5"/>
        <v>-0.25836433766035338</v>
      </c>
      <c r="J32">
        <v>2.8304158515162743</v>
      </c>
      <c r="K32" s="166">
        <f t="shared" si="6"/>
        <v>-0.11294180614563065</v>
      </c>
      <c r="M32" s="49">
        <f t="shared" si="0"/>
        <v>3.5325094785543927</v>
      </c>
      <c r="N32" s="166">
        <f t="shared" si="1"/>
        <v>-9.89077558141227E-2</v>
      </c>
      <c r="P32">
        <v>3.5325094785543927</v>
      </c>
    </row>
    <row r="33" spans="1:16" x14ac:dyDescent="0.25">
      <c r="A33" s="165">
        <f t="shared" si="7"/>
        <v>42522</v>
      </c>
      <c r="C33" s="168">
        <v>1219.8599999999999</v>
      </c>
      <c r="D33" s="149">
        <f t="shared" si="3"/>
        <v>4.1876275804343832E-2</v>
      </c>
      <c r="E33" s="170">
        <f t="shared" si="2"/>
        <v>1219.8599999999999</v>
      </c>
      <c r="G33" s="165">
        <f t="shared" si="4"/>
        <v>44440</v>
      </c>
      <c r="H33">
        <f>+AVERAGE($E$115:$E$117)/AVERAGE(E91:E93)</f>
        <v>3.4249708605149536</v>
      </c>
      <c r="I33" s="166">
        <f t="shared" si="5"/>
        <v>0.20171992780978099</v>
      </c>
      <c r="J33">
        <v>2.5866618518668654</v>
      </c>
      <c r="K33" s="166">
        <f t="shared" si="6"/>
        <v>-8.6119500609363908E-2</v>
      </c>
      <c r="M33" s="49">
        <f t="shared" si="0"/>
        <v>3.2328227670229102</v>
      </c>
      <c r="N33" s="166">
        <f t="shared" si="1"/>
        <v>-8.4836774919036628E-2</v>
      </c>
      <c r="P33">
        <v>3.2328227670229102</v>
      </c>
    </row>
    <row r="34" spans="1:16" x14ac:dyDescent="0.25">
      <c r="A34" s="165">
        <f t="shared" si="7"/>
        <v>42552</v>
      </c>
      <c r="C34" s="168">
        <v>1237.74</v>
      </c>
      <c r="D34" s="149">
        <f t="shared" si="3"/>
        <v>1.4657419703900443E-2</v>
      </c>
      <c r="E34" s="170">
        <f t="shared" si="2"/>
        <v>1237.74</v>
      </c>
      <c r="G34" s="165">
        <f t="shared" si="4"/>
        <v>44531</v>
      </c>
      <c r="H34">
        <f>+AVERAGE($E$115:$E$117)/AVERAGE(E97:E99)</f>
        <v>2.8500574728399517</v>
      </c>
      <c r="I34" s="166">
        <f t="shared" si="5"/>
        <v>-0.16785935153578568</v>
      </c>
      <c r="J34">
        <v>2.3522072803942478</v>
      </c>
      <c r="K34" s="166">
        <f t="shared" si="6"/>
        <v>-9.0639822636037759E-2</v>
      </c>
      <c r="M34" s="49">
        <f t="shared" si="0"/>
        <v>2.9357585018028574</v>
      </c>
      <c r="N34" s="166">
        <f t="shared" si="1"/>
        <v>-9.1890056037194356E-2</v>
      </c>
      <c r="P34">
        <v>2.9357585018028574</v>
      </c>
    </row>
    <row r="35" spans="1:16" x14ac:dyDescent="0.25">
      <c r="A35" s="165">
        <f>+EDATE(A34,1)</f>
        <v>42583</v>
      </c>
      <c r="C35" s="168">
        <v>1265.75</v>
      </c>
      <c r="D35" s="149">
        <f t="shared" si="3"/>
        <v>2.2629954594664436E-2</v>
      </c>
      <c r="E35" s="170">
        <f t="shared" si="2"/>
        <v>1265.75</v>
      </c>
      <c r="G35" s="165">
        <f t="shared" si="4"/>
        <v>44621</v>
      </c>
      <c r="H35">
        <f>+AVERAGE($E$115:$E$117)/AVERAGE(E100:E102)</f>
        <v>2.5169280667640237</v>
      </c>
      <c r="I35" s="166">
        <f t="shared" si="5"/>
        <v>-0.11688515380848785</v>
      </c>
      <c r="J35">
        <v>2.0250379699214869</v>
      </c>
      <c r="K35" s="166">
        <f t="shared" si="6"/>
        <v>-0.13909034003921827</v>
      </c>
      <c r="M35" s="49">
        <f t="shared" si="0"/>
        <v>2.5292611812974566</v>
      </c>
      <c r="N35" s="166">
        <f t="shared" si="1"/>
        <v>-0.13846415509169763</v>
      </c>
      <c r="P35">
        <v>2.5292611812974566</v>
      </c>
    </row>
    <row r="36" spans="1:16" x14ac:dyDescent="0.25">
      <c r="A36" s="165">
        <f t="shared" si="7"/>
        <v>42614</v>
      </c>
      <c r="C36" s="169">
        <v>1273.8</v>
      </c>
      <c r="D36" s="149">
        <f t="shared" si="3"/>
        <v>6.3598656922772001E-3</v>
      </c>
      <c r="E36" s="170">
        <f t="shared" si="2"/>
        <v>1273.8</v>
      </c>
      <c r="G36" s="165">
        <f t="shared" si="4"/>
        <v>44713</v>
      </c>
      <c r="H36">
        <f>+AVERAGE($E$115:$E$117)/AVERAGE(E103:E105)</f>
        <v>2.1298032424000968</v>
      </c>
      <c r="I36" s="166">
        <f t="shared" si="5"/>
        <v>-0.15380845780850916</v>
      </c>
      <c r="J36">
        <v>1.7020229637441926</v>
      </c>
      <c r="K36" s="166">
        <f t="shared" si="6"/>
        <v>-0.1595105923815433</v>
      </c>
      <c r="M36" s="49">
        <f t="shared" si="0"/>
        <v>2.1560395644126782</v>
      </c>
      <c r="N36" s="166">
        <f t="shared" si="1"/>
        <v>-0.14756151703293996</v>
      </c>
      <c r="P36">
        <v>2.1560395644126782</v>
      </c>
    </row>
    <row r="37" spans="1:16" x14ac:dyDescent="0.25">
      <c r="A37" s="165">
        <f>+EDATE(A36,1)</f>
        <v>42644</v>
      </c>
      <c r="C37" s="169">
        <v>1295.28</v>
      </c>
      <c r="D37" s="149">
        <f t="shared" si="3"/>
        <v>1.6862929816297667E-2</v>
      </c>
      <c r="E37" s="170">
        <f t="shared" si="2"/>
        <v>1295.28</v>
      </c>
      <c r="G37" s="165">
        <f t="shared" si="4"/>
        <v>44805</v>
      </c>
      <c r="H37">
        <f>+AVERAGE($E$115:$E$117)/AVERAGE(E106:E108)</f>
        <v>1.7646794244615376</v>
      </c>
      <c r="I37" s="166">
        <f t="shared" si="5"/>
        <v>-0.17143546909389507</v>
      </c>
      <c r="J37">
        <v>1.3964264161959772</v>
      </c>
      <c r="K37" s="166">
        <f t="shared" si="6"/>
        <v>-0.1795490155291144</v>
      </c>
      <c r="M37" s="49">
        <f t="shared" si="0"/>
        <v>1.7666240983726396</v>
      </c>
      <c r="N37" s="166">
        <f t="shared" si="1"/>
        <v>-0.18061610392855587</v>
      </c>
      <c r="P37">
        <v>1.7666240983726396</v>
      </c>
    </row>
    <row r="38" spans="1:16" x14ac:dyDescent="0.25">
      <c r="A38" s="165">
        <f t="shared" ref="A38:A44" si="9">+EDATE(A37,1)</f>
        <v>42675</v>
      </c>
      <c r="C38" s="169">
        <v>1321.6</v>
      </c>
      <c r="D38" s="149">
        <f t="shared" si="3"/>
        <v>2.0319930825767329E-2</v>
      </c>
      <c r="E38" s="170">
        <f t="shared" si="2"/>
        <v>1321.6</v>
      </c>
      <c r="G38" s="165">
        <f t="shared" si="4"/>
        <v>44896</v>
      </c>
      <c r="H38">
        <f>+AVERAGE($E$115:$E$117)/AVERAGE(E109:E111)</f>
        <v>1.4863348555095961</v>
      </c>
      <c r="I38" s="166">
        <f t="shared" si="5"/>
        <v>-0.15773095390222147</v>
      </c>
      <c r="J38">
        <v>1.19454868112954</v>
      </c>
      <c r="K38" s="166">
        <f t="shared" si="6"/>
        <v>-0.1445673991303994</v>
      </c>
      <c r="M38" s="49">
        <f t="shared" si="0"/>
        <v>1.5074144759978307</v>
      </c>
      <c r="N38" s="166">
        <f t="shared" si="1"/>
        <v>-0.14672596315966979</v>
      </c>
      <c r="P38">
        <v>1.5074144759978307</v>
      </c>
    </row>
    <row r="39" spans="1:16" x14ac:dyDescent="0.25">
      <c r="A39" s="165">
        <f t="shared" si="9"/>
        <v>42705</v>
      </c>
      <c r="C39" s="169">
        <v>1339.02</v>
      </c>
      <c r="D39" s="149">
        <f t="shared" si="3"/>
        <v>1.3180992736077535E-2</v>
      </c>
      <c r="E39" s="170">
        <f t="shared" si="2"/>
        <v>1339.02</v>
      </c>
      <c r="G39" s="165">
        <f t="shared" si="4"/>
        <v>44986</v>
      </c>
      <c r="H39">
        <f>+AVERAGE($E$115:$E$117)/AVERAGE(E112:E114)</f>
        <v>1.2470756917725934</v>
      </c>
      <c r="I39" s="166">
        <f t="shared" si="5"/>
        <v>-0.16097258491255106</v>
      </c>
      <c r="J39">
        <v>1</v>
      </c>
      <c r="K39" s="166">
        <f t="shared" si="6"/>
        <v>-0.16286375281548082</v>
      </c>
      <c r="M39" s="49">
        <f t="shared" si="0"/>
        <v>1.2386651200000003</v>
      </c>
      <c r="N39" s="166">
        <f t="shared" si="1"/>
        <v>-0.1782849775407207</v>
      </c>
      <c r="P39">
        <v>1.2386651200000003</v>
      </c>
    </row>
    <row r="40" spans="1:16" x14ac:dyDescent="0.25">
      <c r="A40" s="165">
        <f t="shared" si="9"/>
        <v>42736</v>
      </c>
      <c r="B40" s="149">
        <v>1.6E-2</v>
      </c>
      <c r="C40" s="169">
        <v>1350.48</v>
      </c>
      <c r="D40" s="149">
        <f t="shared" si="3"/>
        <v>8.5584980060045002E-3</v>
      </c>
      <c r="E40" s="170">
        <f>+E39*(1+B40)</f>
        <v>1360.4443200000001</v>
      </c>
      <c r="G40" s="165">
        <f t="shared" si="4"/>
        <v>45078</v>
      </c>
      <c r="H40">
        <f>+AVERAGE($E$115:$E$117)/AVERAGE(E115:E117)</f>
        <v>1</v>
      </c>
      <c r="I40" s="166">
        <f t="shared" si="5"/>
        <v>-0.19812405405914058</v>
      </c>
      <c r="K40" s="166">
        <f t="shared" si="6"/>
        <v>-1</v>
      </c>
      <c r="M40" s="49">
        <f>+_xlfn.XLOOKUP($G$40,$A:$A,$E:$E)/_xlfn.XLOOKUP(G40,$A:$A,$E:$E)</f>
        <v>1</v>
      </c>
      <c r="N40" s="25">
        <f>+M40/M39-1</f>
        <v>-0.19267929333474754</v>
      </c>
      <c r="P40">
        <v>1</v>
      </c>
    </row>
    <row r="41" spans="1:16" x14ac:dyDescent="0.25">
      <c r="A41" s="165">
        <f t="shared" si="9"/>
        <v>42767</v>
      </c>
      <c r="B41" s="149">
        <v>2.1000000000000001E-2</v>
      </c>
      <c r="C41" s="169">
        <v>1366.86</v>
      </c>
      <c r="D41" s="149">
        <f t="shared" si="3"/>
        <v>1.2129020792607026E-2</v>
      </c>
      <c r="E41" s="170">
        <f t="shared" ref="E41:E104" si="10">+E40*(1+B41)</f>
        <v>1389.01365072</v>
      </c>
    </row>
    <row r="42" spans="1:16" x14ac:dyDescent="0.25">
      <c r="A42" s="165">
        <f t="shared" si="9"/>
        <v>42795</v>
      </c>
      <c r="B42" s="149">
        <v>2.4E-2</v>
      </c>
      <c r="C42" s="169">
        <v>1390.12</v>
      </c>
      <c r="D42" s="149">
        <f t="shared" si="3"/>
        <v>1.7017104897355972E-2</v>
      </c>
      <c r="E42" s="170">
        <f t="shared" si="10"/>
        <v>1422.3499783372799</v>
      </c>
    </row>
    <row r="43" spans="1:16" x14ac:dyDescent="0.25">
      <c r="A43" s="165">
        <f t="shared" si="9"/>
        <v>42826</v>
      </c>
      <c r="B43" s="149">
        <v>2.7000000000000003E-2</v>
      </c>
      <c r="C43" s="169">
        <v>1433.32</v>
      </c>
      <c r="D43" s="149">
        <f t="shared" si="3"/>
        <v>3.1076453831323958E-2</v>
      </c>
      <c r="E43" s="170">
        <f t="shared" si="10"/>
        <v>1460.7534277523864</v>
      </c>
    </row>
    <row r="44" spans="1:16" x14ac:dyDescent="0.25">
      <c r="A44" s="165">
        <f t="shared" si="9"/>
        <v>42856</v>
      </c>
      <c r="B44" s="149">
        <v>1.3999999999999999E-2</v>
      </c>
      <c r="C44" s="169">
        <v>1467.76</v>
      </c>
      <c r="D44" s="149">
        <f t="shared" si="3"/>
        <v>2.4028130494237132E-2</v>
      </c>
      <c r="E44" s="170">
        <f t="shared" si="10"/>
        <v>1481.2039757409198</v>
      </c>
    </row>
    <row r="45" spans="1:16" x14ac:dyDescent="0.25">
      <c r="A45" s="165">
        <f t="shared" ref="A45:A105" si="11">+EDATE(A44,1)</f>
        <v>42887</v>
      </c>
      <c r="B45" s="149">
        <v>1.2E-2</v>
      </c>
      <c r="C45" s="169">
        <v>1492.43</v>
      </c>
      <c r="D45" s="149">
        <f t="shared" si="3"/>
        <v>1.6807925001362634E-2</v>
      </c>
      <c r="E45" s="170">
        <f t="shared" si="10"/>
        <v>1498.9784234498109</v>
      </c>
    </row>
    <row r="46" spans="1:16" x14ac:dyDescent="0.25">
      <c r="A46" s="165">
        <f t="shared" si="11"/>
        <v>42917</v>
      </c>
      <c r="B46" s="149">
        <v>1.7000000000000001E-2</v>
      </c>
      <c r="C46" s="169">
        <v>1507.73</v>
      </c>
      <c r="D46" s="149">
        <f t="shared" si="3"/>
        <v>1.0251737099897351E-2</v>
      </c>
      <c r="E46" s="170">
        <f t="shared" si="10"/>
        <v>1524.4610566484575</v>
      </c>
    </row>
    <row r="47" spans="1:16" x14ac:dyDescent="0.25">
      <c r="A47" s="165">
        <f t="shared" si="11"/>
        <v>42948</v>
      </c>
      <c r="B47" s="149">
        <v>1.3999999999999999E-2</v>
      </c>
      <c r="C47" s="169">
        <v>1530.15</v>
      </c>
      <c r="D47" s="149">
        <f t="shared" si="3"/>
        <v>1.487003641235507E-2</v>
      </c>
      <c r="E47" s="170">
        <f t="shared" si="10"/>
        <v>1545.8035114415359</v>
      </c>
    </row>
    <row r="48" spans="1:16" x14ac:dyDescent="0.25">
      <c r="A48" s="165">
        <f t="shared" si="11"/>
        <v>42979</v>
      </c>
      <c r="B48" s="149">
        <v>1.9E-2</v>
      </c>
      <c r="C48" s="169">
        <v>1552.09</v>
      </c>
      <c r="D48" s="149">
        <f t="shared" si="3"/>
        <v>1.4338463549325109E-2</v>
      </c>
      <c r="E48" s="170">
        <f t="shared" si="10"/>
        <v>1575.173778158925</v>
      </c>
    </row>
    <row r="49" spans="1:5" x14ac:dyDescent="0.25">
      <c r="A49" s="165">
        <f t="shared" si="11"/>
        <v>43009</v>
      </c>
      <c r="B49" s="149">
        <v>1.4999999999999999E-2</v>
      </c>
      <c r="C49" s="169">
        <v>1580.79</v>
      </c>
      <c r="D49" s="149">
        <f t="shared" si="3"/>
        <v>1.8491195742514899E-2</v>
      </c>
      <c r="E49" s="170">
        <f t="shared" si="10"/>
        <v>1598.8013848313087</v>
      </c>
    </row>
    <row r="50" spans="1:5" x14ac:dyDescent="0.25">
      <c r="A50" s="165">
        <f t="shared" si="11"/>
        <v>43040</v>
      </c>
      <c r="B50" s="149">
        <v>1.3999999999999999E-2</v>
      </c>
      <c r="C50" s="169">
        <v>1606.59</v>
      </c>
      <c r="D50" s="149">
        <f t="shared" si="3"/>
        <v>1.632095344732698E-2</v>
      </c>
      <c r="E50" s="170">
        <f t="shared" si="10"/>
        <v>1621.184604218947</v>
      </c>
    </row>
    <row r="51" spans="1:5" x14ac:dyDescent="0.25">
      <c r="A51" s="165">
        <f t="shared" si="11"/>
        <v>43070</v>
      </c>
      <c r="B51" s="149">
        <v>3.1E-2</v>
      </c>
      <c r="C51" s="169">
        <v>1630.3</v>
      </c>
      <c r="D51" s="149">
        <f t="shared" si="3"/>
        <v>1.4757965629065284E-2</v>
      </c>
      <c r="E51" s="170">
        <f t="shared" si="10"/>
        <v>1671.4413269497343</v>
      </c>
    </row>
    <row r="52" spans="1:5" x14ac:dyDescent="0.25">
      <c r="A52" s="165">
        <f t="shared" si="11"/>
        <v>43101</v>
      </c>
      <c r="B52" s="149">
        <v>1.8000000000000002E-2</v>
      </c>
      <c r="C52" s="169">
        <v>1678.94</v>
      </c>
      <c r="D52" s="149">
        <f t="shared" si="3"/>
        <v>2.9834999693308051E-2</v>
      </c>
      <c r="E52" s="170">
        <f t="shared" si="10"/>
        <v>1701.5272708348296</v>
      </c>
    </row>
    <row r="53" spans="1:5" x14ac:dyDescent="0.25">
      <c r="A53" s="165">
        <f t="shared" si="11"/>
        <v>43132</v>
      </c>
      <c r="B53" s="149">
        <v>2.4E-2</v>
      </c>
      <c r="C53" s="169">
        <v>1703.2</v>
      </c>
      <c r="D53" s="149">
        <f t="shared" si="3"/>
        <v>1.4449593195706711E-2</v>
      </c>
      <c r="E53" s="170">
        <f t="shared" si="10"/>
        <v>1742.3639253348656</v>
      </c>
    </row>
    <row r="54" spans="1:5" x14ac:dyDescent="0.25">
      <c r="A54" s="165">
        <f t="shared" si="11"/>
        <v>43160</v>
      </c>
      <c r="B54" s="149">
        <v>2.3E-2</v>
      </c>
      <c r="C54" s="169">
        <v>1745.32</v>
      </c>
      <c r="D54" s="149">
        <f t="shared" si="3"/>
        <v>2.4729920150305285E-2</v>
      </c>
      <c r="E54" s="170">
        <f t="shared" si="10"/>
        <v>1782.4382956175673</v>
      </c>
    </row>
    <row r="55" spans="1:5" x14ac:dyDescent="0.25">
      <c r="A55" s="165">
        <f t="shared" si="11"/>
        <v>43191</v>
      </c>
      <c r="B55" s="149">
        <v>2.7000000000000003E-2</v>
      </c>
      <c r="C55" s="169">
        <v>1794.98</v>
      </c>
      <c r="D55" s="149">
        <f t="shared" si="3"/>
        <v>2.8453234936859806E-2</v>
      </c>
      <c r="E55" s="170">
        <f t="shared" si="10"/>
        <v>1830.5641295992414</v>
      </c>
    </row>
    <row r="56" spans="1:5" x14ac:dyDescent="0.25">
      <c r="A56" s="165">
        <f t="shared" si="11"/>
        <v>43221</v>
      </c>
      <c r="B56" s="149">
        <v>2.1000000000000001E-2</v>
      </c>
      <c r="C56" s="169">
        <v>1839.78</v>
      </c>
      <c r="D56" s="149">
        <f t="shared" si="3"/>
        <v>2.4958495359279853E-2</v>
      </c>
      <c r="E56" s="170">
        <f t="shared" si="10"/>
        <v>1869.0059763208253</v>
      </c>
    </row>
    <row r="57" spans="1:5" x14ac:dyDescent="0.25">
      <c r="A57" s="165">
        <f t="shared" si="11"/>
        <v>43252</v>
      </c>
      <c r="B57" s="149">
        <v>3.7000000000000005E-2</v>
      </c>
      <c r="C57" s="169">
        <v>1886.48</v>
      </c>
      <c r="D57" s="149">
        <f t="shared" si="3"/>
        <v>2.5383469762689126E-2</v>
      </c>
      <c r="E57" s="170">
        <f t="shared" si="10"/>
        <v>1938.1591974446958</v>
      </c>
    </row>
    <row r="58" spans="1:5" x14ac:dyDescent="0.25">
      <c r="A58" s="165">
        <f t="shared" si="11"/>
        <v>43282</v>
      </c>
      <c r="B58" s="149">
        <v>3.1E-2</v>
      </c>
      <c r="C58" s="169">
        <v>1963.53</v>
      </c>
      <c r="D58" s="149">
        <f t="shared" si="3"/>
        <v>4.084326364445956E-2</v>
      </c>
      <c r="E58" s="170">
        <f t="shared" si="10"/>
        <v>1998.2421325654811</v>
      </c>
    </row>
    <row r="59" spans="1:5" x14ac:dyDescent="0.25">
      <c r="A59" s="165">
        <f t="shared" si="11"/>
        <v>43313</v>
      </c>
      <c r="B59" s="149">
        <v>3.9E-2</v>
      </c>
      <c r="C59" s="169">
        <v>2034.03</v>
      </c>
      <c r="D59" s="149">
        <f t="shared" si="3"/>
        <v>3.5904722616919571E-2</v>
      </c>
      <c r="E59" s="170">
        <f t="shared" si="10"/>
        <v>2076.1735757355345</v>
      </c>
    </row>
    <row r="60" spans="1:5" x14ac:dyDescent="0.25">
      <c r="A60" s="165">
        <f t="shared" si="11"/>
        <v>43344</v>
      </c>
      <c r="B60" s="149">
        <v>6.5000000000000002E-2</v>
      </c>
      <c r="C60" s="169">
        <v>2102.36</v>
      </c>
      <c r="D60" s="149">
        <f t="shared" si="3"/>
        <v>3.3593408160154992E-2</v>
      </c>
      <c r="E60" s="170">
        <f t="shared" si="10"/>
        <v>2211.1248581583441</v>
      </c>
    </row>
    <row r="61" spans="1:5" x14ac:dyDescent="0.25">
      <c r="A61" s="165">
        <f t="shared" si="11"/>
        <v>43374</v>
      </c>
      <c r="B61" s="149">
        <v>5.4000000000000006E-2</v>
      </c>
      <c r="C61" s="169">
        <v>2264.6799999999998</v>
      </c>
      <c r="D61" s="149">
        <f t="shared" si="3"/>
        <v>7.7208470480792935E-2</v>
      </c>
      <c r="E61" s="170">
        <f t="shared" si="10"/>
        <v>2330.5256004988946</v>
      </c>
    </row>
    <row r="62" spans="1:5" x14ac:dyDescent="0.25">
      <c r="A62" s="165">
        <f t="shared" si="11"/>
        <v>43405</v>
      </c>
      <c r="B62" s="149">
        <v>3.2000000000000001E-2</v>
      </c>
      <c r="C62" s="169">
        <v>2382.64</v>
      </c>
      <c r="D62" s="149">
        <f t="shared" si="3"/>
        <v>5.208682904427997E-2</v>
      </c>
      <c r="E62" s="170">
        <f t="shared" si="10"/>
        <v>2405.1024197148595</v>
      </c>
    </row>
    <row r="63" spans="1:5" x14ac:dyDescent="0.25">
      <c r="A63" s="165">
        <f t="shared" si="11"/>
        <v>43435</v>
      </c>
      <c r="B63" s="149">
        <v>2.6000000000000002E-2</v>
      </c>
      <c r="C63" s="169">
        <v>2466.4499999999998</v>
      </c>
      <c r="D63" s="149">
        <f t="shared" si="3"/>
        <v>3.517526777020441E-2</v>
      </c>
      <c r="E63" s="170">
        <f t="shared" si="10"/>
        <v>2467.6350826274461</v>
      </c>
    </row>
    <row r="64" spans="1:5" x14ac:dyDescent="0.25">
      <c r="A64" s="165">
        <f t="shared" si="11"/>
        <v>43466</v>
      </c>
      <c r="B64" s="149">
        <v>2.8999999999999998E-2</v>
      </c>
      <c r="C64" s="169">
        <v>2517.89</v>
      </c>
      <c r="D64" s="149">
        <f t="shared" si="3"/>
        <v>2.0855885989985667E-2</v>
      </c>
      <c r="E64" s="170">
        <f t="shared" si="10"/>
        <v>2539.1965000236419</v>
      </c>
    </row>
    <row r="65" spans="1:5" x14ac:dyDescent="0.25">
      <c r="A65" s="165">
        <f t="shared" si="11"/>
        <v>43497</v>
      </c>
      <c r="B65" s="149">
        <v>3.7999999999999999E-2</v>
      </c>
      <c r="C65" s="169">
        <v>2609.62</v>
      </c>
      <c r="D65" s="149">
        <f t="shared" si="3"/>
        <v>3.6431297634130111E-2</v>
      </c>
      <c r="E65" s="170">
        <f t="shared" si="10"/>
        <v>2635.6859670245403</v>
      </c>
    </row>
    <row r="66" spans="1:5" x14ac:dyDescent="0.25">
      <c r="A66" s="165">
        <f t="shared" si="11"/>
        <v>43525</v>
      </c>
      <c r="B66" s="149">
        <v>4.7E-2</v>
      </c>
      <c r="C66" s="169">
        <v>2708.13</v>
      </c>
      <c r="D66" s="149">
        <f t="shared" si="3"/>
        <v>3.7748791011718241E-2</v>
      </c>
      <c r="E66" s="170">
        <f t="shared" si="10"/>
        <v>2759.5632074746936</v>
      </c>
    </row>
    <row r="67" spans="1:5" x14ac:dyDescent="0.25">
      <c r="A67" s="165">
        <f t="shared" si="11"/>
        <v>43556</v>
      </c>
      <c r="B67" s="149">
        <v>3.4000000000000002E-2</v>
      </c>
      <c r="C67" s="169">
        <v>2835.66</v>
      </c>
      <c r="D67" s="149">
        <f t="shared" si="3"/>
        <v>4.7091535487587377E-2</v>
      </c>
      <c r="E67" s="170">
        <f t="shared" si="10"/>
        <v>2853.3883565288334</v>
      </c>
    </row>
    <row r="68" spans="1:5" x14ac:dyDescent="0.25">
      <c r="A68" s="165">
        <f t="shared" si="11"/>
        <v>43586</v>
      </c>
      <c r="B68" s="149">
        <v>3.1E-2</v>
      </c>
      <c r="C68" s="169">
        <v>2933.41</v>
      </c>
      <c r="D68" s="149">
        <f t="shared" si="3"/>
        <v>3.4471692657088715E-2</v>
      </c>
      <c r="E68" s="170">
        <f t="shared" si="10"/>
        <v>2941.843395581227</v>
      </c>
    </row>
    <row r="69" spans="1:5" x14ac:dyDescent="0.25">
      <c r="A69" s="165">
        <f t="shared" si="11"/>
        <v>43617</v>
      </c>
      <c r="B69" s="149">
        <v>2.7000000000000003E-2</v>
      </c>
      <c r="C69" s="169">
        <v>3035.33</v>
      </c>
      <c r="D69" s="149">
        <f t="shared" ref="D69:D117" si="12">+C69/C68-1</f>
        <v>3.4744546449354097E-2</v>
      </c>
      <c r="E69" s="170">
        <f t="shared" si="10"/>
        <v>3021.2731672619198</v>
      </c>
    </row>
    <row r="70" spans="1:5" x14ac:dyDescent="0.25">
      <c r="A70" s="165">
        <f t="shared" si="11"/>
        <v>43647</v>
      </c>
      <c r="B70" s="149">
        <v>2.2000000000000002E-2</v>
      </c>
      <c r="C70" s="169">
        <v>3104.39</v>
      </c>
      <c r="D70" s="149">
        <f t="shared" si="12"/>
        <v>2.2752056613284166E-2</v>
      </c>
      <c r="E70" s="170">
        <f t="shared" si="10"/>
        <v>3087.7411769416822</v>
      </c>
    </row>
    <row r="71" spans="1:5" x14ac:dyDescent="0.25">
      <c r="A71" s="165">
        <f t="shared" si="11"/>
        <v>43678</v>
      </c>
      <c r="B71" s="149">
        <v>0.04</v>
      </c>
      <c r="C71" s="169">
        <v>3151.61</v>
      </c>
      <c r="D71" s="149">
        <f t="shared" si="12"/>
        <v>1.521071772554361E-2</v>
      </c>
      <c r="E71" s="170">
        <f t="shared" si="10"/>
        <v>3211.2508240193497</v>
      </c>
    </row>
    <row r="72" spans="1:5" x14ac:dyDescent="0.25">
      <c r="A72" s="165">
        <f t="shared" si="11"/>
        <v>43709</v>
      </c>
      <c r="B72" s="149">
        <v>5.9000000000000004E-2</v>
      </c>
      <c r="C72" s="169">
        <v>3302.07</v>
      </c>
      <c r="D72" s="149">
        <f t="shared" si="12"/>
        <v>4.7740678573808371E-2</v>
      </c>
      <c r="E72" s="170">
        <f t="shared" si="10"/>
        <v>3400.7146226364912</v>
      </c>
    </row>
    <row r="73" spans="1:5" x14ac:dyDescent="0.25">
      <c r="A73" s="165">
        <f t="shared" si="11"/>
        <v>43739</v>
      </c>
      <c r="B73" s="149">
        <v>3.3000000000000002E-2</v>
      </c>
      <c r="C73" s="169">
        <v>3506.25</v>
      </c>
      <c r="D73" s="149">
        <f t="shared" si="12"/>
        <v>6.1833940528214004E-2</v>
      </c>
      <c r="E73" s="170">
        <f t="shared" si="10"/>
        <v>3512.938205183495</v>
      </c>
    </row>
    <row r="74" spans="1:5" x14ac:dyDescent="0.25">
      <c r="A74" s="165">
        <f t="shared" si="11"/>
        <v>43770</v>
      </c>
      <c r="B74" s="149">
        <v>4.2999999999999997E-2</v>
      </c>
      <c r="C74" s="169">
        <v>3610.36</v>
      </c>
      <c r="D74" s="149">
        <f t="shared" si="12"/>
        <v>2.9692691622103418E-2</v>
      </c>
      <c r="E74" s="170">
        <f t="shared" si="10"/>
        <v>3663.9945480063852</v>
      </c>
    </row>
    <row r="75" spans="1:5" x14ac:dyDescent="0.25">
      <c r="A75" s="165">
        <f t="shared" si="11"/>
        <v>43800</v>
      </c>
      <c r="B75" s="149">
        <v>3.7000000000000005E-2</v>
      </c>
      <c r="C75" s="169">
        <v>3784.74</v>
      </c>
      <c r="D75" s="149">
        <f t="shared" si="12"/>
        <v>4.8299892531492583E-2</v>
      </c>
      <c r="E75" s="170">
        <f t="shared" si="10"/>
        <v>3799.5623462826211</v>
      </c>
    </row>
    <row r="76" spans="1:5" x14ac:dyDescent="0.25">
      <c r="A76" s="165">
        <f t="shared" si="11"/>
        <v>43831</v>
      </c>
      <c r="B76" s="149">
        <v>2.3E-2</v>
      </c>
      <c r="C76" s="169">
        <v>3968.36</v>
      </c>
      <c r="D76" s="149">
        <f t="shared" si="12"/>
        <v>4.8515882200626859E-2</v>
      </c>
      <c r="E76" s="170">
        <f t="shared" si="10"/>
        <v>3886.9522802471211</v>
      </c>
    </row>
    <row r="77" spans="1:5" x14ac:dyDescent="0.25">
      <c r="A77" s="165">
        <f t="shared" si="11"/>
        <v>43862</v>
      </c>
      <c r="B77" s="149">
        <v>0.02</v>
      </c>
      <c r="C77" s="169">
        <v>4089.1</v>
      </c>
      <c r="D77" s="149">
        <f t="shared" si="12"/>
        <v>3.0425667026177106E-2</v>
      </c>
      <c r="E77" s="170">
        <f t="shared" si="10"/>
        <v>3964.6913258520635</v>
      </c>
    </row>
    <row r="78" spans="1:5" x14ac:dyDescent="0.25">
      <c r="A78" s="165">
        <f t="shared" si="11"/>
        <v>43891</v>
      </c>
      <c r="B78" s="149">
        <v>3.3000000000000002E-2</v>
      </c>
      <c r="C78" s="169">
        <v>4200.6899999999996</v>
      </c>
      <c r="D78" s="149">
        <f t="shared" si="12"/>
        <v>2.7289623633562243E-2</v>
      </c>
      <c r="E78" s="170">
        <f t="shared" si="10"/>
        <v>4095.5261396051815</v>
      </c>
    </row>
    <row r="79" spans="1:5" x14ac:dyDescent="0.25">
      <c r="A79" s="165">
        <f t="shared" si="11"/>
        <v>43922</v>
      </c>
      <c r="B79" s="149">
        <v>1.4999999999999999E-2</v>
      </c>
      <c r="C79" s="169">
        <v>4316.58</v>
      </c>
      <c r="D79" s="149">
        <f t="shared" si="12"/>
        <v>2.7588324775215556E-2</v>
      </c>
      <c r="E79" s="170">
        <f t="shared" si="10"/>
        <v>4156.959031699259</v>
      </c>
    </row>
    <row r="80" spans="1:5" x14ac:dyDescent="0.25">
      <c r="A80" s="165">
        <f t="shared" si="11"/>
        <v>43952</v>
      </c>
      <c r="B80" s="149">
        <v>1.4999999999999999E-2</v>
      </c>
      <c r="C80" s="169">
        <v>4401.0600000000004</v>
      </c>
      <c r="D80" s="149">
        <f t="shared" si="12"/>
        <v>1.9571049302920418E-2</v>
      </c>
      <c r="E80" s="170">
        <f t="shared" si="10"/>
        <v>4219.3134171747479</v>
      </c>
    </row>
    <row r="81" spans="1:5" x14ac:dyDescent="0.25">
      <c r="A81" s="165">
        <f t="shared" si="11"/>
        <v>43983</v>
      </c>
      <c r="B81" s="149">
        <v>2.2000000000000002E-2</v>
      </c>
      <c r="C81" s="169">
        <v>4461.5600000000004</v>
      </c>
      <c r="D81" s="149">
        <f t="shared" si="12"/>
        <v>1.3746688297819221E-2</v>
      </c>
      <c r="E81" s="170">
        <f t="shared" si="10"/>
        <v>4312.138312352592</v>
      </c>
    </row>
    <row r="82" spans="1:5" x14ac:dyDescent="0.25">
      <c r="A82" s="165">
        <f t="shared" si="11"/>
        <v>44013</v>
      </c>
      <c r="B82" s="149">
        <v>1.9E-2</v>
      </c>
      <c r="C82" s="169">
        <v>4533.16</v>
      </c>
      <c r="D82" s="149">
        <f t="shared" si="12"/>
        <v>1.604819838800764E-2</v>
      </c>
      <c r="E82" s="170">
        <f t="shared" si="10"/>
        <v>4394.0689402872913</v>
      </c>
    </row>
    <row r="83" spans="1:5" x14ac:dyDescent="0.25">
      <c r="A83" s="165">
        <f t="shared" si="11"/>
        <v>44044</v>
      </c>
      <c r="B83" s="149">
        <v>2.7000000000000003E-2</v>
      </c>
      <c r="C83" s="169">
        <v>4641.9399999999996</v>
      </c>
      <c r="D83" s="149">
        <f t="shared" si="12"/>
        <v>2.3996505748749231E-2</v>
      </c>
      <c r="E83" s="170">
        <f t="shared" si="10"/>
        <v>4512.7088016750477</v>
      </c>
    </row>
    <row r="84" spans="1:5" x14ac:dyDescent="0.25">
      <c r="A84" s="165">
        <f t="shared" si="11"/>
        <v>44075</v>
      </c>
      <c r="B84" s="149">
        <v>2.7999999999999997E-2</v>
      </c>
      <c r="C84" s="169">
        <v>4782.91</v>
      </c>
      <c r="D84" s="149">
        <f t="shared" si="12"/>
        <v>3.0368768230524257E-2</v>
      </c>
      <c r="E84" s="170">
        <f t="shared" si="10"/>
        <v>4639.0646481219492</v>
      </c>
    </row>
    <row r="85" spans="1:5" x14ac:dyDescent="0.25">
      <c r="A85" s="165">
        <f t="shared" si="11"/>
        <v>44105</v>
      </c>
      <c r="B85" s="149">
        <v>3.7999999999999999E-2</v>
      </c>
      <c r="C85" s="169">
        <v>4929.68</v>
      </c>
      <c r="D85" s="149">
        <f t="shared" si="12"/>
        <v>3.0686339487885128E-2</v>
      </c>
      <c r="E85" s="170">
        <f t="shared" si="10"/>
        <v>4815.3491047505831</v>
      </c>
    </row>
    <row r="86" spans="1:5" x14ac:dyDescent="0.25">
      <c r="A86" s="165">
        <f t="shared" si="11"/>
        <v>44136</v>
      </c>
      <c r="B86" s="149">
        <v>3.2000000000000001E-2</v>
      </c>
      <c r="C86" s="169">
        <v>5104.74</v>
      </c>
      <c r="D86" s="149">
        <f t="shared" si="12"/>
        <v>3.5511432790769293E-2</v>
      </c>
      <c r="E86" s="170">
        <f t="shared" si="10"/>
        <v>4969.4402761026022</v>
      </c>
    </row>
    <row r="87" spans="1:5" x14ac:dyDescent="0.25">
      <c r="A87" s="165">
        <f t="shared" si="11"/>
        <v>44166</v>
      </c>
      <c r="B87" s="149">
        <v>0.04</v>
      </c>
      <c r="C87" s="169">
        <v>5293.17</v>
      </c>
      <c r="D87" s="149">
        <f t="shared" si="12"/>
        <v>3.6912751677852462E-2</v>
      </c>
      <c r="E87" s="170">
        <f t="shared" si="10"/>
        <v>5168.2178871467067</v>
      </c>
    </row>
    <row r="88" spans="1:5" x14ac:dyDescent="0.25">
      <c r="A88" s="165">
        <f t="shared" si="11"/>
        <v>44197</v>
      </c>
      <c r="B88" s="149">
        <v>0.04</v>
      </c>
      <c r="C88" s="169">
        <v>5626.28</v>
      </c>
      <c r="D88" s="149">
        <f t="shared" si="12"/>
        <v>6.2932042613405459E-2</v>
      </c>
      <c r="E88" s="170">
        <f t="shared" si="10"/>
        <v>5374.9466026325754</v>
      </c>
    </row>
    <row r="89" spans="1:5" x14ac:dyDescent="0.25">
      <c r="A89" s="165">
        <f t="shared" si="11"/>
        <v>44228</v>
      </c>
      <c r="B89" s="149">
        <v>3.6000000000000004E-2</v>
      </c>
      <c r="C89" s="169">
        <v>5907.94</v>
      </c>
      <c r="D89" s="149">
        <f t="shared" si="12"/>
        <v>5.0061497117100506E-2</v>
      </c>
      <c r="E89" s="170">
        <f t="shared" si="10"/>
        <v>5568.4446803273486</v>
      </c>
    </row>
    <row r="90" spans="1:5" x14ac:dyDescent="0.25">
      <c r="A90" s="165">
        <f t="shared" si="11"/>
        <v>44256</v>
      </c>
      <c r="B90" s="149">
        <v>4.8000000000000001E-2</v>
      </c>
      <c r="C90" s="169">
        <v>6123.9</v>
      </c>
      <c r="D90" s="149">
        <f t="shared" si="12"/>
        <v>3.6554196555821594E-2</v>
      </c>
      <c r="E90" s="170">
        <f t="shared" si="10"/>
        <v>5835.7300249830614</v>
      </c>
    </row>
    <row r="91" spans="1:5" x14ac:dyDescent="0.25">
      <c r="A91" s="165">
        <f t="shared" si="11"/>
        <v>44287</v>
      </c>
      <c r="B91" s="149">
        <v>4.0999999999999995E-2</v>
      </c>
      <c r="C91" s="169">
        <v>6361.08</v>
      </c>
      <c r="D91" s="149">
        <f t="shared" si="12"/>
        <v>3.8730220937637894E-2</v>
      </c>
      <c r="E91" s="170">
        <f t="shared" si="10"/>
        <v>6074.9949560073665</v>
      </c>
    </row>
    <row r="92" spans="1:5" x14ac:dyDescent="0.25">
      <c r="A92" s="165">
        <f t="shared" si="11"/>
        <v>44317</v>
      </c>
      <c r="B92" s="149">
        <v>3.3000000000000002E-2</v>
      </c>
      <c r="C92" s="169">
        <v>6615</v>
      </c>
      <c r="D92" s="149">
        <f t="shared" si="12"/>
        <v>3.9917749816068993E-2</v>
      </c>
      <c r="E92" s="170">
        <f t="shared" si="10"/>
        <v>6275.4697895556092</v>
      </c>
    </row>
    <row r="93" spans="1:5" x14ac:dyDescent="0.25">
      <c r="A93" s="165">
        <f t="shared" si="11"/>
        <v>44348</v>
      </c>
      <c r="B93" s="149">
        <v>3.2000000000000001E-2</v>
      </c>
      <c r="C93" s="169">
        <v>6834.62</v>
      </c>
      <c r="D93" s="149">
        <f t="shared" si="12"/>
        <v>3.3200302343159516E-2</v>
      </c>
      <c r="E93" s="170">
        <f t="shared" si="10"/>
        <v>6476.2848228213888</v>
      </c>
    </row>
    <row r="94" spans="1:5" x14ac:dyDescent="0.25">
      <c r="A94" s="165">
        <f t="shared" si="11"/>
        <v>44378</v>
      </c>
      <c r="B94" s="149">
        <v>0.03</v>
      </c>
      <c r="C94" s="169">
        <v>7065.63</v>
      </c>
      <c r="D94" s="149">
        <f t="shared" si="12"/>
        <v>3.3799977175029472E-2</v>
      </c>
      <c r="E94" s="170">
        <f t="shared" si="10"/>
        <v>6670.573367506031</v>
      </c>
    </row>
    <row r="95" spans="1:5" x14ac:dyDescent="0.25">
      <c r="A95" s="165">
        <f t="shared" si="11"/>
        <v>44409</v>
      </c>
      <c r="B95" s="149">
        <v>2.5000000000000001E-2</v>
      </c>
      <c r="C95" s="169">
        <v>7245.04</v>
      </c>
      <c r="D95" s="149">
        <f t="shared" si="12"/>
        <v>2.5391932495757663E-2</v>
      </c>
      <c r="E95" s="170">
        <f t="shared" si="10"/>
        <v>6837.3377016936811</v>
      </c>
    </row>
    <row r="96" spans="1:5" x14ac:dyDescent="0.25">
      <c r="A96" s="165">
        <f t="shared" si="11"/>
        <v>44440</v>
      </c>
      <c r="B96" s="149">
        <v>3.5000000000000003E-2</v>
      </c>
      <c r="C96" s="169">
        <v>7433.88</v>
      </c>
      <c r="D96" s="149">
        <f t="shared" si="12"/>
        <v>2.6064728421099082E-2</v>
      </c>
      <c r="E96" s="170">
        <f t="shared" si="10"/>
        <v>7076.6445212529597</v>
      </c>
    </row>
    <row r="97" spans="1:5" x14ac:dyDescent="0.25">
      <c r="A97" s="165">
        <f t="shared" si="11"/>
        <v>44470</v>
      </c>
      <c r="B97" s="149">
        <v>3.5000000000000003E-2</v>
      </c>
      <c r="C97" s="169">
        <v>7648.23</v>
      </c>
      <c r="D97" s="149">
        <f t="shared" si="12"/>
        <v>2.8834202327721048E-2</v>
      </c>
      <c r="E97" s="170">
        <f t="shared" si="10"/>
        <v>7324.327079496813</v>
      </c>
    </row>
    <row r="98" spans="1:5" x14ac:dyDescent="0.25">
      <c r="A98" s="165">
        <f t="shared" si="11"/>
        <v>44501</v>
      </c>
      <c r="B98" s="149">
        <v>2.5000000000000001E-2</v>
      </c>
      <c r="C98" s="169">
        <v>7865.47</v>
      </c>
      <c r="D98" s="149">
        <f t="shared" si="12"/>
        <v>2.8403957516968115E-2</v>
      </c>
      <c r="E98" s="170">
        <f t="shared" si="10"/>
        <v>7507.4352564842329</v>
      </c>
    </row>
    <row r="99" spans="1:5" x14ac:dyDescent="0.25">
      <c r="A99" s="165">
        <f t="shared" si="11"/>
        <v>44531</v>
      </c>
      <c r="B99" s="149">
        <v>3.7999999999999999E-2</v>
      </c>
      <c r="C99" s="169">
        <v>8110.64</v>
      </c>
      <c r="D99" s="149">
        <f t="shared" si="12"/>
        <v>3.1170419568061325E-2</v>
      </c>
      <c r="E99" s="170">
        <f t="shared" si="10"/>
        <v>7792.7177962306341</v>
      </c>
    </row>
    <row r="100" spans="1:5" x14ac:dyDescent="0.25">
      <c r="A100" s="165">
        <f t="shared" si="11"/>
        <v>44562</v>
      </c>
      <c r="B100" s="149">
        <v>3.9E-2</v>
      </c>
      <c r="C100" s="169">
        <v>8480.7000000000007</v>
      </c>
      <c r="D100" s="149">
        <f t="shared" si="12"/>
        <v>4.5626485702731312E-2</v>
      </c>
      <c r="E100" s="170">
        <f t="shared" si="10"/>
        <v>8096.6337902836285</v>
      </c>
    </row>
    <row r="101" spans="1:5" x14ac:dyDescent="0.25">
      <c r="A101" s="165">
        <f t="shared" si="11"/>
        <v>44593</v>
      </c>
      <c r="B101" s="149">
        <v>4.7E-2</v>
      </c>
      <c r="C101" s="169">
        <v>8808.77</v>
      </c>
      <c r="D101" s="149">
        <f t="shared" si="12"/>
        <v>3.8684306719964034E-2</v>
      </c>
      <c r="E101" s="170">
        <f t="shared" si="10"/>
        <v>8477.175578426959</v>
      </c>
    </row>
    <row r="102" spans="1:5" x14ac:dyDescent="0.25">
      <c r="A102" s="165">
        <f t="shared" si="11"/>
        <v>44621</v>
      </c>
      <c r="B102" s="149">
        <v>6.7000000000000004E-2</v>
      </c>
      <c r="C102" s="169">
        <v>9327.8799999999992</v>
      </c>
      <c r="D102" s="149">
        <f t="shared" si="12"/>
        <v>5.8931042585968152E-2</v>
      </c>
      <c r="E102" s="170">
        <f t="shared" si="10"/>
        <v>9045.1463421815643</v>
      </c>
    </row>
    <row r="103" spans="1:5" x14ac:dyDescent="0.25">
      <c r="A103" s="165">
        <f t="shared" si="11"/>
        <v>44652</v>
      </c>
      <c r="B103" s="149">
        <v>0.06</v>
      </c>
      <c r="C103" s="169">
        <v>9962.61</v>
      </c>
      <c r="D103" s="149">
        <f t="shared" si="12"/>
        <v>6.8046544338049131E-2</v>
      </c>
      <c r="E103" s="170">
        <f t="shared" si="10"/>
        <v>9587.855122712459</v>
      </c>
    </row>
    <row r="104" spans="1:5" x14ac:dyDescent="0.25">
      <c r="A104" s="165">
        <f t="shared" si="11"/>
        <v>44682</v>
      </c>
      <c r="B104" s="149">
        <v>5.0999999999999997E-2</v>
      </c>
      <c r="C104" s="169">
        <v>10472.040000000001</v>
      </c>
      <c r="D104" s="149">
        <f t="shared" si="12"/>
        <v>5.1134190739173802E-2</v>
      </c>
      <c r="E104" s="170">
        <f t="shared" si="10"/>
        <v>10076.835733970795</v>
      </c>
    </row>
    <row r="105" spans="1:5" x14ac:dyDescent="0.25">
      <c r="A105" s="165">
        <f t="shared" si="11"/>
        <v>44713</v>
      </c>
      <c r="B105" s="149">
        <v>5.2999999999999999E-2</v>
      </c>
      <c r="C105" s="169">
        <v>11054.95</v>
      </c>
      <c r="D105" s="149">
        <f t="shared" si="12"/>
        <v>5.5663461942467629E-2</v>
      </c>
      <c r="E105" s="170">
        <f t="shared" ref="E105:E117" si="13">+E104*(1+B105)</f>
        <v>10610.908027871246</v>
      </c>
    </row>
    <row r="106" spans="1:5" x14ac:dyDescent="0.25">
      <c r="A106" s="165">
        <f t="shared" ref="A106:A117" si="14">+EDATE(A105,1)</f>
        <v>44743</v>
      </c>
      <c r="B106" s="149">
        <v>7.400000000000001E-2</v>
      </c>
      <c r="C106" s="169">
        <v>11531.78</v>
      </c>
      <c r="D106" s="149">
        <f t="shared" si="12"/>
        <v>4.3132714304451758E-2</v>
      </c>
      <c r="E106" s="170">
        <f t="shared" si="13"/>
        <v>11396.11522193372</v>
      </c>
    </row>
    <row r="107" spans="1:5" x14ac:dyDescent="0.25">
      <c r="A107" s="165">
        <f t="shared" si="14"/>
        <v>44774</v>
      </c>
      <c r="B107" s="149">
        <v>7.0000000000000007E-2</v>
      </c>
      <c r="C107" s="169">
        <v>12323.61</v>
      </c>
      <c r="D107" s="149">
        <f t="shared" si="12"/>
        <v>6.8665028295718411E-2</v>
      </c>
      <c r="E107" s="170">
        <f t="shared" si="13"/>
        <v>12193.843287469081</v>
      </c>
    </row>
    <row r="108" spans="1:5" x14ac:dyDescent="0.25">
      <c r="A108" s="165">
        <f t="shared" si="14"/>
        <v>44805</v>
      </c>
      <c r="B108" s="149">
        <v>6.2E-2</v>
      </c>
      <c r="C108" s="169">
        <v>13207.47</v>
      </c>
      <c r="D108" s="149">
        <f t="shared" si="12"/>
        <v>7.1720867505544073E-2</v>
      </c>
      <c r="E108" s="170">
        <f t="shared" si="13"/>
        <v>12949.861571292164</v>
      </c>
    </row>
    <row r="109" spans="1:5" x14ac:dyDescent="0.25">
      <c r="A109" s="165">
        <f t="shared" si="14"/>
        <v>44835</v>
      </c>
      <c r="B109" s="149">
        <v>6.3E-2</v>
      </c>
      <c r="C109" s="169">
        <v>14057.96</v>
      </c>
      <c r="D109" s="149">
        <f t="shared" si="12"/>
        <v>6.4394619105702988E-2</v>
      </c>
      <c r="E109" s="170">
        <f t="shared" si="13"/>
        <v>13765.702850283569</v>
      </c>
    </row>
    <row r="110" spans="1:5" x14ac:dyDescent="0.25">
      <c r="A110" s="165">
        <f t="shared" si="14"/>
        <v>44866</v>
      </c>
      <c r="B110" s="149">
        <v>4.9000000000000002E-2</v>
      </c>
      <c r="C110" s="169">
        <v>14826.58</v>
      </c>
      <c r="D110" s="149">
        <f t="shared" si="12"/>
        <v>5.4675073766037308E-2</v>
      </c>
      <c r="E110" s="170">
        <f t="shared" si="13"/>
        <v>14440.222289947464</v>
      </c>
    </row>
    <row r="111" spans="1:5" x14ac:dyDescent="0.25">
      <c r="A111" s="165">
        <f t="shared" si="14"/>
        <v>44896</v>
      </c>
      <c r="B111" s="149">
        <v>5.0999999999999997E-2</v>
      </c>
      <c r="C111" s="169">
        <v>15585.2</v>
      </c>
      <c r="D111" s="149">
        <f t="shared" si="12"/>
        <v>5.1166216349286309E-2</v>
      </c>
      <c r="E111" s="170">
        <f t="shared" si="13"/>
        <v>15176.673626734784</v>
      </c>
    </row>
    <row r="112" spans="1:5" x14ac:dyDescent="0.25">
      <c r="A112" s="165">
        <f t="shared" si="14"/>
        <v>44927</v>
      </c>
      <c r="B112" s="149">
        <v>0.06</v>
      </c>
      <c r="C112" s="169">
        <v>16324.7</v>
      </c>
      <c r="D112" s="149">
        <f t="shared" si="12"/>
        <v>4.7448861740625681E-2</v>
      </c>
      <c r="E112" s="170">
        <f t="shared" si="13"/>
        <v>16087.274044338872</v>
      </c>
    </row>
    <row r="113" spans="1:5" x14ac:dyDescent="0.25">
      <c r="A113" s="165">
        <f t="shared" si="14"/>
        <v>44958</v>
      </c>
      <c r="B113" s="149">
        <v>6.6000000000000003E-2</v>
      </c>
      <c r="C113" s="169">
        <v>17243.86</v>
      </c>
      <c r="D113" s="149">
        <f t="shared" si="12"/>
        <v>5.630486318278427E-2</v>
      </c>
      <c r="E113" s="170">
        <f t="shared" si="13"/>
        <v>17149.034131265238</v>
      </c>
    </row>
    <row r="114" spans="1:5" x14ac:dyDescent="0.25">
      <c r="A114" s="165">
        <f t="shared" si="14"/>
        <v>44986</v>
      </c>
      <c r="B114" s="149">
        <v>7.6999999999999999E-2</v>
      </c>
      <c r="C114" s="169">
        <v>18772.650000000001</v>
      </c>
      <c r="D114" s="149">
        <f t="shared" si="12"/>
        <v>8.8657064021628651E-2</v>
      </c>
      <c r="E114" s="170">
        <f t="shared" si="13"/>
        <v>18469.50975937266</v>
      </c>
    </row>
    <row r="115" spans="1:5" x14ac:dyDescent="0.25">
      <c r="A115" s="165">
        <f t="shared" si="14"/>
        <v>45017</v>
      </c>
      <c r="B115" s="149">
        <v>8.4000000000000005E-2</v>
      </c>
      <c r="C115" s="169">
        <v>20072.27</v>
      </c>
      <c r="D115" s="149">
        <f t="shared" si="12"/>
        <v>6.9229437506159064E-2</v>
      </c>
      <c r="E115" s="170">
        <f t="shared" si="13"/>
        <v>20020.948579159965</v>
      </c>
    </row>
    <row r="116" spans="1:5" x14ac:dyDescent="0.25">
      <c r="A116" s="165">
        <f t="shared" si="14"/>
        <v>45047</v>
      </c>
      <c r="B116" s="149">
        <v>7.8E-2</v>
      </c>
      <c r="C116" s="169">
        <v>21489.61</v>
      </c>
      <c r="D116" s="149">
        <f t="shared" si="12"/>
        <v>7.0611844101339916E-2</v>
      </c>
      <c r="E116" s="170">
        <f t="shared" si="13"/>
        <v>21582.582568334445</v>
      </c>
    </row>
    <row r="117" spans="1:5" x14ac:dyDescent="0.25">
      <c r="A117" s="165">
        <f t="shared" si="14"/>
        <v>45078</v>
      </c>
      <c r="B117" s="149">
        <v>0.06</v>
      </c>
      <c r="C117" s="169">
        <v>22820.29</v>
      </c>
      <c r="D117" s="149">
        <f t="shared" si="12"/>
        <v>6.1922017198078549E-2</v>
      </c>
      <c r="E117" s="170">
        <f t="shared" si="13"/>
        <v>22877.537522434512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3"/>
  <sheetViews>
    <sheetView showGridLines="0" zoomScaleNormal="100" workbookViewId="0">
      <pane xSplit="3" ySplit="6" topLeftCell="K7" activePane="bottomRight" state="frozen"/>
      <selection activeCell="F1" sqref="F1:F1048576"/>
      <selection pane="topRight" activeCell="F1" sqref="F1:F1048576"/>
      <selection pane="bottomLeft" activeCell="F1" sqref="F1:F1048576"/>
      <selection pane="bottomRight" activeCell="M3" sqref="M3"/>
    </sheetView>
  </sheetViews>
  <sheetFormatPr baseColWidth="10" defaultRowHeight="16.5" x14ac:dyDescent="0.3"/>
  <cols>
    <col min="1" max="1" width="5.28515625" style="23" customWidth="1"/>
    <col min="2" max="2" width="43.7109375" style="2" bestFit="1" customWidth="1"/>
    <col min="3" max="3" width="12.5703125" style="2" customWidth="1"/>
    <col min="4" max="4" width="30.85546875" style="2" bestFit="1" customWidth="1"/>
    <col min="5" max="5" width="13.7109375" style="152" customWidth="1"/>
    <col min="6" max="17" width="13" style="152" bestFit="1" customWidth="1"/>
    <col min="18" max="21" width="11.42578125" style="152"/>
    <col min="22" max="16384" width="11.42578125" style="1"/>
  </cols>
  <sheetData>
    <row r="1" spans="1:17" ht="28.5" customHeight="1" x14ac:dyDescent="0.3">
      <c r="A1" s="151"/>
      <c r="B1" s="206" t="s">
        <v>42</v>
      </c>
      <c r="C1" s="206"/>
      <c r="D1" s="206"/>
      <c r="E1" s="206"/>
    </row>
    <row r="2" spans="1:17" x14ac:dyDescent="0.3">
      <c r="B2" s="153" t="s">
        <v>50</v>
      </c>
    </row>
    <row r="4" spans="1:17" ht="30.75" customHeight="1" x14ac:dyDescent="0.3">
      <c r="B4" s="207" t="s">
        <v>139</v>
      </c>
      <c r="C4" s="207"/>
      <c r="D4" s="207"/>
      <c r="F4" s="154"/>
      <c r="G4" s="154"/>
      <c r="H4" s="154"/>
      <c r="I4" s="154"/>
      <c r="J4" s="154"/>
      <c r="K4" s="154"/>
      <c r="L4" s="154"/>
      <c r="M4" s="154"/>
      <c r="N4" s="154"/>
      <c r="O4" s="154"/>
      <c r="P4" s="154"/>
      <c r="Q4" s="154"/>
    </row>
    <row r="5" spans="1:17" ht="15.75" customHeight="1" x14ac:dyDescent="0.3">
      <c r="B5" s="201" t="s">
        <v>0</v>
      </c>
      <c r="C5" s="203" t="s">
        <v>1</v>
      </c>
      <c r="D5" s="203" t="s">
        <v>99</v>
      </c>
      <c r="F5" s="155">
        <v>2023</v>
      </c>
      <c r="G5" s="155">
        <v>2023</v>
      </c>
      <c r="H5" s="155">
        <v>2023</v>
      </c>
      <c r="I5" s="155">
        <v>2023</v>
      </c>
      <c r="J5" s="155">
        <v>2023</v>
      </c>
      <c r="K5" s="155">
        <v>2023</v>
      </c>
      <c r="L5" s="155">
        <v>2023</v>
      </c>
      <c r="M5" s="155">
        <v>2023</v>
      </c>
      <c r="N5" s="155">
        <v>2023</v>
      </c>
      <c r="O5" s="155">
        <v>2023</v>
      </c>
      <c r="P5" s="155">
        <v>2023</v>
      </c>
      <c r="Q5" s="155">
        <v>2023</v>
      </c>
    </row>
    <row r="6" spans="1:17" x14ac:dyDescent="0.3">
      <c r="B6" s="202"/>
      <c r="C6" s="204"/>
      <c r="D6" s="204"/>
      <c r="F6" s="155">
        <v>1</v>
      </c>
      <c r="G6" s="155">
        <f>+F6+1</f>
        <v>2</v>
      </c>
      <c r="H6" s="155">
        <f t="shared" ref="H6:Q6" si="0">+G6+1</f>
        <v>3</v>
      </c>
      <c r="I6" s="155">
        <f t="shared" si="0"/>
        <v>4</v>
      </c>
      <c r="J6" s="155">
        <f t="shared" si="0"/>
        <v>5</v>
      </c>
      <c r="K6" s="155">
        <f t="shared" si="0"/>
        <v>6</v>
      </c>
      <c r="L6" s="155">
        <f t="shared" si="0"/>
        <v>7</v>
      </c>
      <c r="M6" s="155">
        <f t="shared" si="0"/>
        <v>8</v>
      </c>
      <c r="N6" s="155">
        <f t="shared" si="0"/>
        <v>9</v>
      </c>
      <c r="O6" s="155">
        <f t="shared" si="0"/>
        <v>10</v>
      </c>
      <c r="P6" s="155">
        <f t="shared" si="0"/>
        <v>11</v>
      </c>
      <c r="Q6" s="155">
        <f t="shared" si="0"/>
        <v>12</v>
      </c>
    </row>
    <row r="7" spans="1:17" x14ac:dyDescent="0.3">
      <c r="A7" s="118"/>
      <c r="B7" s="156" t="s">
        <v>3</v>
      </c>
      <c r="C7" s="156" t="s">
        <v>4</v>
      </c>
      <c r="D7" s="156" t="s">
        <v>93</v>
      </c>
      <c r="E7" s="157"/>
      <c r="F7" s="16">
        <v>523.21377179639296</v>
      </c>
      <c r="G7" s="16">
        <v>523.21377179639296</v>
      </c>
      <c r="H7" s="16">
        <v>523.21377179639296</v>
      </c>
      <c r="I7" s="16">
        <v>523.21377179639296</v>
      </c>
      <c r="J7" s="16">
        <v>523.21377179639296</v>
      </c>
      <c r="K7" s="16">
        <v>523.21377180000002</v>
      </c>
      <c r="L7" s="16">
        <v>523.21377179639296</v>
      </c>
      <c r="M7" s="16">
        <v>523.21377179639296</v>
      </c>
      <c r="N7" s="16">
        <v>523.21377179639296</v>
      </c>
      <c r="O7" s="16">
        <v>523.21377179639296</v>
      </c>
      <c r="P7" s="16">
        <v>0</v>
      </c>
      <c r="Q7" s="16">
        <v>0</v>
      </c>
    </row>
    <row r="8" spans="1:17" x14ac:dyDescent="0.3">
      <c r="A8" s="118"/>
      <c r="B8" s="156" t="s">
        <v>129</v>
      </c>
      <c r="C8" s="156" t="s">
        <v>130</v>
      </c>
      <c r="D8" s="156" t="s">
        <v>93</v>
      </c>
      <c r="E8" s="157"/>
      <c r="F8" s="16">
        <v>262.63990592238855</v>
      </c>
      <c r="G8" s="16">
        <v>276.41588038023167</v>
      </c>
      <c r="H8" s="16">
        <v>294.74459659442431</v>
      </c>
      <c r="I8" s="16">
        <v>313.93294994993397</v>
      </c>
      <c r="J8" s="16">
        <v>341.328013385752</v>
      </c>
      <c r="K8" s="16">
        <v>368.49472507104605</v>
      </c>
      <c r="L8" s="16">
        <v>368.49472507104605</v>
      </c>
      <c r="M8" s="16">
        <v>368.49472507104605</v>
      </c>
      <c r="N8" s="16">
        <v>368.49472507104605</v>
      </c>
      <c r="O8" s="16">
        <v>368.49472507104605</v>
      </c>
      <c r="P8" s="16">
        <v>368.49472507104605</v>
      </c>
      <c r="Q8" s="16">
        <v>368.49472507104605</v>
      </c>
    </row>
    <row r="9" spans="1:17" x14ac:dyDescent="0.3">
      <c r="A9" s="118"/>
      <c r="B9" s="156" t="s">
        <v>124</v>
      </c>
      <c r="C9" s="156" t="s">
        <v>125</v>
      </c>
      <c r="D9" s="156" t="s">
        <v>93</v>
      </c>
      <c r="E9" s="157"/>
      <c r="F9" s="16">
        <v>184.29096038501621</v>
      </c>
      <c r="G9" s="16">
        <v>193.95738009438659</v>
      </c>
      <c r="H9" s="16">
        <v>206.81839868893383</v>
      </c>
      <c r="I9" s="16">
        <v>220.28261333550356</v>
      </c>
      <c r="J9" s="16">
        <v>239.50536828077554</v>
      </c>
      <c r="K9" s="16">
        <v>258.56789181238673</v>
      </c>
      <c r="L9" s="16">
        <v>258.56789181238673</v>
      </c>
      <c r="M9" s="16">
        <v>258.56789181238673</v>
      </c>
      <c r="N9" s="16">
        <v>258.56789181238673</v>
      </c>
      <c r="O9" s="16">
        <v>258.56789181238673</v>
      </c>
      <c r="P9" s="16">
        <v>258.56789181238673</v>
      </c>
      <c r="Q9" s="16">
        <v>258.56789181238673</v>
      </c>
    </row>
    <row r="10" spans="1:17" x14ac:dyDescent="0.3">
      <c r="A10" s="118"/>
      <c r="B10" s="156" t="s">
        <v>5</v>
      </c>
      <c r="C10" s="156" t="s">
        <v>6</v>
      </c>
      <c r="D10" s="156" t="s">
        <v>93</v>
      </c>
      <c r="E10" s="157"/>
      <c r="F10" s="16">
        <v>0</v>
      </c>
      <c r="G10" s="16">
        <v>0</v>
      </c>
      <c r="H10" s="16">
        <v>0</v>
      </c>
      <c r="I10" s="16">
        <v>0</v>
      </c>
      <c r="J10" s="16">
        <v>0</v>
      </c>
      <c r="K10" s="16">
        <v>0</v>
      </c>
      <c r="L10" s="16">
        <v>0</v>
      </c>
      <c r="M10" s="16">
        <v>0</v>
      </c>
      <c r="N10" s="16">
        <v>0</v>
      </c>
      <c r="O10" s="16">
        <v>0</v>
      </c>
      <c r="P10" s="16">
        <v>0</v>
      </c>
      <c r="Q10" s="16">
        <v>0</v>
      </c>
    </row>
    <row r="11" spans="1:17" x14ac:dyDescent="0.3">
      <c r="A11" s="118"/>
      <c r="B11" s="156" t="s">
        <v>11</v>
      </c>
      <c r="C11" s="156" t="s">
        <v>12</v>
      </c>
      <c r="D11" s="156" t="s">
        <v>93</v>
      </c>
      <c r="E11" s="157"/>
      <c r="F11" s="16">
        <v>4.7601719999999998</v>
      </c>
      <c r="G11" s="16">
        <v>0</v>
      </c>
      <c r="H11" s="16">
        <v>0</v>
      </c>
      <c r="I11" s="16">
        <v>4.9704381999999994</v>
      </c>
      <c r="J11" s="16">
        <v>0</v>
      </c>
      <c r="K11" s="16">
        <v>0</v>
      </c>
      <c r="L11" s="16">
        <v>5.1850926899999994</v>
      </c>
      <c r="M11" s="16">
        <v>0</v>
      </c>
      <c r="N11" s="16">
        <v>0</v>
      </c>
      <c r="O11" s="16">
        <v>5.2522479100000004</v>
      </c>
      <c r="P11" s="16">
        <v>0</v>
      </c>
      <c r="Q11" s="16">
        <v>0</v>
      </c>
    </row>
    <row r="12" spans="1:17" x14ac:dyDescent="0.3">
      <c r="A12" s="118"/>
      <c r="B12" s="156" t="s">
        <v>143</v>
      </c>
      <c r="C12" s="156" t="s">
        <v>144</v>
      </c>
      <c r="D12" s="156" t="s">
        <v>97</v>
      </c>
      <c r="E12" s="157"/>
      <c r="F12" s="16">
        <v>0</v>
      </c>
      <c r="G12" s="16">
        <v>0</v>
      </c>
      <c r="H12" s="16">
        <v>0</v>
      </c>
      <c r="I12" s="16">
        <v>0</v>
      </c>
      <c r="J12" s="16">
        <v>0</v>
      </c>
      <c r="K12" s="16">
        <v>0</v>
      </c>
      <c r="L12" s="16">
        <v>0</v>
      </c>
      <c r="M12" s="16">
        <v>0</v>
      </c>
      <c r="N12" s="16">
        <v>0</v>
      </c>
      <c r="O12" s="16">
        <v>0</v>
      </c>
      <c r="P12" s="16">
        <v>0</v>
      </c>
      <c r="Q12" s="16">
        <v>2731.412550301578</v>
      </c>
    </row>
    <row r="13" spans="1:17" x14ac:dyDescent="0.3">
      <c r="A13" s="118"/>
      <c r="B13" s="156" t="s">
        <v>189</v>
      </c>
      <c r="C13" s="156" t="s">
        <v>182</v>
      </c>
      <c r="D13" s="156" t="s">
        <v>97</v>
      </c>
      <c r="E13" s="157"/>
      <c r="F13" s="16">
        <v>0</v>
      </c>
      <c r="G13" s="16">
        <v>0</v>
      </c>
      <c r="H13" s="16">
        <v>0</v>
      </c>
      <c r="I13" s="16">
        <v>0</v>
      </c>
      <c r="J13" s="16">
        <v>0</v>
      </c>
      <c r="K13" s="16">
        <v>0</v>
      </c>
      <c r="L13" s="16">
        <v>0</v>
      </c>
      <c r="M13" s="16">
        <v>0</v>
      </c>
      <c r="N13" s="16">
        <v>609.58416650000004</v>
      </c>
      <c r="O13" s="16">
        <v>0</v>
      </c>
      <c r="P13" s="16">
        <v>0</v>
      </c>
      <c r="Q13" s="16">
        <v>609.58416650000004</v>
      </c>
    </row>
    <row r="14" spans="1:17" x14ac:dyDescent="0.3">
      <c r="A14" s="118"/>
      <c r="B14" s="156" t="s">
        <v>190</v>
      </c>
      <c r="C14" s="156" t="s">
        <v>183</v>
      </c>
      <c r="D14" s="156" t="s">
        <v>97</v>
      </c>
      <c r="E14" s="157"/>
      <c r="F14" s="16">
        <v>0</v>
      </c>
      <c r="G14" s="16">
        <v>0</v>
      </c>
      <c r="H14" s="16">
        <v>0</v>
      </c>
      <c r="I14" s="16">
        <v>0</v>
      </c>
      <c r="J14" s="16">
        <v>0</v>
      </c>
      <c r="K14" s="16">
        <v>0</v>
      </c>
      <c r="L14" s="16">
        <v>0</v>
      </c>
      <c r="M14" s="16">
        <v>0</v>
      </c>
      <c r="N14" s="16">
        <v>438.85341849999998</v>
      </c>
      <c r="O14" s="16">
        <v>0</v>
      </c>
      <c r="P14" s="16">
        <v>0</v>
      </c>
      <c r="Q14" s="16">
        <v>438.85341849999998</v>
      </c>
    </row>
    <row r="15" spans="1:17" x14ac:dyDescent="0.3">
      <c r="A15" s="118"/>
      <c r="B15" s="156" t="s">
        <v>147</v>
      </c>
      <c r="C15" s="156" t="s">
        <v>148</v>
      </c>
      <c r="D15" s="156" t="s">
        <v>97</v>
      </c>
      <c r="E15" s="157"/>
      <c r="F15" s="16">
        <v>0</v>
      </c>
      <c r="G15" s="16">
        <v>0</v>
      </c>
      <c r="H15" s="16">
        <v>0</v>
      </c>
      <c r="I15" s="16">
        <v>0</v>
      </c>
      <c r="J15" s="16">
        <v>0</v>
      </c>
      <c r="K15" s="16">
        <v>0</v>
      </c>
      <c r="L15" s="16">
        <v>0</v>
      </c>
      <c r="M15" s="16">
        <v>0</v>
      </c>
      <c r="N15" s="16">
        <v>0</v>
      </c>
      <c r="O15" s="16">
        <v>0</v>
      </c>
      <c r="P15" s="16">
        <v>0</v>
      </c>
      <c r="Q15" s="16">
        <v>0</v>
      </c>
    </row>
    <row r="16" spans="1:17" x14ac:dyDescent="0.3">
      <c r="A16" s="118"/>
      <c r="B16" s="156" t="s">
        <v>136</v>
      </c>
      <c r="C16" s="156" t="s">
        <v>137</v>
      </c>
      <c r="D16" s="156" t="s">
        <v>97</v>
      </c>
      <c r="E16" s="157"/>
      <c r="F16" s="16">
        <v>0</v>
      </c>
      <c r="G16" s="16">
        <v>201.92307692307693</v>
      </c>
      <c r="H16" s="16">
        <v>0</v>
      </c>
      <c r="I16" s="16">
        <v>0</v>
      </c>
      <c r="J16" s="16">
        <v>201.92307692307693</v>
      </c>
      <c r="K16" s="16">
        <v>0</v>
      </c>
      <c r="L16" s="16">
        <v>0</v>
      </c>
      <c r="M16" s="16">
        <v>201.92307692307693</v>
      </c>
      <c r="N16" s="16">
        <v>0</v>
      </c>
      <c r="O16" s="16">
        <v>0</v>
      </c>
      <c r="P16" s="16">
        <v>201.92307692307693</v>
      </c>
      <c r="Q16" s="16">
        <v>0</v>
      </c>
    </row>
    <row r="17" spans="1:21" x14ac:dyDescent="0.3">
      <c r="A17" s="118"/>
      <c r="B17" s="156" t="s">
        <v>145</v>
      </c>
      <c r="C17" s="156" t="s">
        <v>146</v>
      </c>
      <c r="D17" s="156" t="s">
        <v>97</v>
      </c>
      <c r="E17" s="157"/>
      <c r="F17" s="16">
        <v>0</v>
      </c>
      <c r="G17" s="16">
        <v>0</v>
      </c>
      <c r="H17" s="16">
        <v>0</v>
      </c>
      <c r="I17" s="16">
        <v>0</v>
      </c>
      <c r="J17" s="16">
        <v>0</v>
      </c>
      <c r="K17" s="16">
        <v>2585.6320890000002</v>
      </c>
      <c r="L17" s="16">
        <v>0</v>
      </c>
      <c r="M17" s="16">
        <v>0</v>
      </c>
      <c r="N17" s="16">
        <v>0</v>
      </c>
      <c r="O17" s="16">
        <v>0</v>
      </c>
      <c r="P17" s="16">
        <v>0</v>
      </c>
      <c r="Q17" s="16">
        <v>0</v>
      </c>
    </row>
    <row r="18" spans="1:21" x14ac:dyDescent="0.3">
      <c r="A18" s="118"/>
      <c r="B18" s="156" t="s">
        <v>38</v>
      </c>
      <c r="C18" s="156" t="s">
        <v>39</v>
      </c>
      <c r="D18" s="156" t="s">
        <v>97</v>
      </c>
      <c r="E18" s="157"/>
      <c r="F18" s="16">
        <v>0</v>
      </c>
      <c r="G18" s="16">
        <v>3.5214128711999999</v>
      </c>
      <c r="H18" s="16">
        <v>0</v>
      </c>
      <c r="I18" s="16">
        <v>0</v>
      </c>
      <c r="J18" s="16">
        <v>0</v>
      </c>
      <c r="K18" s="16">
        <v>0</v>
      </c>
      <c r="L18" s="16">
        <v>0</v>
      </c>
      <c r="M18" s="16">
        <v>3.5214128711999999</v>
      </c>
      <c r="N18" s="16">
        <v>0</v>
      </c>
      <c r="O18" s="16">
        <v>0</v>
      </c>
      <c r="P18" s="16">
        <v>0</v>
      </c>
      <c r="Q18" s="16">
        <v>0</v>
      </c>
    </row>
    <row r="19" spans="1:21" x14ac:dyDescent="0.3">
      <c r="A19" s="118"/>
      <c r="B19" s="156" t="s">
        <v>7</v>
      </c>
      <c r="C19" s="156" t="s">
        <v>8</v>
      </c>
      <c r="D19" s="156" t="s">
        <v>93</v>
      </c>
      <c r="E19" s="157"/>
      <c r="F19" s="16">
        <v>32.428686439611376</v>
      </c>
      <c r="G19" s="16">
        <v>34.231578998449855</v>
      </c>
      <c r="H19" s="16">
        <v>36.340956777275252</v>
      </c>
      <c r="I19" s="16">
        <v>38.377924747037227</v>
      </c>
      <c r="J19" s="16">
        <v>40.095749741025479</v>
      </c>
      <c r="K19" s="16">
        <v>43.221675612677849</v>
      </c>
      <c r="L19" s="16">
        <v>43.221675612677849</v>
      </c>
      <c r="M19" s="16">
        <v>43.221675612677849</v>
      </c>
      <c r="N19" s="16">
        <v>43.221675612677849</v>
      </c>
      <c r="O19" s="16">
        <v>43.221675612677849</v>
      </c>
      <c r="P19" s="16">
        <v>43.221675612677849</v>
      </c>
      <c r="Q19" s="16">
        <v>43.221675612677849</v>
      </c>
    </row>
    <row r="20" spans="1:21" x14ac:dyDescent="0.3">
      <c r="A20" s="118"/>
      <c r="B20" s="156" t="s">
        <v>9</v>
      </c>
      <c r="C20" s="156" t="s">
        <v>10</v>
      </c>
      <c r="D20" s="156" t="s">
        <v>93</v>
      </c>
      <c r="E20" s="157"/>
      <c r="F20" s="16">
        <v>9.3543569946121412</v>
      </c>
      <c r="G20" s="16">
        <v>9.4775548629040394</v>
      </c>
      <c r="H20" s="16">
        <v>9.6023748342958335</v>
      </c>
      <c r="I20" s="16">
        <v>9.7288169487875216</v>
      </c>
      <c r="J20" s="16">
        <v>9.8569443963190206</v>
      </c>
      <c r="K20" s="16">
        <v>9.9867571768867407</v>
      </c>
      <c r="L20" s="16">
        <v>9.9867571768867407</v>
      </c>
      <c r="M20" s="16">
        <v>9.9867571768867389</v>
      </c>
      <c r="N20" s="16">
        <v>9.9867571768867389</v>
      </c>
      <c r="O20" s="16">
        <v>9.9867571768867371</v>
      </c>
      <c r="P20" s="16">
        <v>9.9867571768867371</v>
      </c>
      <c r="Q20" s="16">
        <v>9.9867571768867371</v>
      </c>
    </row>
    <row r="21" spans="1:21" x14ac:dyDescent="0.3">
      <c r="A21" s="118"/>
      <c r="B21" s="156" t="s">
        <v>13</v>
      </c>
      <c r="C21" s="156" t="s">
        <v>14</v>
      </c>
      <c r="D21" s="156" t="s">
        <v>93</v>
      </c>
      <c r="E21" s="157"/>
      <c r="F21" s="16">
        <v>1.0104688934163899</v>
      </c>
      <c r="G21" s="16">
        <v>1.023776873064784</v>
      </c>
      <c r="H21" s="16">
        <v>1.0372600775027685</v>
      </c>
      <c r="I21" s="16">
        <v>1.0509185067303433</v>
      </c>
      <c r="J21" s="16">
        <v>1.0647589877076411</v>
      </c>
      <c r="K21" s="16">
        <v>1.07878151</v>
      </c>
      <c r="L21" s="16">
        <v>1.078781520318383</v>
      </c>
      <c r="M21" s="16">
        <v>1.078781520318383</v>
      </c>
      <c r="N21" s="16">
        <v>1.078781520318383</v>
      </c>
      <c r="O21" s="16">
        <v>1.078781520318383</v>
      </c>
      <c r="P21" s="16">
        <v>1.078781520318383</v>
      </c>
      <c r="Q21" s="16">
        <v>1.078781520318383</v>
      </c>
    </row>
    <row r="22" spans="1:21" x14ac:dyDescent="0.3">
      <c r="A22" s="118"/>
      <c r="B22" s="156" t="s">
        <v>154</v>
      </c>
      <c r="C22" s="156" t="s">
        <v>155</v>
      </c>
      <c r="D22" s="156" t="s">
        <v>94</v>
      </c>
      <c r="E22" s="157"/>
      <c r="F22" s="16">
        <v>358.91512632999996</v>
      </c>
      <c r="G22" s="16">
        <v>358.91512632999996</v>
      </c>
      <c r="H22" s="16">
        <v>358.91512632999996</v>
      </c>
      <c r="I22" s="16">
        <v>358.91512632999996</v>
      </c>
      <c r="J22" s="16">
        <v>358.91512632999996</v>
      </c>
      <c r="K22" s="16">
        <v>358.91512632999996</v>
      </c>
      <c r="L22" s="16">
        <v>358.91512989999995</v>
      </c>
      <c r="M22" s="16">
        <v>358.91512989999995</v>
      </c>
      <c r="N22" s="16">
        <v>358.91512989999995</v>
      </c>
      <c r="O22" s="16">
        <v>358.91512989999995</v>
      </c>
      <c r="P22" s="16">
        <v>358.91512989999995</v>
      </c>
      <c r="Q22" s="16">
        <v>358.91512989999995</v>
      </c>
    </row>
    <row r="23" spans="1:21" customFormat="1" ht="6.75" customHeight="1" x14ac:dyDescent="0.25">
      <c r="B23" s="4"/>
      <c r="C23" s="4"/>
      <c r="D23" s="4"/>
      <c r="E23" s="158"/>
      <c r="F23" s="159"/>
      <c r="G23" s="159"/>
      <c r="H23" s="159"/>
      <c r="I23" s="159"/>
      <c r="J23" s="159"/>
      <c r="K23" s="159"/>
      <c r="L23" s="159"/>
      <c r="M23" s="159"/>
      <c r="N23" s="159"/>
      <c r="O23" s="159"/>
      <c r="P23" s="159"/>
      <c r="Q23" s="159"/>
      <c r="R23" s="159"/>
      <c r="S23" s="159"/>
      <c r="T23" s="159"/>
      <c r="U23" s="159"/>
    </row>
    <row r="24" spans="1:21" ht="28.5" customHeight="1" x14ac:dyDescent="0.3">
      <c r="B24" s="200" t="s">
        <v>41</v>
      </c>
      <c r="C24" s="200"/>
      <c r="D24" s="200"/>
      <c r="E24" s="157"/>
      <c r="F24" s="160">
        <f t="shared" ref="F24:Q24" si="1">+SUM(F7:F22)</f>
        <v>1376.6134487614374</v>
      </c>
      <c r="G24" s="160">
        <f t="shared" si="1"/>
        <v>1602.6795591297071</v>
      </c>
      <c r="H24" s="160">
        <f t="shared" si="1"/>
        <v>1430.6724850988253</v>
      </c>
      <c r="I24" s="160">
        <f t="shared" si="1"/>
        <v>1470.4725598143855</v>
      </c>
      <c r="J24" s="160">
        <f t="shared" si="1"/>
        <v>1715.9028098410495</v>
      </c>
      <c r="K24" s="160">
        <f t="shared" si="1"/>
        <v>4149.1108183129973</v>
      </c>
      <c r="L24" s="160">
        <f t="shared" si="1"/>
        <v>1568.6638255797088</v>
      </c>
      <c r="M24" s="160">
        <f t="shared" si="1"/>
        <v>1768.9232226839858</v>
      </c>
      <c r="N24" s="160">
        <f t="shared" si="1"/>
        <v>2611.9163178897088</v>
      </c>
      <c r="O24" s="160">
        <f t="shared" si="1"/>
        <v>1568.730980799709</v>
      </c>
      <c r="P24" s="160">
        <f t="shared" si="1"/>
        <v>1242.1880380163925</v>
      </c>
      <c r="Q24" s="160">
        <f t="shared" si="1"/>
        <v>4820.115096394893</v>
      </c>
    </row>
    <row r="25" spans="1:21" x14ac:dyDescent="0.3">
      <c r="B25" s="205" t="s">
        <v>207</v>
      </c>
      <c r="C25" s="205"/>
      <c r="D25" s="205"/>
      <c r="E25" s="157"/>
      <c r="F25" s="157"/>
      <c r="G25" s="157"/>
      <c r="H25" s="157"/>
      <c r="I25" s="157"/>
      <c r="J25" s="157"/>
      <c r="K25" s="157"/>
      <c r="L25" s="157"/>
      <c r="M25" s="157"/>
      <c r="N25" s="157"/>
      <c r="O25" s="157"/>
      <c r="P25" s="157"/>
      <c r="Q25" s="157"/>
    </row>
    <row r="26" spans="1:21" x14ac:dyDescent="0.3">
      <c r="B26" s="205"/>
      <c r="C26" s="205"/>
      <c r="D26" s="205"/>
      <c r="E26" s="157"/>
    </row>
    <row r="27" spans="1:21" ht="16.5" customHeight="1" x14ac:dyDescent="0.3">
      <c r="B27" s="205" t="s">
        <v>208</v>
      </c>
      <c r="C27" s="205"/>
      <c r="D27" s="205"/>
      <c r="E27" s="157"/>
    </row>
    <row r="28" spans="1:21" x14ac:dyDescent="0.3">
      <c r="B28" s="205"/>
      <c r="C28" s="205"/>
      <c r="D28" s="205"/>
      <c r="E28" s="157"/>
    </row>
    <row r="29" spans="1:21" x14ac:dyDescent="0.3">
      <c r="B29" s="161"/>
      <c r="C29" s="161"/>
      <c r="D29" s="161"/>
      <c r="E29" s="157"/>
    </row>
    <row r="30" spans="1:21" x14ac:dyDescent="0.3">
      <c r="B30" s="152"/>
      <c r="C30" s="161"/>
      <c r="D30" s="161"/>
      <c r="E30" s="157"/>
    </row>
    <row r="31" spans="1:21" ht="30.75" customHeight="1" x14ac:dyDescent="0.3">
      <c r="B31" s="207" t="s">
        <v>102</v>
      </c>
      <c r="C31" s="207"/>
      <c r="D31" s="207"/>
      <c r="E31" s="157"/>
      <c r="F31" s="154"/>
      <c r="G31" s="154"/>
      <c r="H31" s="154"/>
      <c r="I31" s="154"/>
      <c r="J31" s="154"/>
      <c r="K31" s="154"/>
      <c r="L31" s="154"/>
      <c r="M31" s="154"/>
      <c r="N31" s="154"/>
      <c r="O31" s="154"/>
      <c r="P31" s="154"/>
      <c r="Q31" s="154"/>
    </row>
    <row r="32" spans="1:21" x14ac:dyDescent="0.3">
      <c r="B32" s="201" t="s">
        <v>0</v>
      </c>
      <c r="C32" s="203" t="s">
        <v>1</v>
      </c>
      <c r="D32" s="203" t="s">
        <v>99</v>
      </c>
      <c r="E32" s="157"/>
      <c r="F32" s="155">
        <v>2023</v>
      </c>
      <c r="G32" s="155">
        <v>2023</v>
      </c>
      <c r="H32" s="155">
        <v>2023</v>
      </c>
      <c r="I32" s="155">
        <v>2023</v>
      </c>
      <c r="J32" s="155">
        <v>2023</v>
      </c>
      <c r="K32" s="155">
        <v>2023</v>
      </c>
      <c r="L32" s="155">
        <v>2023</v>
      </c>
      <c r="M32" s="155">
        <v>2023</v>
      </c>
      <c r="N32" s="155">
        <v>2023</v>
      </c>
      <c r="O32" s="155">
        <v>2023</v>
      </c>
      <c r="P32" s="155">
        <v>2023</v>
      </c>
      <c r="Q32" s="155">
        <v>2023</v>
      </c>
    </row>
    <row r="33" spans="1:17" x14ac:dyDescent="0.3">
      <c r="B33" s="202"/>
      <c r="C33" s="204"/>
      <c r="D33" s="204"/>
      <c r="E33" s="157"/>
      <c r="F33" s="155">
        <v>1</v>
      </c>
      <c r="G33" s="155">
        <f>+F33+1</f>
        <v>2</v>
      </c>
      <c r="H33" s="155">
        <f t="shared" ref="H33:Q33" si="2">+G33+1</f>
        <v>3</v>
      </c>
      <c r="I33" s="155">
        <f t="shared" si="2"/>
        <v>4</v>
      </c>
      <c r="J33" s="155">
        <f t="shared" si="2"/>
        <v>5</v>
      </c>
      <c r="K33" s="155">
        <f t="shared" si="2"/>
        <v>6</v>
      </c>
      <c r="L33" s="155">
        <f t="shared" si="2"/>
        <v>7</v>
      </c>
      <c r="M33" s="155">
        <f t="shared" si="2"/>
        <v>8</v>
      </c>
      <c r="N33" s="155">
        <f t="shared" si="2"/>
        <v>9</v>
      </c>
      <c r="O33" s="155">
        <f t="shared" si="2"/>
        <v>10</v>
      </c>
      <c r="P33" s="155">
        <f t="shared" si="2"/>
        <v>11</v>
      </c>
      <c r="Q33" s="155">
        <f t="shared" si="2"/>
        <v>12</v>
      </c>
    </row>
    <row r="34" spans="1:17" x14ac:dyDescent="0.3">
      <c r="A34" s="24" t="s">
        <v>44</v>
      </c>
      <c r="B34" s="156" t="s">
        <v>17</v>
      </c>
      <c r="C34" s="156" t="s">
        <v>18</v>
      </c>
      <c r="D34" s="156" t="s">
        <v>96</v>
      </c>
      <c r="E34" s="157"/>
      <c r="F34" s="15">
        <v>0</v>
      </c>
      <c r="G34" s="15">
        <v>0</v>
      </c>
      <c r="H34" s="15">
        <v>0</v>
      </c>
      <c r="I34" s="15">
        <v>0</v>
      </c>
      <c r="J34" s="15">
        <v>0</v>
      </c>
      <c r="K34" s="15">
        <v>1.4257660471664431</v>
      </c>
      <c r="L34" s="15">
        <v>0</v>
      </c>
      <c r="M34" s="15">
        <v>0</v>
      </c>
      <c r="N34" s="15">
        <v>0</v>
      </c>
      <c r="O34" s="15">
        <v>0</v>
      </c>
      <c r="P34" s="15">
        <v>0</v>
      </c>
      <c r="Q34" s="15">
        <v>1.4257660471664431</v>
      </c>
    </row>
    <row r="35" spans="1:17" x14ac:dyDescent="0.3">
      <c r="A35" s="24" t="s">
        <v>44</v>
      </c>
      <c r="B35" s="156" t="s">
        <v>23</v>
      </c>
      <c r="C35" s="156" t="s">
        <v>24</v>
      </c>
      <c r="D35" s="156" t="s">
        <v>96</v>
      </c>
      <c r="E35" s="157"/>
      <c r="F35" s="15">
        <v>0</v>
      </c>
      <c r="G35" s="15">
        <v>1.2432372835614036</v>
      </c>
      <c r="H35" s="15">
        <v>0</v>
      </c>
      <c r="I35" s="15">
        <v>0</v>
      </c>
      <c r="J35" s="15">
        <v>0</v>
      </c>
      <c r="K35" s="15">
        <v>0</v>
      </c>
      <c r="L35" s="15">
        <v>0</v>
      </c>
      <c r="M35" s="15">
        <v>1.2905932138555214</v>
      </c>
      <c r="N35" s="15">
        <v>0</v>
      </c>
      <c r="O35" s="15">
        <v>0</v>
      </c>
      <c r="P35" s="15">
        <v>0</v>
      </c>
      <c r="Q35" s="15">
        <v>0</v>
      </c>
    </row>
    <row r="36" spans="1:17" x14ac:dyDescent="0.3">
      <c r="A36" s="24" t="s">
        <v>44</v>
      </c>
      <c r="B36" s="156" t="s">
        <v>19</v>
      </c>
      <c r="C36" s="156" t="s">
        <v>20</v>
      </c>
      <c r="D36" s="156" t="s">
        <v>96</v>
      </c>
      <c r="E36" s="157"/>
      <c r="F36" s="15">
        <v>0</v>
      </c>
      <c r="G36" s="15">
        <v>0</v>
      </c>
      <c r="H36" s="15">
        <v>0</v>
      </c>
      <c r="I36" s="15">
        <v>1.445942759999999</v>
      </c>
      <c r="J36" s="15">
        <v>0</v>
      </c>
      <c r="K36" s="15">
        <v>0</v>
      </c>
      <c r="L36" s="15">
        <v>0</v>
      </c>
      <c r="M36" s="15">
        <v>0</v>
      </c>
      <c r="N36" s="15">
        <v>0</v>
      </c>
      <c r="O36" s="15">
        <v>1.445942759999999</v>
      </c>
      <c r="P36" s="15">
        <v>0</v>
      </c>
      <c r="Q36" s="15">
        <v>0</v>
      </c>
    </row>
    <row r="37" spans="1:17" x14ac:dyDescent="0.3">
      <c r="A37" s="24" t="s">
        <v>44</v>
      </c>
      <c r="B37" s="156" t="s">
        <v>21</v>
      </c>
      <c r="C37" s="156" t="s">
        <v>22</v>
      </c>
      <c r="D37" s="156" t="s">
        <v>96</v>
      </c>
      <c r="E37" s="157"/>
      <c r="F37" s="15">
        <v>0</v>
      </c>
      <c r="G37" s="15">
        <v>2.4354049257142849</v>
      </c>
      <c r="H37" s="15">
        <v>0</v>
      </c>
      <c r="I37" s="15">
        <v>0</v>
      </c>
      <c r="J37" s="15">
        <v>0</v>
      </c>
      <c r="K37" s="15">
        <v>0</v>
      </c>
      <c r="L37" s="15">
        <v>0</v>
      </c>
      <c r="M37" s="15">
        <v>2.4354049257142849</v>
      </c>
      <c r="N37" s="15">
        <v>0</v>
      </c>
      <c r="O37" s="15">
        <v>0</v>
      </c>
      <c r="P37" s="15">
        <v>0</v>
      </c>
      <c r="Q37" s="15">
        <v>0</v>
      </c>
    </row>
    <row r="38" spans="1:17" x14ac:dyDescent="0.3">
      <c r="A38" s="24" t="s">
        <v>44</v>
      </c>
      <c r="B38" s="156" t="s">
        <v>27</v>
      </c>
      <c r="C38" s="156" t="s">
        <v>28</v>
      </c>
      <c r="D38" s="156" t="s">
        <v>96</v>
      </c>
      <c r="E38" s="157"/>
      <c r="F38" s="15">
        <v>0</v>
      </c>
      <c r="G38" s="15">
        <v>0</v>
      </c>
      <c r="H38" s="15">
        <v>0</v>
      </c>
      <c r="I38" s="15">
        <v>0.28707631484356572</v>
      </c>
      <c r="J38" s="15">
        <v>0</v>
      </c>
      <c r="K38" s="15">
        <v>0</v>
      </c>
      <c r="L38" s="15">
        <v>0</v>
      </c>
      <c r="M38" s="15">
        <v>0</v>
      </c>
      <c r="N38" s="15">
        <v>0</v>
      </c>
      <c r="O38" s="15">
        <v>0.29848261778466334</v>
      </c>
      <c r="P38" s="15">
        <v>0</v>
      </c>
      <c r="Q38" s="15">
        <v>0</v>
      </c>
    </row>
    <row r="39" spans="1:17" x14ac:dyDescent="0.3">
      <c r="A39" s="24" t="s">
        <v>44</v>
      </c>
      <c r="B39" s="156" t="s">
        <v>25</v>
      </c>
      <c r="C39" s="156" t="s">
        <v>26</v>
      </c>
      <c r="D39" s="156" t="s">
        <v>96</v>
      </c>
      <c r="E39" s="157"/>
      <c r="F39" s="15">
        <v>0</v>
      </c>
      <c r="G39" s="15">
        <v>0</v>
      </c>
      <c r="H39" s="15">
        <v>0</v>
      </c>
      <c r="I39" s="15">
        <v>0</v>
      </c>
      <c r="J39" s="15">
        <v>0.19690853849999981</v>
      </c>
      <c r="K39" s="15">
        <v>0</v>
      </c>
      <c r="L39" s="15">
        <v>0</v>
      </c>
      <c r="M39" s="15">
        <v>0</v>
      </c>
      <c r="N39" s="15">
        <v>0</v>
      </c>
      <c r="O39" s="15">
        <v>0</v>
      </c>
      <c r="P39" s="15">
        <v>0.19690853849999981</v>
      </c>
      <c r="Q39" s="15">
        <v>0</v>
      </c>
    </row>
    <row r="40" spans="1:17" x14ac:dyDescent="0.3">
      <c r="A40" s="24" t="s">
        <v>44</v>
      </c>
      <c r="B40" s="156" t="s">
        <v>133</v>
      </c>
      <c r="C40" s="156" t="s">
        <v>134</v>
      </c>
      <c r="D40" s="156" t="s">
        <v>96</v>
      </c>
      <c r="E40" s="157"/>
      <c r="F40" s="15">
        <v>0</v>
      </c>
      <c r="G40" s="15">
        <v>0</v>
      </c>
      <c r="H40" s="15">
        <v>0</v>
      </c>
      <c r="I40" s="15">
        <v>0</v>
      </c>
      <c r="J40" s="15">
        <v>0</v>
      </c>
      <c r="K40" s="15">
        <v>0</v>
      </c>
      <c r="L40" s="15">
        <v>0</v>
      </c>
      <c r="M40" s="15">
        <v>0</v>
      </c>
      <c r="N40" s="15">
        <v>0</v>
      </c>
      <c r="O40" s="15">
        <v>0</v>
      </c>
      <c r="P40" s="15">
        <v>0</v>
      </c>
      <c r="Q40" s="15">
        <v>0</v>
      </c>
    </row>
    <row r="41" spans="1:17" x14ac:dyDescent="0.3">
      <c r="A41" s="24"/>
      <c r="B41" s="156" t="s">
        <v>157</v>
      </c>
      <c r="C41" s="156" t="s">
        <v>242</v>
      </c>
      <c r="D41" s="156" t="s">
        <v>96</v>
      </c>
      <c r="E41" s="157"/>
      <c r="F41" s="15">
        <v>0</v>
      </c>
      <c r="G41" s="15">
        <v>0</v>
      </c>
      <c r="H41" s="15">
        <v>0</v>
      </c>
      <c r="I41" s="15">
        <v>0</v>
      </c>
      <c r="J41" s="15">
        <v>0</v>
      </c>
      <c r="K41" s="15">
        <v>0</v>
      </c>
      <c r="L41" s="15">
        <v>0</v>
      </c>
      <c r="M41" s="15">
        <v>0</v>
      </c>
      <c r="N41" s="15">
        <v>0</v>
      </c>
      <c r="O41" s="15">
        <v>0</v>
      </c>
      <c r="P41" s="15">
        <v>0</v>
      </c>
      <c r="Q41" s="15">
        <v>0</v>
      </c>
    </row>
    <row r="42" spans="1:17" x14ac:dyDescent="0.3">
      <c r="A42" s="24" t="s">
        <v>44</v>
      </c>
      <c r="B42" s="156" t="s">
        <v>29</v>
      </c>
      <c r="C42" s="156" t="s">
        <v>30</v>
      </c>
      <c r="D42" s="156" t="s">
        <v>96</v>
      </c>
      <c r="E42" s="157"/>
      <c r="F42" s="15">
        <v>0</v>
      </c>
      <c r="G42" s="15">
        <v>0</v>
      </c>
      <c r="H42" s="15">
        <v>0</v>
      </c>
      <c r="I42" s="15">
        <v>0.12026002000000001</v>
      </c>
      <c r="J42" s="15">
        <v>0</v>
      </c>
      <c r="K42" s="15">
        <v>0</v>
      </c>
      <c r="L42" s="15">
        <v>0</v>
      </c>
      <c r="M42" s="15">
        <v>0</v>
      </c>
      <c r="N42" s="15">
        <v>0</v>
      </c>
      <c r="O42" s="15">
        <v>0.12026002000000001</v>
      </c>
      <c r="P42" s="15">
        <v>0</v>
      </c>
      <c r="Q42" s="15">
        <v>0</v>
      </c>
    </row>
    <row r="43" spans="1:17" x14ac:dyDescent="0.3">
      <c r="A43" s="24" t="s">
        <v>44</v>
      </c>
      <c r="B43" s="156" t="s">
        <v>31</v>
      </c>
      <c r="C43" s="156" t="s">
        <v>32</v>
      </c>
      <c r="D43" s="156" t="s">
        <v>96</v>
      </c>
      <c r="E43" s="157"/>
      <c r="F43" s="15">
        <v>0</v>
      </c>
      <c r="G43" s="15">
        <v>0</v>
      </c>
      <c r="H43" s="15">
        <v>1.1891675106382978E-2</v>
      </c>
      <c r="I43" s="15">
        <v>0</v>
      </c>
      <c r="J43" s="15">
        <v>0</v>
      </c>
      <c r="K43" s="15">
        <v>1.1891675106382978E-2</v>
      </c>
      <c r="L43" s="15">
        <v>0</v>
      </c>
      <c r="M43" s="15">
        <v>0</v>
      </c>
      <c r="N43" s="15">
        <v>1.1891675106382978E-2</v>
      </c>
      <c r="O43" s="15">
        <v>0</v>
      </c>
      <c r="P43" s="15">
        <v>0</v>
      </c>
      <c r="Q43" s="15">
        <v>1.1891675106382978E-2</v>
      </c>
    </row>
    <row r="44" spans="1:17" x14ac:dyDescent="0.3">
      <c r="A44" s="24" t="s">
        <v>44</v>
      </c>
      <c r="B44" s="156" t="s">
        <v>33</v>
      </c>
      <c r="C44" s="156" t="s">
        <v>34</v>
      </c>
      <c r="D44" s="156" t="s">
        <v>96</v>
      </c>
      <c r="E44" s="157"/>
      <c r="F44" s="15">
        <v>0</v>
      </c>
      <c r="G44" s="15">
        <v>0</v>
      </c>
      <c r="H44" s="15">
        <v>0.11443069666666666</v>
      </c>
      <c r="I44" s="15">
        <v>0</v>
      </c>
      <c r="J44" s="15">
        <v>0</v>
      </c>
      <c r="K44" s="15">
        <v>0.11443069666666666</v>
      </c>
      <c r="L44" s="15">
        <v>0</v>
      </c>
      <c r="M44" s="15">
        <v>0</v>
      </c>
      <c r="N44" s="15">
        <v>0.11443069666666666</v>
      </c>
      <c r="O44" s="15">
        <v>0</v>
      </c>
      <c r="P44" s="15">
        <v>0</v>
      </c>
      <c r="Q44" s="15">
        <v>0</v>
      </c>
    </row>
    <row r="45" spans="1:17" x14ac:dyDescent="0.3">
      <c r="A45" s="24" t="s">
        <v>44</v>
      </c>
      <c r="B45" s="156" t="s">
        <v>36</v>
      </c>
      <c r="C45" s="156" t="s">
        <v>37</v>
      </c>
      <c r="D45" s="156" t="s">
        <v>96</v>
      </c>
      <c r="E45" s="157"/>
      <c r="F45" s="15">
        <v>0</v>
      </c>
      <c r="G45" s="15">
        <v>0</v>
      </c>
      <c r="H45" s="15">
        <v>0.89227885142857055</v>
      </c>
      <c r="I45" s="15">
        <v>0</v>
      </c>
      <c r="J45" s="15">
        <v>0</v>
      </c>
      <c r="K45" s="15">
        <v>0</v>
      </c>
      <c r="L45" s="15">
        <v>0</v>
      </c>
      <c r="M45" s="15">
        <v>0</v>
      </c>
      <c r="N45" s="15">
        <v>0.89227885142857055</v>
      </c>
      <c r="O45" s="15">
        <v>0</v>
      </c>
      <c r="P45" s="15">
        <v>0</v>
      </c>
      <c r="Q45" s="15">
        <v>0</v>
      </c>
    </row>
    <row r="46" spans="1:17" x14ac:dyDescent="0.3">
      <c r="A46" s="24"/>
      <c r="B46" s="156" t="s">
        <v>159</v>
      </c>
      <c r="C46" s="156" t="s">
        <v>160</v>
      </c>
      <c r="D46" s="156" t="s">
        <v>96</v>
      </c>
      <c r="E46" s="162"/>
      <c r="F46" s="15">
        <v>0</v>
      </c>
      <c r="G46" s="15">
        <v>0</v>
      </c>
      <c r="H46" s="15">
        <v>0</v>
      </c>
      <c r="I46" s="15">
        <v>0</v>
      </c>
      <c r="J46" s="15">
        <v>0</v>
      </c>
      <c r="K46" s="15">
        <v>0</v>
      </c>
      <c r="L46" s="15">
        <v>0</v>
      </c>
      <c r="M46" s="15">
        <v>0</v>
      </c>
      <c r="N46" s="15">
        <v>0</v>
      </c>
      <c r="O46" s="15">
        <v>0</v>
      </c>
      <c r="P46" s="15">
        <v>0</v>
      </c>
      <c r="Q46" s="15">
        <v>0</v>
      </c>
    </row>
    <row r="47" spans="1:17" x14ac:dyDescent="0.3">
      <c r="A47" s="24"/>
      <c r="B47" s="156" t="s">
        <v>186</v>
      </c>
      <c r="C47" s="156" t="s">
        <v>187</v>
      </c>
      <c r="D47" s="156" t="s">
        <v>96</v>
      </c>
      <c r="E47" s="162"/>
      <c r="F47" s="15">
        <v>0</v>
      </c>
      <c r="G47" s="15">
        <v>0</v>
      </c>
      <c r="H47" s="15">
        <v>0</v>
      </c>
      <c r="I47" s="15">
        <v>0</v>
      </c>
      <c r="J47" s="15">
        <v>0</v>
      </c>
      <c r="K47" s="15">
        <v>0</v>
      </c>
      <c r="L47" s="15">
        <v>0</v>
      </c>
      <c r="M47" s="15">
        <v>0</v>
      </c>
      <c r="N47" s="15">
        <v>0</v>
      </c>
      <c r="O47" s="15">
        <v>0</v>
      </c>
      <c r="P47" s="15">
        <v>0</v>
      </c>
      <c r="Q47" s="15">
        <v>0</v>
      </c>
    </row>
    <row r="48" spans="1:17" x14ac:dyDescent="0.3">
      <c r="A48" s="24" t="s">
        <v>44</v>
      </c>
      <c r="B48" s="156" t="s">
        <v>132</v>
      </c>
      <c r="C48" s="156" t="s">
        <v>131</v>
      </c>
      <c r="D48" s="156" t="s">
        <v>97</v>
      </c>
      <c r="E48" s="157"/>
      <c r="F48" s="15">
        <v>0</v>
      </c>
      <c r="G48" s="15">
        <v>0</v>
      </c>
      <c r="H48" s="15">
        <v>39.908923076923081</v>
      </c>
      <c r="I48" s="15">
        <v>0</v>
      </c>
      <c r="J48" s="15">
        <v>0</v>
      </c>
      <c r="K48" s="15">
        <v>0</v>
      </c>
      <c r="L48" s="15">
        <v>0</v>
      </c>
      <c r="M48" s="15">
        <v>0</v>
      </c>
      <c r="N48" s="15">
        <v>39.908923076923081</v>
      </c>
      <c r="O48" s="15">
        <v>0</v>
      </c>
      <c r="P48" s="15">
        <v>0</v>
      </c>
      <c r="Q48" s="15">
        <v>0</v>
      </c>
    </row>
    <row r="49" spans="2:21" customFormat="1" ht="6.75" customHeight="1" x14ac:dyDescent="0.25">
      <c r="B49" s="163"/>
      <c r="C49" s="4"/>
      <c r="D49" s="4"/>
      <c r="E49" s="158"/>
      <c r="F49" s="159"/>
      <c r="G49" s="159"/>
      <c r="H49" s="159"/>
      <c r="I49" s="159"/>
      <c r="J49" s="159"/>
      <c r="K49" s="159"/>
      <c r="L49" s="159"/>
      <c r="M49" s="159"/>
      <c r="N49" s="159"/>
      <c r="O49" s="159"/>
      <c r="P49" s="159"/>
      <c r="Q49" s="159"/>
      <c r="R49" s="159"/>
      <c r="S49" s="159"/>
      <c r="T49" s="159"/>
      <c r="U49" s="159"/>
    </row>
    <row r="50" spans="2:21" ht="28.5" customHeight="1" x14ac:dyDescent="0.3">
      <c r="B50" s="200" t="s">
        <v>123</v>
      </c>
      <c r="C50" s="200"/>
      <c r="D50" s="200"/>
      <c r="E50" s="164"/>
      <c r="F50" s="160">
        <f t="shared" ref="F50:Q50" si="3">+SUM(F34:F48)</f>
        <v>0</v>
      </c>
      <c r="G50" s="160">
        <f t="shared" si="3"/>
        <v>3.6786422092756883</v>
      </c>
      <c r="H50" s="160">
        <f t="shared" si="3"/>
        <v>40.927524300124702</v>
      </c>
      <c r="I50" s="160">
        <f t="shared" si="3"/>
        <v>1.8532790948435647</v>
      </c>
      <c r="J50" s="160">
        <f t="shared" si="3"/>
        <v>0.19690853849999981</v>
      </c>
      <c r="K50" s="160">
        <f t="shared" si="3"/>
        <v>1.5520884189394926</v>
      </c>
      <c r="L50" s="160">
        <f t="shared" si="3"/>
        <v>0</v>
      </c>
      <c r="M50" s="160">
        <f t="shared" si="3"/>
        <v>3.7259981395698061</v>
      </c>
      <c r="N50" s="160">
        <f t="shared" si="3"/>
        <v>40.927524300124702</v>
      </c>
      <c r="O50" s="160">
        <f t="shared" si="3"/>
        <v>1.8646853977846622</v>
      </c>
      <c r="P50" s="160">
        <f t="shared" si="3"/>
        <v>0.19690853849999981</v>
      </c>
      <c r="Q50" s="160">
        <f t="shared" si="3"/>
        <v>1.437657722272826</v>
      </c>
    </row>
    <row r="51" spans="2:21" x14ac:dyDescent="0.3">
      <c r="B51" s="4"/>
      <c r="C51" s="4"/>
      <c r="D51" s="4"/>
      <c r="E51" s="157"/>
    </row>
    <row r="52" spans="2:21" x14ac:dyDescent="0.3">
      <c r="B52" s="4"/>
      <c r="C52" s="4"/>
      <c r="D52" s="4"/>
      <c r="E52" s="157"/>
    </row>
    <row r="53" spans="2:21" x14ac:dyDescent="0.3">
      <c r="B53" s="4"/>
      <c r="C53" s="4"/>
      <c r="D53" s="4"/>
    </row>
  </sheetData>
  <mergeCells count="13">
    <mergeCell ref="B1:E1"/>
    <mergeCell ref="D5:D6"/>
    <mergeCell ref="D32:D33"/>
    <mergeCell ref="B4:D4"/>
    <mergeCell ref="B31:D31"/>
    <mergeCell ref="B5:B6"/>
    <mergeCell ref="C5:C6"/>
    <mergeCell ref="B27:D28"/>
    <mergeCell ref="B50:D50"/>
    <mergeCell ref="B24:D24"/>
    <mergeCell ref="B32:B33"/>
    <mergeCell ref="C32:C33"/>
    <mergeCell ref="B25:D26"/>
  </mergeCells>
  <hyperlinks>
    <hyperlink ref="C10" location="ANSE23!A1" display="ANSE23" xr:uid="{00000000-0004-0000-0100-000003000000}"/>
    <hyperlink ref="C7" location="FFDPO23!A1" display="FFDPO23" xr:uid="{00000000-0004-0000-0100-000004000000}"/>
    <hyperlink ref="C11" location="IPVO26!A1" display="IPVO26" xr:uid="{00000000-0004-0000-0100-000006000000}"/>
    <hyperlink ref="C18" location="'PMG25'!A1" display="PMG25" xr:uid="{00000000-0004-0000-0100-000009000000}"/>
    <hyperlink ref="C35" location="BIDF40!A1" display="BIDF40" xr:uid="{00000000-0004-0000-0100-00000A000000}"/>
    <hyperlink ref="C42" location="BIDO24!A1" display="BIDO24" xr:uid="{00000000-0004-0000-0100-00000C000000}"/>
    <hyperlink ref="C39" location="BIDN32!A1" display="BIDN32" xr:uid="{00000000-0004-0000-0100-00000D000000}"/>
    <hyperlink ref="C43" location="BIDS34!A1" display="BIDS34" xr:uid="{00000000-0004-0000-0100-00000E000000}"/>
    <hyperlink ref="C44" location="BIDS23!A1" display="BIDS23" xr:uid="{00000000-0004-0000-0100-00000F000000}"/>
    <hyperlink ref="C38" location="BIDY42!A1" display="BIDY42" xr:uid="{00000000-0004-0000-0100-000010000000}"/>
    <hyperlink ref="C45" location="BIRS38!A1" display="BIRS38" xr:uid="{00000000-0004-0000-0100-000014000000}"/>
    <hyperlink ref="C19" location="FFFIRO24!A1" display="FFFIRO24" xr:uid="{00000000-0004-0000-0100-000018000000}"/>
    <hyperlink ref="C20" location="FFFIRF26!A1" display="FFFIRF26" xr:uid="{00000000-0004-0000-0100-000019000000}"/>
    <hyperlink ref="C21" location="FFFIRE26!A1" display="FFFIRE26" xr:uid="{00000000-0004-0000-0100-00001D000000}"/>
    <hyperlink ref="C9" location="GOBD23!A1" display="GOBD23" xr:uid="{00000000-0004-0000-0100-00001E000000}"/>
    <hyperlink ref="C16" location="'PMY25'!A1" display="PMY25" xr:uid="{00000000-0004-0000-0100-00001F000000}"/>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4"/>
  <sheetViews>
    <sheetView showGridLines="0" zoomScaleNormal="100" workbookViewId="0">
      <pane xSplit="2" ySplit="1" topLeftCell="C2" activePane="bottomRight" state="frozen"/>
      <selection activeCell="F1" sqref="F1:F1048576"/>
      <selection pane="topRight" activeCell="F1" sqref="F1:F1048576"/>
      <selection pane="bottomLeft" activeCell="F1" sqref="F1:F1048576"/>
      <selection pane="bottomRight"/>
    </sheetView>
  </sheetViews>
  <sheetFormatPr baseColWidth="10" defaultRowHeight="16.5" x14ac:dyDescent="0.3"/>
  <cols>
    <col min="1" max="1" width="5.28515625" style="23" customWidth="1"/>
    <col min="2" max="2" width="43.7109375" style="2" bestFit="1" customWidth="1"/>
    <col min="3" max="3" width="12.5703125" style="2" customWidth="1"/>
    <col min="4" max="4" width="30.85546875" style="2" customWidth="1"/>
    <col min="5" max="5" width="13.7109375" style="1" customWidth="1"/>
    <col min="6" max="16384" width="11.42578125" style="1"/>
  </cols>
  <sheetData>
    <row r="1" spans="1:17" ht="28.5" customHeight="1" x14ac:dyDescent="0.3">
      <c r="B1" s="183" t="s">
        <v>43</v>
      </c>
      <c r="C1" s="183"/>
      <c r="D1" s="183"/>
      <c r="E1" s="183"/>
    </row>
    <row r="2" spans="1:17" ht="17.25" x14ac:dyDescent="0.3">
      <c r="B2" s="5" t="s">
        <v>50</v>
      </c>
    </row>
    <row r="4" spans="1:17" ht="30.75" customHeight="1" x14ac:dyDescent="0.3">
      <c r="B4" s="207" t="s">
        <v>139</v>
      </c>
      <c r="C4" s="207"/>
      <c r="D4" s="207"/>
      <c r="F4" s="121"/>
      <c r="G4" s="121"/>
      <c r="H4" s="121"/>
      <c r="I4" s="121"/>
      <c r="J4" s="121"/>
      <c r="K4" s="121"/>
      <c r="L4" s="121"/>
      <c r="M4" s="121"/>
      <c r="N4" s="121"/>
      <c r="O4" s="121"/>
      <c r="P4" s="121"/>
      <c r="Q4" s="121"/>
    </row>
    <row r="5" spans="1:17" ht="15.75" customHeight="1" x14ac:dyDescent="0.3">
      <c r="B5" s="201" t="s">
        <v>0</v>
      </c>
      <c r="C5" s="203" t="s">
        <v>1</v>
      </c>
      <c r="D5" s="186" t="s">
        <v>99</v>
      </c>
      <c r="F5" s="6">
        <v>2023</v>
      </c>
      <c r="G5" s="6">
        <v>2023</v>
      </c>
      <c r="H5" s="6">
        <v>2023</v>
      </c>
      <c r="I5" s="6">
        <v>2023</v>
      </c>
      <c r="J5" s="6">
        <v>2023</v>
      </c>
      <c r="K5" s="6">
        <v>2023</v>
      </c>
      <c r="L5" s="6">
        <v>2023</v>
      </c>
      <c r="M5" s="6">
        <v>2023</v>
      </c>
      <c r="N5" s="6">
        <v>2023</v>
      </c>
      <c r="O5" s="6">
        <v>2023</v>
      </c>
      <c r="P5" s="6">
        <v>2023</v>
      </c>
      <c r="Q5" s="6">
        <v>2023</v>
      </c>
    </row>
    <row r="6" spans="1:17" x14ac:dyDescent="0.3">
      <c r="B6" s="202"/>
      <c r="C6" s="204"/>
      <c r="D6" s="187"/>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17" x14ac:dyDescent="0.3">
      <c r="A7" s="118"/>
      <c r="B7" s="9" t="s">
        <v>3</v>
      </c>
      <c r="C7" s="9" t="s">
        <v>4</v>
      </c>
      <c r="D7" s="9" t="s">
        <v>93</v>
      </c>
      <c r="E7" s="86"/>
      <c r="F7" s="16">
        <v>114.67699107866144</v>
      </c>
      <c r="G7" s="16">
        <v>90.308130474445875</v>
      </c>
      <c r="H7" s="16">
        <v>88.874668085962597</v>
      </c>
      <c r="I7" s="16">
        <v>70.239657035680096</v>
      </c>
      <c r="J7" s="16">
        <v>70.956388229921728</v>
      </c>
      <c r="K7" s="16">
        <v>53.754839568122499</v>
      </c>
      <c r="L7" s="16">
        <v>44.437334042981249</v>
      </c>
      <c r="M7" s="16">
        <v>33.328000532235926</v>
      </c>
      <c r="N7" s="16">
        <v>21.501935827248964</v>
      </c>
      <c r="O7" s="16">
        <v>11.109333510745268</v>
      </c>
      <c r="P7" s="16">
        <v>0</v>
      </c>
      <c r="Q7" s="16">
        <v>0</v>
      </c>
    </row>
    <row r="8" spans="1:17" x14ac:dyDescent="0.3">
      <c r="A8" s="118"/>
      <c r="B8" s="9" t="s">
        <v>129</v>
      </c>
      <c r="C8" s="9" t="s">
        <v>130</v>
      </c>
      <c r="D8" s="9" t="s">
        <v>93</v>
      </c>
      <c r="E8" s="86"/>
      <c r="F8" s="16">
        <v>0.27631157225807429</v>
      </c>
      <c r="G8" s="16">
        <v>0.23324956481400347</v>
      </c>
      <c r="H8" s="16">
        <v>0.25033102724457923</v>
      </c>
      <c r="I8" s="16">
        <v>0.21674274900652946</v>
      </c>
      <c r="J8" s="16">
        <v>0.24687834392832445</v>
      </c>
      <c r="K8" s="16">
        <v>0.21201066373950558</v>
      </c>
      <c r="L8" s="16">
        <v>0.18778087359784773</v>
      </c>
      <c r="M8" s="16">
        <v>0.15648406133153966</v>
      </c>
      <c r="N8" s="16">
        <v>0.12114895070828871</v>
      </c>
      <c r="O8" s="16">
        <v>9.3890436798923657E-2</v>
      </c>
      <c r="P8" s="16">
        <v>6.0574475354144154E-2</v>
      </c>
      <c r="Q8" s="16">
        <v>3.1296812266307601E-2</v>
      </c>
    </row>
    <row r="9" spans="1:17" x14ac:dyDescent="0.3">
      <c r="A9" s="118"/>
      <c r="B9" s="9" t="s">
        <v>124</v>
      </c>
      <c r="C9" s="9" t="s">
        <v>125</v>
      </c>
      <c r="D9" s="9" t="s">
        <v>93</v>
      </c>
      <c r="E9" s="86"/>
      <c r="F9" s="16">
        <v>0.1938841884598525</v>
      </c>
      <c r="G9" s="16">
        <v>0.16366814539471511</v>
      </c>
      <c r="H9" s="16">
        <v>0.17565398244813538</v>
      </c>
      <c r="I9" s="16">
        <v>0.15208553030286803</v>
      </c>
      <c r="J9" s="16">
        <v>0.17323128007157437</v>
      </c>
      <c r="K9" s="16">
        <v>0.14876508844000305</v>
      </c>
      <c r="L9" s="16">
        <v>0.13176336404685979</v>
      </c>
      <c r="M9" s="16">
        <v>0.10980280337238311</v>
      </c>
      <c r="N9" s="16">
        <v>8.5008621965715889E-2</v>
      </c>
      <c r="O9" s="16">
        <v>6.5881682023429755E-2</v>
      </c>
      <c r="P9" s="16">
        <v>4.2504310982857799E-2</v>
      </c>
      <c r="Q9" s="16">
        <v>2.1960560674476381E-2</v>
      </c>
    </row>
    <row r="10" spans="1:17" x14ac:dyDescent="0.3">
      <c r="A10" s="118"/>
      <c r="B10" s="9" t="s">
        <v>5</v>
      </c>
      <c r="C10" s="9" t="s">
        <v>6</v>
      </c>
      <c r="D10" s="9" t="s">
        <v>93</v>
      </c>
      <c r="E10" s="86"/>
      <c r="F10" s="16">
        <v>114.90839568000001</v>
      </c>
      <c r="G10" s="16">
        <v>0</v>
      </c>
      <c r="H10" s="16">
        <v>0</v>
      </c>
      <c r="I10" s="16">
        <v>0</v>
      </c>
      <c r="J10" s="16">
        <v>0</v>
      </c>
      <c r="K10" s="16">
        <v>0</v>
      </c>
      <c r="L10" s="16">
        <v>0</v>
      </c>
      <c r="M10" s="16">
        <v>0</v>
      </c>
      <c r="N10" s="16">
        <v>0</v>
      </c>
      <c r="O10" s="16">
        <v>0</v>
      </c>
      <c r="P10" s="16">
        <v>0</v>
      </c>
      <c r="Q10" s="16">
        <v>0</v>
      </c>
    </row>
    <row r="11" spans="1:17" x14ac:dyDescent="0.3">
      <c r="A11" s="118"/>
      <c r="B11" s="9" t="s">
        <v>11</v>
      </c>
      <c r="C11" s="9" t="s">
        <v>12</v>
      </c>
      <c r="D11" s="9" t="s">
        <v>93</v>
      </c>
      <c r="E11" s="86"/>
      <c r="F11" s="16">
        <v>12.11557457</v>
      </c>
      <c r="G11" s="16">
        <v>0</v>
      </c>
      <c r="H11" s="16">
        <v>0</v>
      </c>
      <c r="I11" s="16">
        <v>14.651533200000001</v>
      </c>
      <c r="J11" s="16">
        <v>0</v>
      </c>
      <c r="K11" s="16">
        <v>0</v>
      </c>
      <c r="L11" s="16">
        <v>17.912579240000003</v>
      </c>
      <c r="M11" s="16">
        <v>0</v>
      </c>
      <c r="N11" s="16">
        <v>0</v>
      </c>
      <c r="O11" s="16">
        <v>16.8586004</v>
      </c>
      <c r="P11" s="16">
        <v>0</v>
      </c>
      <c r="Q11" s="16">
        <v>0</v>
      </c>
    </row>
    <row r="12" spans="1:17" x14ac:dyDescent="0.3">
      <c r="A12" s="118"/>
      <c r="B12" s="9" t="s">
        <v>143</v>
      </c>
      <c r="C12" s="9" t="s">
        <v>144</v>
      </c>
      <c r="D12" s="9" t="s">
        <v>97</v>
      </c>
      <c r="E12" s="86"/>
      <c r="F12" s="16">
        <v>0</v>
      </c>
      <c r="G12" s="16">
        <v>0</v>
      </c>
      <c r="H12" s="16">
        <v>0</v>
      </c>
      <c r="I12" s="16">
        <v>0</v>
      </c>
      <c r="J12" s="16">
        <v>0</v>
      </c>
      <c r="K12" s="16">
        <v>173.6678550761884</v>
      </c>
      <c r="L12" s="16">
        <v>0</v>
      </c>
      <c r="M12" s="16">
        <v>0</v>
      </c>
      <c r="N12" s="16">
        <v>0</v>
      </c>
      <c r="O12" s="16">
        <v>0</v>
      </c>
      <c r="P12" s="16">
        <v>0</v>
      </c>
      <c r="Q12" s="16">
        <v>174.62207407017848</v>
      </c>
    </row>
    <row r="13" spans="1:17" x14ac:dyDescent="0.3">
      <c r="A13" s="118"/>
      <c r="B13" s="9" t="s">
        <v>189</v>
      </c>
      <c r="C13" s="9" t="s">
        <v>182</v>
      </c>
      <c r="D13" s="9" t="s">
        <v>97</v>
      </c>
      <c r="E13" s="86"/>
      <c r="F13" s="16">
        <v>0</v>
      </c>
      <c r="G13" s="16">
        <v>0</v>
      </c>
      <c r="H13" s="16">
        <v>0</v>
      </c>
      <c r="I13" s="16">
        <v>0</v>
      </c>
      <c r="J13" s="16">
        <v>0</v>
      </c>
      <c r="K13" s="16">
        <v>0</v>
      </c>
      <c r="L13" s="16">
        <v>0</v>
      </c>
      <c r="M13" s="16">
        <v>0</v>
      </c>
      <c r="N13" s="16">
        <v>1230.3808353874151</v>
      </c>
      <c r="O13" s="16">
        <v>0</v>
      </c>
      <c r="P13" s="16">
        <v>0</v>
      </c>
      <c r="Q13" s="16">
        <v>1082.2133088264859</v>
      </c>
    </row>
    <row r="14" spans="1:17" x14ac:dyDescent="0.3">
      <c r="A14" s="118"/>
      <c r="B14" s="9" t="s">
        <v>190</v>
      </c>
      <c r="C14" s="9" t="s">
        <v>183</v>
      </c>
      <c r="D14" s="9" t="s">
        <v>97</v>
      </c>
      <c r="E14" s="86"/>
      <c r="F14" s="16">
        <v>0</v>
      </c>
      <c r="G14" s="16">
        <v>0</v>
      </c>
      <c r="H14" s="16">
        <v>0</v>
      </c>
      <c r="I14" s="16">
        <v>0</v>
      </c>
      <c r="J14" s="16">
        <v>0</v>
      </c>
      <c r="K14" s="16">
        <v>0</v>
      </c>
      <c r="L14" s="16">
        <v>0</v>
      </c>
      <c r="M14" s="16">
        <v>0</v>
      </c>
      <c r="N14" s="16">
        <v>663.33869218541247</v>
      </c>
      <c r="O14" s="16">
        <v>0</v>
      </c>
      <c r="P14" s="16">
        <v>0</v>
      </c>
      <c r="Q14" s="16">
        <v>555.68641837882944</v>
      </c>
    </row>
    <row r="15" spans="1:17" x14ac:dyDescent="0.3">
      <c r="A15" s="118"/>
      <c r="B15" s="9" t="s">
        <v>147</v>
      </c>
      <c r="C15" s="9" t="s">
        <v>148</v>
      </c>
      <c r="D15" s="9" t="s">
        <v>97</v>
      </c>
      <c r="E15" s="86"/>
      <c r="F15" s="16">
        <v>0</v>
      </c>
      <c r="G15" s="16">
        <v>0</v>
      </c>
      <c r="H15" s="16">
        <v>835.87234490999992</v>
      </c>
      <c r="I15" s="16">
        <v>0</v>
      </c>
      <c r="J15" s="16">
        <v>0</v>
      </c>
      <c r="K15" s="16">
        <v>962.99949054903414</v>
      </c>
      <c r="L15" s="16">
        <v>0</v>
      </c>
      <c r="M15" s="16">
        <v>0</v>
      </c>
      <c r="N15" s="16">
        <v>1157.087590730139</v>
      </c>
      <c r="O15" s="16">
        <v>0</v>
      </c>
      <c r="P15" s="16">
        <v>0</v>
      </c>
      <c r="Q15" s="16">
        <v>1164.4878950083341</v>
      </c>
    </row>
    <row r="16" spans="1:17" x14ac:dyDescent="0.3">
      <c r="A16" s="118"/>
      <c r="B16" s="9" t="s">
        <v>136</v>
      </c>
      <c r="C16" s="9" t="s">
        <v>137</v>
      </c>
      <c r="D16" s="9" t="s">
        <v>97</v>
      </c>
      <c r="E16" s="86"/>
      <c r="F16" s="16">
        <v>0</v>
      </c>
      <c r="G16" s="16">
        <v>373.33915068493155</v>
      </c>
      <c r="H16" s="16">
        <v>0</v>
      </c>
      <c r="I16" s="16">
        <v>0</v>
      </c>
      <c r="J16" s="16">
        <v>344.60539283456285</v>
      </c>
      <c r="K16" s="16">
        <v>0</v>
      </c>
      <c r="L16" s="16">
        <v>0</v>
      </c>
      <c r="M16" s="16">
        <v>397.02992623814555</v>
      </c>
      <c r="N16" s="16">
        <v>0</v>
      </c>
      <c r="O16" s="16">
        <v>0</v>
      </c>
      <c r="P16" s="16">
        <v>354.49380687805359</v>
      </c>
      <c r="Q16" s="16">
        <v>0</v>
      </c>
    </row>
    <row r="17" spans="1:17" x14ac:dyDescent="0.3">
      <c r="A17" s="118"/>
      <c r="B17" s="9" t="s">
        <v>145</v>
      </c>
      <c r="C17" s="9" t="s">
        <v>146</v>
      </c>
      <c r="D17" s="9" t="s">
        <v>97</v>
      </c>
      <c r="E17" s="86"/>
      <c r="F17" s="16">
        <v>0</v>
      </c>
      <c r="G17" s="16">
        <v>0</v>
      </c>
      <c r="H17" s="16">
        <v>1003.988659497015</v>
      </c>
      <c r="I17" s="16">
        <v>0</v>
      </c>
      <c r="J17" s="16">
        <v>0</v>
      </c>
      <c r="K17" s="16">
        <v>1151.8758013615277</v>
      </c>
      <c r="L17" s="16">
        <v>0</v>
      </c>
      <c r="M17" s="16">
        <v>0</v>
      </c>
      <c r="N17" s="16">
        <v>0</v>
      </c>
      <c r="O17" s="16">
        <v>0</v>
      </c>
      <c r="P17" s="16">
        <v>0</v>
      </c>
      <c r="Q17" s="16">
        <v>0</v>
      </c>
    </row>
    <row r="18" spans="1:17" x14ac:dyDescent="0.3">
      <c r="A18" s="118"/>
      <c r="B18" s="9" t="s">
        <v>38</v>
      </c>
      <c r="C18" s="9" t="s">
        <v>39</v>
      </c>
      <c r="D18" s="9" t="s">
        <v>97</v>
      </c>
      <c r="E18" s="86"/>
      <c r="F18" s="16">
        <v>0</v>
      </c>
      <c r="G18" s="16">
        <v>6.3071528110238484</v>
      </c>
      <c r="H18" s="16">
        <v>0</v>
      </c>
      <c r="I18" s="16">
        <v>0</v>
      </c>
      <c r="J18" s="16">
        <v>0</v>
      </c>
      <c r="K18" s="16">
        <v>0</v>
      </c>
      <c r="L18" s="16">
        <v>0</v>
      </c>
      <c r="M18" s="16">
        <v>6.1034899781066061</v>
      </c>
      <c r="N18" s="16">
        <v>0</v>
      </c>
      <c r="O18" s="16">
        <v>0</v>
      </c>
      <c r="P18" s="16">
        <v>0</v>
      </c>
      <c r="Q18" s="16">
        <v>0</v>
      </c>
    </row>
    <row r="19" spans="1:17" x14ac:dyDescent="0.3">
      <c r="A19" s="118"/>
      <c r="B19" s="9" t="s">
        <v>7</v>
      </c>
      <c r="C19" s="9" t="s">
        <v>8</v>
      </c>
      <c r="D19" s="9" t="s">
        <v>93</v>
      </c>
      <c r="E19" s="86"/>
      <c r="F19" s="16">
        <v>5.0932654900000003</v>
      </c>
      <c r="G19" s="16">
        <v>5.6819075899999998</v>
      </c>
      <c r="H19" s="16">
        <v>5.1888441899999993</v>
      </c>
      <c r="I19" s="16">
        <v>5.52842023</v>
      </c>
      <c r="J19" s="16">
        <v>4.9588939799999991</v>
      </c>
      <c r="K19" s="16">
        <v>5.3966989999999999</v>
      </c>
      <c r="L19" s="16">
        <v>5.3380133299999999</v>
      </c>
      <c r="M19" s="16">
        <v>5.17120041</v>
      </c>
      <c r="N19" s="16">
        <v>4.8264537199999999</v>
      </c>
      <c r="O19" s="16">
        <v>4.4951049200000002</v>
      </c>
      <c r="P19" s="16">
        <v>4.2876385399999997</v>
      </c>
      <c r="Q19" s="16">
        <v>3.8035503199999998</v>
      </c>
    </row>
    <row r="20" spans="1:17" x14ac:dyDescent="0.3">
      <c r="A20" s="118"/>
      <c r="B20" s="9" t="s">
        <v>9</v>
      </c>
      <c r="C20" s="9" t="s">
        <v>10</v>
      </c>
      <c r="D20" s="9" t="s">
        <v>93</v>
      </c>
      <c r="E20" s="86"/>
      <c r="F20" s="16">
        <v>2.5377089494009866</v>
      </c>
      <c r="G20" s="16">
        <v>2.771698385728834</v>
      </c>
      <c r="H20" s="16">
        <v>2.4678879191364369</v>
      </c>
      <c r="I20" s="16">
        <v>2.5816302067919272</v>
      </c>
      <c r="J20" s="16">
        <v>2.3026885435200035</v>
      </c>
      <c r="K20" s="16">
        <v>2.4205613983613512</v>
      </c>
      <c r="L20" s="16">
        <v>2.4201908577596285</v>
      </c>
      <c r="M20" s="16">
        <v>2.4212540766078465</v>
      </c>
      <c r="N20" s="16">
        <v>2.3416473137963387</v>
      </c>
      <c r="O20" s="16">
        <v>2.2688061837313147</v>
      </c>
      <c r="P20" s="16">
        <v>2.2619340887775636</v>
      </c>
      <c r="Q20" s="16">
        <v>2.1091348487016681</v>
      </c>
    </row>
    <row r="21" spans="1:17" x14ac:dyDescent="0.3">
      <c r="A21" s="118"/>
      <c r="B21" s="9" t="s">
        <v>13</v>
      </c>
      <c r="C21" s="9" t="s">
        <v>14</v>
      </c>
      <c r="D21" s="9" t="s">
        <v>93</v>
      </c>
      <c r="E21" s="86"/>
      <c r="F21" s="16">
        <v>0.2620729052313488</v>
      </c>
      <c r="G21" s="16">
        <v>0.2885761</v>
      </c>
      <c r="H21" s="16">
        <v>0.25674651636270246</v>
      </c>
      <c r="I21" s="16">
        <v>0.28879441376958953</v>
      </c>
      <c r="J21" s="16">
        <v>0.25814017806626671</v>
      </c>
      <c r="K21" s="16">
        <v>0.27110498999999999</v>
      </c>
      <c r="L21" s="16">
        <v>0.2541609252</v>
      </c>
      <c r="M21" s="16">
        <v>0.26127280048603141</v>
      </c>
      <c r="N21" s="16">
        <v>0.25256370710420467</v>
      </c>
      <c r="O21" s="16">
        <v>0.23598833586036577</v>
      </c>
      <c r="P21" s="16">
        <v>0.24360736122637258</v>
      </c>
      <c r="Q21" s="16">
        <v>0.22701761257641778</v>
      </c>
    </row>
    <row r="22" spans="1:17" x14ac:dyDescent="0.3">
      <c r="A22" s="118"/>
      <c r="B22" s="9" t="s">
        <v>154</v>
      </c>
      <c r="C22" s="9" t="s">
        <v>155</v>
      </c>
      <c r="D22" s="9" t="s">
        <v>94</v>
      </c>
      <c r="E22" s="86"/>
      <c r="F22" s="16">
        <v>1092.9143824758544</v>
      </c>
      <c r="G22" s="16">
        <v>1133.365469323129</v>
      </c>
      <c r="H22" s="16">
        <v>1002.2434486848673</v>
      </c>
      <c r="I22" s="16">
        <v>1113.5894917179198</v>
      </c>
      <c r="J22" s="16">
        <v>1108.5130551103616</v>
      </c>
      <c r="K22" s="16">
        <v>1198.3733569755645</v>
      </c>
      <c r="L22" s="16">
        <v>1244.7250454616228</v>
      </c>
      <c r="M22" s="16">
        <v>1348.9426908996684</v>
      </c>
      <c r="N22" s="16">
        <v>1330.5918028059866</v>
      </c>
      <c r="O22" s="16">
        <v>1272.034553530521</v>
      </c>
      <c r="P22" s="16">
        <v>1285.8729442786928</v>
      </c>
      <c r="Q22" s="16">
        <v>1226.604748047288</v>
      </c>
    </row>
    <row r="23" spans="1:17" customFormat="1" ht="6.75" customHeight="1" x14ac:dyDescent="0.3">
      <c r="B23" s="21"/>
      <c r="C23" s="13"/>
      <c r="D23" s="13"/>
      <c r="E23" s="22"/>
    </row>
    <row r="24" spans="1:17" ht="28.5" customHeight="1" x14ac:dyDescent="0.3">
      <c r="B24" s="209" t="s">
        <v>126</v>
      </c>
      <c r="C24" s="209"/>
      <c r="D24" s="209"/>
      <c r="E24" s="3"/>
      <c r="F24" s="84">
        <f t="shared" ref="F24:Q24" si="1">+SUM(F7:F22)</f>
        <v>1342.9785869098662</v>
      </c>
      <c r="G24" s="84">
        <f t="shared" si="1"/>
        <v>1612.4590030794677</v>
      </c>
      <c r="H24" s="84">
        <f t="shared" si="1"/>
        <v>2939.3185848130365</v>
      </c>
      <c r="I24" s="84">
        <f t="shared" si="1"/>
        <v>1207.2483550834709</v>
      </c>
      <c r="J24" s="84">
        <f t="shared" si="1"/>
        <v>1532.0146685004324</v>
      </c>
      <c r="K24" s="84">
        <f t="shared" si="1"/>
        <v>3549.1204846709779</v>
      </c>
      <c r="L24" s="84">
        <f t="shared" si="1"/>
        <v>1315.4068680952084</v>
      </c>
      <c r="M24" s="84">
        <f t="shared" si="1"/>
        <v>1793.5241217999542</v>
      </c>
      <c r="N24" s="84">
        <f t="shared" si="1"/>
        <v>4410.5276792497762</v>
      </c>
      <c r="O24" s="84">
        <f t="shared" si="1"/>
        <v>1307.1621589996803</v>
      </c>
      <c r="P24" s="84">
        <f t="shared" si="1"/>
        <v>1647.2630099330872</v>
      </c>
      <c r="Q24" s="84">
        <f t="shared" si="1"/>
        <v>4209.8074044853347</v>
      </c>
    </row>
    <row r="25" spans="1:17" ht="16.5" customHeight="1" x14ac:dyDescent="0.3">
      <c r="B25" s="210" t="s">
        <v>138</v>
      </c>
      <c r="C25" s="210"/>
      <c r="D25" s="210"/>
      <c r="F25" s="7"/>
      <c r="G25" s="7"/>
      <c r="H25" s="7"/>
      <c r="I25" s="7"/>
      <c r="J25" s="7"/>
      <c r="K25" s="7"/>
      <c r="L25" s="7"/>
      <c r="M25" s="7"/>
      <c r="N25" s="7"/>
      <c r="O25" s="7"/>
      <c r="P25" s="7"/>
      <c r="Q25" s="7"/>
    </row>
    <row r="26" spans="1:17" x14ac:dyDescent="0.3">
      <c r="B26" s="210"/>
      <c r="C26" s="210"/>
      <c r="D26" s="210"/>
    </row>
    <row r="27" spans="1:17" x14ac:dyDescent="0.3">
      <c r="B27" s="104"/>
      <c r="C27" s="104"/>
      <c r="D27" s="104"/>
    </row>
    <row r="28" spans="1:17" x14ac:dyDescent="0.3">
      <c r="B28" s="104"/>
      <c r="C28" s="104"/>
      <c r="D28" s="104"/>
    </row>
    <row r="29" spans="1:17" x14ac:dyDescent="0.3">
      <c r="B29" s="104"/>
      <c r="C29" s="104"/>
      <c r="D29" s="104"/>
    </row>
    <row r="30" spans="1:17" x14ac:dyDescent="0.3">
      <c r="B30" s="104"/>
      <c r="C30" s="104"/>
      <c r="D30" s="104"/>
    </row>
    <row r="31" spans="1:17" x14ac:dyDescent="0.3">
      <c r="B31" s="104"/>
      <c r="C31" s="104"/>
      <c r="D31" s="104"/>
    </row>
    <row r="32" spans="1:17" ht="30.75" customHeight="1" x14ac:dyDescent="0.3">
      <c r="B32" s="208" t="s">
        <v>102</v>
      </c>
      <c r="C32" s="208"/>
      <c r="D32" s="208"/>
      <c r="F32" s="121"/>
      <c r="G32" s="121"/>
      <c r="H32" s="121"/>
      <c r="I32" s="121"/>
      <c r="J32" s="121"/>
      <c r="K32" s="121"/>
      <c r="L32" s="121"/>
      <c r="M32" s="121"/>
      <c r="N32" s="121"/>
      <c r="O32" s="121"/>
      <c r="P32" s="121"/>
      <c r="Q32" s="121"/>
    </row>
    <row r="33" spans="1:17" x14ac:dyDescent="0.3">
      <c r="B33" s="211" t="s">
        <v>0</v>
      </c>
      <c r="C33" s="186" t="s">
        <v>1</v>
      </c>
      <c r="D33" s="186" t="s">
        <v>99</v>
      </c>
      <c r="F33" s="6">
        <v>2023</v>
      </c>
      <c r="G33" s="6">
        <v>2023</v>
      </c>
      <c r="H33" s="6">
        <v>2023</v>
      </c>
      <c r="I33" s="6">
        <v>2023</v>
      </c>
      <c r="J33" s="6">
        <v>2023</v>
      </c>
      <c r="K33" s="6">
        <v>2023</v>
      </c>
      <c r="L33" s="6">
        <v>2023</v>
      </c>
      <c r="M33" s="6">
        <v>2023</v>
      </c>
      <c r="N33" s="6">
        <v>2023</v>
      </c>
      <c r="O33" s="6">
        <v>2023</v>
      </c>
      <c r="P33" s="6">
        <v>2023</v>
      </c>
      <c r="Q33" s="6">
        <v>2023</v>
      </c>
    </row>
    <row r="34" spans="1:17" x14ac:dyDescent="0.3">
      <c r="B34" s="212"/>
      <c r="C34" s="187"/>
      <c r="D34" s="187"/>
      <c r="F34" s="6">
        <v>1</v>
      </c>
      <c r="G34" s="6">
        <f>+F34+1</f>
        <v>2</v>
      </c>
      <c r="H34" s="6">
        <f t="shared" ref="H34:Q34" si="2">+G34+1</f>
        <v>3</v>
      </c>
      <c r="I34" s="6">
        <f t="shared" si="2"/>
        <v>4</v>
      </c>
      <c r="J34" s="6">
        <f t="shared" si="2"/>
        <v>5</v>
      </c>
      <c r="K34" s="6">
        <f t="shared" si="2"/>
        <v>6</v>
      </c>
      <c r="L34" s="6">
        <f t="shared" si="2"/>
        <v>7</v>
      </c>
      <c r="M34" s="6">
        <f t="shared" si="2"/>
        <v>8</v>
      </c>
      <c r="N34" s="6">
        <f t="shared" si="2"/>
        <v>9</v>
      </c>
      <c r="O34" s="6">
        <f t="shared" si="2"/>
        <v>10</v>
      </c>
      <c r="P34" s="6">
        <f t="shared" si="2"/>
        <v>11</v>
      </c>
      <c r="Q34" s="6">
        <f t="shared" si="2"/>
        <v>12</v>
      </c>
    </row>
    <row r="35" spans="1:17" x14ac:dyDescent="0.3">
      <c r="A35" s="24" t="s">
        <v>44</v>
      </c>
      <c r="B35" s="9" t="s">
        <v>17</v>
      </c>
      <c r="C35" s="9" t="s">
        <v>18</v>
      </c>
      <c r="D35" s="9" t="s">
        <v>96</v>
      </c>
      <c r="E35" s="86"/>
      <c r="F35" s="17">
        <v>0</v>
      </c>
      <c r="G35" s="17">
        <v>0</v>
      </c>
      <c r="H35" s="17">
        <v>0</v>
      </c>
      <c r="I35" s="17">
        <v>0</v>
      </c>
      <c r="J35" s="17">
        <v>0</v>
      </c>
      <c r="K35" s="17">
        <v>0.93793651</v>
      </c>
      <c r="L35" s="17">
        <v>0</v>
      </c>
      <c r="M35" s="17">
        <v>0</v>
      </c>
      <c r="N35" s="17">
        <v>0</v>
      </c>
      <c r="O35" s="17">
        <v>0</v>
      </c>
      <c r="P35" s="17">
        <v>0</v>
      </c>
      <c r="Q35" s="17">
        <v>1.2423980805299484</v>
      </c>
    </row>
    <row r="36" spans="1:17" x14ac:dyDescent="0.3">
      <c r="A36" s="24" t="s">
        <v>44</v>
      </c>
      <c r="B36" s="9" t="s">
        <v>23</v>
      </c>
      <c r="C36" s="9" t="s">
        <v>24</v>
      </c>
      <c r="D36" s="9" t="s">
        <v>96</v>
      </c>
      <c r="E36" s="86"/>
      <c r="F36" s="17">
        <v>0</v>
      </c>
      <c r="G36" s="17">
        <v>1.0604262999999996</v>
      </c>
      <c r="H36" s="17">
        <v>0</v>
      </c>
      <c r="I36" s="17">
        <v>0</v>
      </c>
      <c r="J36" s="17">
        <v>0</v>
      </c>
      <c r="K36" s="17">
        <v>0</v>
      </c>
      <c r="L36" s="17">
        <v>0</v>
      </c>
      <c r="M36" s="17">
        <v>1.3394608902367051</v>
      </c>
      <c r="N36" s="17">
        <v>0</v>
      </c>
      <c r="O36" s="17">
        <v>0</v>
      </c>
      <c r="P36" s="17">
        <v>0</v>
      </c>
      <c r="Q36" s="17">
        <v>0</v>
      </c>
    </row>
    <row r="37" spans="1:17" x14ac:dyDescent="0.3">
      <c r="A37" s="24" t="s">
        <v>44</v>
      </c>
      <c r="B37" s="9" t="s">
        <v>19</v>
      </c>
      <c r="C37" s="9" t="s">
        <v>20</v>
      </c>
      <c r="D37" s="9" t="s">
        <v>96</v>
      </c>
      <c r="E37" s="86"/>
      <c r="F37" s="17">
        <v>0</v>
      </c>
      <c r="G37" s="17">
        <v>0</v>
      </c>
      <c r="H37" s="17">
        <v>0</v>
      </c>
      <c r="I37" s="17">
        <v>0.45644593999999999</v>
      </c>
      <c r="J37" s="17">
        <v>0</v>
      </c>
      <c r="K37" s="17">
        <v>0</v>
      </c>
      <c r="L37" s="17">
        <v>0</v>
      </c>
      <c r="M37" s="17">
        <v>0</v>
      </c>
      <c r="N37" s="17">
        <v>0</v>
      </c>
      <c r="O37" s="17">
        <v>1.0470289499999998</v>
      </c>
      <c r="P37" s="17">
        <v>0</v>
      </c>
      <c r="Q37" s="17">
        <v>0</v>
      </c>
    </row>
    <row r="38" spans="1:17" x14ac:dyDescent="0.3">
      <c r="A38" s="24" t="s">
        <v>44</v>
      </c>
      <c r="B38" s="9" t="s">
        <v>21</v>
      </c>
      <c r="C38" s="9" t="s">
        <v>22</v>
      </c>
      <c r="D38" s="9" t="s">
        <v>96</v>
      </c>
      <c r="E38" s="86"/>
      <c r="F38" s="17">
        <v>0</v>
      </c>
      <c r="G38" s="17">
        <v>0.37332634999999992</v>
      </c>
      <c r="H38" s="17">
        <v>0</v>
      </c>
      <c r="I38" s="17">
        <v>0</v>
      </c>
      <c r="J38" s="17">
        <v>0</v>
      </c>
      <c r="K38" s="17">
        <v>0</v>
      </c>
      <c r="L38" s="17">
        <v>0</v>
      </c>
      <c r="M38" s="17">
        <v>0.37330086871616353</v>
      </c>
      <c r="N38" s="17">
        <v>0</v>
      </c>
      <c r="O38" s="17">
        <v>0</v>
      </c>
      <c r="P38" s="17">
        <v>0</v>
      </c>
      <c r="Q38" s="17">
        <v>0</v>
      </c>
    </row>
    <row r="39" spans="1:17" x14ac:dyDescent="0.3">
      <c r="A39" s="24" t="s">
        <v>44</v>
      </c>
      <c r="B39" s="9" t="s">
        <v>27</v>
      </c>
      <c r="C39" s="9" t="s">
        <v>28</v>
      </c>
      <c r="D39" s="9" t="s">
        <v>96</v>
      </c>
      <c r="E39" s="86"/>
      <c r="F39" s="17">
        <v>0</v>
      </c>
      <c r="G39" s="17">
        <v>0</v>
      </c>
      <c r="H39" s="17">
        <v>0</v>
      </c>
      <c r="I39" s="17">
        <v>0.2150245099999995</v>
      </c>
      <c r="J39" s="17">
        <v>0</v>
      </c>
      <c r="K39" s="17">
        <v>0</v>
      </c>
      <c r="L39" s="17">
        <v>0</v>
      </c>
      <c r="M39" s="17">
        <v>0</v>
      </c>
      <c r="N39" s="17">
        <v>0</v>
      </c>
      <c r="O39" s="17">
        <v>0.35866652665721155</v>
      </c>
      <c r="P39" s="17">
        <v>0</v>
      </c>
      <c r="Q39" s="17">
        <v>0</v>
      </c>
    </row>
    <row r="40" spans="1:17" x14ac:dyDescent="0.3">
      <c r="A40" s="24" t="s">
        <v>44</v>
      </c>
      <c r="B40" s="9" t="s">
        <v>25</v>
      </c>
      <c r="C40" s="9" t="s">
        <v>26</v>
      </c>
      <c r="D40" s="9" t="s">
        <v>96</v>
      </c>
      <c r="E40" s="86"/>
      <c r="F40" s="17">
        <v>0</v>
      </c>
      <c r="G40" s="17">
        <v>0</v>
      </c>
      <c r="H40" s="17">
        <v>0</v>
      </c>
      <c r="I40" s="17">
        <v>0</v>
      </c>
      <c r="J40" s="17">
        <v>8.6261220000000013E-2</v>
      </c>
      <c r="K40" s="17">
        <v>0</v>
      </c>
      <c r="L40" s="17">
        <v>0</v>
      </c>
      <c r="M40" s="17">
        <v>0</v>
      </c>
      <c r="N40" s="17">
        <v>0</v>
      </c>
      <c r="O40" s="17">
        <v>0</v>
      </c>
      <c r="P40" s="17">
        <v>0.13598821995672497</v>
      </c>
      <c r="Q40" s="17">
        <v>0</v>
      </c>
    </row>
    <row r="41" spans="1:17" x14ac:dyDescent="0.3">
      <c r="A41" s="24" t="s">
        <v>44</v>
      </c>
      <c r="B41" s="9" t="s">
        <v>133</v>
      </c>
      <c r="C41" s="9" t="s">
        <v>134</v>
      </c>
      <c r="D41" s="9" t="s">
        <v>96</v>
      </c>
      <c r="E41" s="86"/>
      <c r="F41" s="17">
        <v>0</v>
      </c>
      <c r="G41" s="17">
        <v>0</v>
      </c>
      <c r="H41" s="17">
        <v>0</v>
      </c>
      <c r="I41" s="17">
        <v>0</v>
      </c>
      <c r="J41" s="17">
        <v>0.43767260999999996</v>
      </c>
      <c r="K41" s="17">
        <v>0</v>
      </c>
      <c r="L41" s="17">
        <v>0</v>
      </c>
      <c r="M41" s="17">
        <v>0</v>
      </c>
      <c r="N41" s="17">
        <v>0</v>
      </c>
      <c r="O41" s="17">
        <v>0</v>
      </c>
      <c r="P41" s="17">
        <v>0.46336210849315057</v>
      </c>
      <c r="Q41" s="17">
        <v>0</v>
      </c>
    </row>
    <row r="42" spans="1:17" x14ac:dyDescent="0.3">
      <c r="A42" s="24"/>
      <c r="B42" s="9" t="s">
        <v>157</v>
      </c>
      <c r="C42" s="9" t="s">
        <v>242</v>
      </c>
      <c r="D42" s="9" t="s">
        <v>96</v>
      </c>
      <c r="E42" s="86"/>
      <c r="F42" s="17">
        <v>2.0677089999999995E-2</v>
      </c>
      <c r="G42" s="17">
        <v>0</v>
      </c>
      <c r="H42" s="17">
        <v>0</v>
      </c>
      <c r="I42" s="17">
        <v>0</v>
      </c>
      <c r="J42" s="17">
        <v>0</v>
      </c>
      <c r="K42" s="17">
        <v>0</v>
      </c>
      <c r="L42" s="17">
        <v>7.0734812900425173E-2</v>
      </c>
      <c r="M42" s="17">
        <v>0</v>
      </c>
      <c r="N42" s="17">
        <v>0</v>
      </c>
      <c r="O42" s="17">
        <v>0</v>
      </c>
      <c r="P42" s="17">
        <v>0</v>
      </c>
      <c r="Q42" s="17">
        <v>0</v>
      </c>
    </row>
    <row r="43" spans="1:17" x14ac:dyDescent="0.3">
      <c r="A43" s="24" t="s">
        <v>44</v>
      </c>
      <c r="B43" s="9" t="s">
        <v>29</v>
      </c>
      <c r="C43" s="9" t="s">
        <v>30</v>
      </c>
      <c r="D43" s="9" t="s">
        <v>96</v>
      </c>
      <c r="E43" s="86"/>
      <c r="F43" s="17">
        <v>0</v>
      </c>
      <c r="G43" s="17">
        <v>0</v>
      </c>
      <c r="H43" s="17">
        <v>0</v>
      </c>
      <c r="I43" s="17">
        <v>1.3097680042401898E-2</v>
      </c>
      <c r="J43" s="17">
        <v>0</v>
      </c>
      <c r="K43" s="17">
        <v>0</v>
      </c>
      <c r="L43" s="17">
        <v>0</v>
      </c>
      <c r="M43" s="17">
        <v>0</v>
      </c>
      <c r="N43" s="17">
        <v>0</v>
      </c>
      <c r="O43" s="17">
        <v>9.8772317293798779E-3</v>
      </c>
      <c r="P43" s="17">
        <v>0</v>
      </c>
      <c r="Q43" s="17">
        <v>0</v>
      </c>
    </row>
    <row r="44" spans="1:17" x14ac:dyDescent="0.3">
      <c r="A44" s="24" t="s">
        <v>44</v>
      </c>
      <c r="B44" s="9" t="s">
        <v>31</v>
      </c>
      <c r="C44" s="9" t="s">
        <v>32</v>
      </c>
      <c r="D44" s="9" t="s">
        <v>96</v>
      </c>
      <c r="E44" s="86"/>
      <c r="F44" s="17">
        <v>0</v>
      </c>
      <c r="G44" s="17">
        <v>0</v>
      </c>
      <c r="H44" s="17">
        <v>1.63481E-3</v>
      </c>
      <c r="I44" s="17">
        <v>0</v>
      </c>
      <c r="J44" s="17">
        <v>0</v>
      </c>
      <c r="K44" s="17">
        <v>1.60002E-3</v>
      </c>
      <c r="L44" s="17">
        <v>0</v>
      </c>
      <c r="M44" s="17">
        <v>0</v>
      </c>
      <c r="N44" s="17">
        <v>1.5652400000000001E-3</v>
      </c>
      <c r="O44" s="17">
        <v>0</v>
      </c>
      <c r="P44" s="17">
        <v>0</v>
      </c>
      <c r="Q44" s="17">
        <v>1.53046E-3</v>
      </c>
    </row>
    <row r="45" spans="1:17" x14ac:dyDescent="0.3">
      <c r="A45" s="24" t="s">
        <v>44</v>
      </c>
      <c r="B45" s="9" t="s">
        <v>33</v>
      </c>
      <c r="C45" s="9" t="s">
        <v>34</v>
      </c>
      <c r="D45" s="9" t="s">
        <v>96</v>
      </c>
      <c r="E45" s="86"/>
      <c r="F45" s="17">
        <v>0</v>
      </c>
      <c r="G45" s="17">
        <v>0</v>
      </c>
      <c r="H45" s="17">
        <v>1.00413E-3</v>
      </c>
      <c r="I45" s="17">
        <v>0</v>
      </c>
      <c r="J45" s="17">
        <v>0</v>
      </c>
      <c r="K45" s="17">
        <v>6.6942E-4</v>
      </c>
      <c r="L45" s="17">
        <v>0</v>
      </c>
      <c r="M45" s="17">
        <v>0</v>
      </c>
      <c r="N45" s="17">
        <v>3.3471E-4</v>
      </c>
      <c r="O45" s="17">
        <v>0</v>
      </c>
      <c r="P45" s="17">
        <v>0</v>
      </c>
      <c r="Q45" s="17">
        <v>0</v>
      </c>
    </row>
    <row r="46" spans="1:17" x14ac:dyDescent="0.3">
      <c r="A46" s="24" t="s">
        <v>44</v>
      </c>
      <c r="B46" s="9" t="s">
        <v>36</v>
      </c>
      <c r="C46" s="9" t="s">
        <v>37</v>
      </c>
      <c r="D46" s="9" t="s">
        <v>96</v>
      </c>
      <c r="E46" s="86"/>
      <c r="F46" s="17">
        <v>0</v>
      </c>
      <c r="G46" s="17">
        <v>0</v>
      </c>
      <c r="H46" s="17">
        <v>0.47015243000000001</v>
      </c>
      <c r="I46" s="17">
        <v>0</v>
      </c>
      <c r="J46" s="17">
        <v>0</v>
      </c>
      <c r="K46" s="17">
        <v>0</v>
      </c>
      <c r="L46" s="17">
        <v>0</v>
      </c>
      <c r="M46" s="17">
        <v>0</v>
      </c>
      <c r="N46" s="17">
        <v>0.87345191433940306</v>
      </c>
      <c r="O46" s="17">
        <v>0</v>
      </c>
      <c r="P46" s="17">
        <v>0</v>
      </c>
      <c r="Q46" s="17">
        <v>0</v>
      </c>
    </row>
    <row r="47" spans="1:17" x14ac:dyDescent="0.3">
      <c r="A47" s="24"/>
      <c r="B47" s="9" t="s">
        <v>159</v>
      </c>
      <c r="C47" s="9" t="s">
        <v>160</v>
      </c>
      <c r="D47" s="9" t="s">
        <v>96</v>
      </c>
      <c r="E47" s="86"/>
      <c r="F47" s="17">
        <v>8.9100000000000024E-5</v>
      </c>
      <c r="G47" s="17">
        <v>0</v>
      </c>
      <c r="H47" s="17">
        <v>0</v>
      </c>
      <c r="I47" s="17">
        <v>0</v>
      </c>
      <c r="J47" s="17">
        <v>0</v>
      </c>
      <c r="K47" s="17">
        <v>0</v>
      </c>
      <c r="L47" s="17">
        <v>4.2883335961482749E-4</v>
      </c>
      <c r="M47" s="17">
        <v>0</v>
      </c>
      <c r="N47" s="17">
        <v>0</v>
      </c>
      <c r="O47" s="17">
        <v>0</v>
      </c>
      <c r="P47" s="17">
        <v>0</v>
      </c>
      <c r="Q47" s="17">
        <v>0</v>
      </c>
    </row>
    <row r="48" spans="1:17" x14ac:dyDescent="0.3">
      <c r="A48" s="24"/>
      <c r="B48" s="9" t="s">
        <v>186</v>
      </c>
      <c r="C48" s="9" t="s">
        <v>187</v>
      </c>
      <c r="D48" s="9" t="s">
        <v>96</v>
      </c>
      <c r="E48" s="86"/>
      <c r="F48" s="17">
        <v>0</v>
      </c>
      <c r="G48" s="17">
        <v>0</v>
      </c>
      <c r="H48" s="17">
        <v>0</v>
      </c>
      <c r="I48" s="17">
        <v>0</v>
      </c>
      <c r="J48" s="17">
        <v>0.10082111000000001</v>
      </c>
      <c r="K48" s="17">
        <v>0</v>
      </c>
      <c r="L48" s="17">
        <v>0</v>
      </c>
      <c r="M48" s="17">
        <v>0</v>
      </c>
      <c r="N48" s="17">
        <v>0</v>
      </c>
      <c r="O48" s="17">
        <v>0</v>
      </c>
      <c r="P48" s="17">
        <v>0.11630825885735382</v>
      </c>
      <c r="Q48" s="17">
        <v>0</v>
      </c>
    </row>
    <row r="49" spans="1:17" x14ac:dyDescent="0.3">
      <c r="A49" s="24" t="s">
        <v>44</v>
      </c>
      <c r="B49" s="9" t="s">
        <v>132</v>
      </c>
      <c r="C49" s="9" t="s">
        <v>131</v>
      </c>
      <c r="D49" s="9" t="s">
        <v>97</v>
      </c>
      <c r="E49" s="86"/>
      <c r="F49" s="17">
        <v>0</v>
      </c>
      <c r="G49" s="17">
        <v>0</v>
      </c>
      <c r="H49" s="17">
        <v>11.024839999999999</v>
      </c>
      <c r="I49" s="17">
        <v>0</v>
      </c>
      <c r="J49" s="17">
        <v>0</v>
      </c>
      <c r="K49" s="17">
        <v>0</v>
      </c>
      <c r="L49" s="17">
        <v>0</v>
      </c>
      <c r="M49" s="17">
        <v>0</v>
      </c>
      <c r="N49" s="17">
        <v>13.747480384615388</v>
      </c>
      <c r="O49" s="17">
        <v>0</v>
      </c>
      <c r="P49" s="17">
        <v>0</v>
      </c>
      <c r="Q49" s="17">
        <v>0</v>
      </c>
    </row>
    <row r="50" spans="1:17" customFormat="1" ht="6.75" customHeight="1" x14ac:dyDescent="0.3">
      <c r="B50" s="21"/>
      <c r="C50" s="13"/>
      <c r="D50" s="13"/>
      <c r="E50" s="22"/>
    </row>
    <row r="51" spans="1:17" ht="28.5" customHeight="1" x14ac:dyDescent="0.3">
      <c r="B51" s="209" t="s">
        <v>127</v>
      </c>
      <c r="C51" s="209"/>
      <c r="D51" s="209"/>
      <c r="E51" s="3"/>
      <c r="F51" s="84">
        <f t="shared" ref="F51:Q51" si="3">+SUM(F35:F49)</f>
        <v>2.0766189999999997E-2</v>
      </c>
      <c r="G51" s="84">
        <f t="shared" si="3"/>
        <v>1.4337526499999995</v>
      </c>
      <c r="H51" s="84">
        <f t="shared" si="3"/>
        <v>11.497631369999999</v>
      </c>
      <c r="I51" s="84">
        <f t="shared" si="3"/>
        <v>0.68456813004240136</v>
      </c>
      <c r="J51" s="84">
        <f t="shared" si="3"/>
        <v>0.62475493999999998</v>
      </c>
      <c r="K51" s="84">
        <f t="shared" si="3"/>
        <v>0.94020595000000007</v>
      </c>
      <c r="L51" s="84">
        <f t="shared" si="3"/>
        <v>7.116364626004E-2</v>
      </c>
      <c r="M51" s="84">
        <f t="shared" si="3"/>
        <v>1.7127617589528685</v>
      </c>
      <c r="N51" s="84">
        <f t="shared" si="3"/>
        <v>14.622832248954792</v>
      </c>
      <c r="O51" s="84">
        <f t="shared" si="3"/>
        <v>1.4155727083865912</v>
      </c>
      <c r="P51" s="84">
        <f t="shared" si="3"/>
        <v>0.71565858730722942</v>
      </c>
      <c r="Q51" s="84">
        <f t="shared" si="3"/>
        <v>1.2439285405299483</v>
      </c>
    </row>
    <row r="52" spans="1:17" x14ac:dyDescent="0.3">
      <c r="B52" s="4"/>
      <c r="C52" s="4"/>
      <c r="D52" s="4"/>
      <c r="F52" s="14"/>
      <c r="G52" s="14"/>
      <c r="H52" s="14"/>
      <c r="I52" s="14"/>
      <c r="J52" s="14"/>
      <c r="K52" s="14"/>
      <c r="L52" s="14"/>
      <c r="M52" s="14"/>
      <c r="N52" s="14"/>
      <c r="O52" s="14"/>
      <c r="P52" s="14"/>
      <c r="Q52" s="14"/>
    </row>
    <row r="53" spans="1:17" x14ac:dyDescent="0.3">
      <c r="B53" s="4"/>
      <c r="C53" s="4"/>
      <c r="D53" s="4"/>
      <c r="F53" s="14"/>
      <c r="G53" s="14"/>
      <c r="H53" s="14"/>
      <c r="I53" s="14"/>
      <c r="J53" s="14"/>
      <c r="K53" s="14"/>
      <c r="L53" s="14"/>
      <c r="M53" s="14"/>
      <c r="N53" s="14"/>
      <c r="O53" s="14"/>
      <c r="P53" s="14"/>
      <c r="Q53" s="14"/>
    </row>
    <row r="54" spans="1:17" x14ac:dyDescent="0.3">
      <c r="B54" s="4"/>
      <c r="C54" s="4"/>
      <c r="D54" s="4"/>
      <c r="F54" s="14"/>
      <c r="G54" s="14"/>
      <c r="H54" s="14"/>
      <c r="I54" s="14"/>
      <c r="J54" s="14"/>
      <c r="K54" s="14"/>
      <c r="L54" s="14"/>
      <c r="M54" s="14"/>
      <c r="N54" s="14"/>
      <c r="O54" s="14"/>
      <c r="P54" s="14"/>
      <c r="Q54" s="14"/>
    </row>
  </sheetData>
  <mergeCells count="12">
    <mergeCell ref="D33:D34"/>
    <mergeCell ref="B32:D32"/>
    <mergeCell ref="B24:D24"/>
    <mergeCell ref="B51:D51"/>
    <mergeCell ref="B25:D26"/>
    <mergeCell ref="B33:B34"/>
    <mergeCell ref="C33:C34"/>
    <mergeCell ref="B1:E1"/>
    <mergeCell ref="B5:B6"/>
    <mergeCell ref="C5:C6"/>
    <mergeCell ref="B4:D4"/>
    <mergeCell ref="D5:D6"/>
  </mergeCells>
  <hyperlinks>
    <hyperlink ref="C10" location="ANSE23!A1" display="ANSE23" xr:uid="{00000000-0004-0000-0200-000003000000}"/>
    <hyperlink ref="C7" location="FFDPO23!A1" display="FFDPO23" xr:uid="{00000000-0004-0000-0200-000004000000}"/>
    <hyperlink ref="C11" location="IPVO26!A1" display="IPVO26" xr:uid="{00000000-0004-0000-0200-000006000000}"/>
    <hyperlink ref="C18" location="'PMG25'!A1" display="PMG25" xr:uid="{00000000-0004-0000-0200-000009000000}"/>
    <hyperlink ref="C36" location="BIDF40!A1" display="BIDF40" xr:uid="{00000000-0004-0000-0200-00000A000000}"/>
    <hyperlink ref="C43" location="BIDO24!A1" display="BIDO24" xr:uid="{00000000-0004-0000-0200-00000C000000}"/>
    <hyperlink ref="C40" location="BIDN32!A1" display="BIDN32" xr:uid="{00000000-0004-0000-0200-00000D000000}"/>
    <hyperlink ref="C44" location="BIDS34!A1" display="BIDS34" xr:uid="{00000000-0004-0000-0200-00000E000000}"/>
    <hyperlink ref="C45" location="BIDS23!A1" display="BIDS23" xr:uid="{00000000-0004-0000-0200-00000F000000}"/>
    <hyperlink ref="C39" location="BIDY42!A1" display="BIDY42" xr:uid="{00000000-0004-0000-0200-000010000000}"/>
    <hyperlink ref="C46" location="BIRS38!A1" display="BIRS38" xr:uid="{00000000-0004-0000-0200-000014000000}"/>
    <hyperlink ref="C19" location="FFFIRO24!A1" display="FFFIRO24" xr:uid="{00000000-0004-0000-0200-000018000000}"/>
    <hyperlink ref="C20" location="FFFIRF26!A1" display="FFFIRF26" xr:uid="{00000000-0004-0000-0200-000019000000}"/>
    <hyperlink ref="C21" location="FFFIRE26!A1" display="FFFIRE26" xr:uid="{00000000-0004-0000-0200-00001D000000}"/>
    <hyperlink ref="C9" location="GOBD23!A1" display="GOBD23" xr:uid="{00000000-0004-0000-0200-00001E000000}"/>
    <hyperlink ref="C16" location="'PMY25'!A1" display="PMY25" xr:uid="{00000000-0004-0000-0200-00001F000000}"/>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K6:K64"/>
  <sheetViews>
    <sheetView showGridLines="0" workbookViewId="0">
      <selection activeCell="BP156" sqref="BP156"/>
    </sheetView>
  </sheetViews>
  <sheetFormatPr baseColWidth="10" defaultRowHeight="15" x14ac:dyDescent="0.25"/>
  <sheetData>
    <row r="6" spans="11:11" x14ac:dyDescent="0.25">
      <c r="K6" s="79">
        <v>1</v>
      </c>
    </row>
    <row r="25" spans="11:11" x14ac:dyDescent="0.25">
      <c r="K25" s="79">
        <v>1</v>
      </c>
    </row>
    <row r="44" spans="11:11" x14ac:dyDescent="0.25">
      <c r="K44" s="79">
        <v>1</v>
      </c>
    </row>
    <row r="64" spans="11:11" x14ac:dyDescent="0.25">
      <c r="K64" s="79">
        <v>1</v>
      </c>
    </row>
  </sheetData>
  <pageMargins left="0.7" right="0.7" top="0.75" bottom="0.75" header="0.3" footer="0.3"/>
  <drawing r:id="rId1"/>
  <legacyDrawing r:id="rId2"/>
  <picture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1</xdr:col>
                    <xdr:colOff>752475</xdr:colOff>
                    <xdr:row>4</xdr:row>
                    <xdr:rowOff>9525</xdr:rowOff>
                  </from>
                  <to>
                    <xdr:col>5</xdr:col>
                    <xdr:colOff>581025</xdr:colOff>
                    <xdr:row>5</xdr:row>
                    <xdr:rowOff>180975</xdr:rowOff>
                  </to>
                </anchor>
              </controlPr>
            </control>
          </mc:Choice>
        </mc:AlternateContent>
        <mc:AlternateContent xmlns:mc="http://schemas.openxmlformats.org/markup-compatibility/2006">
          <mc:Choice Requires="x14">
            <control shapeId="12291" r:id="rId5" name="Drop Down 3">
              <controlPr defaultSize="0" autoLine="0" autoPict="0">
                <anchor moveWithCells="1">
                  <from>
                    <xdr:col>1</xdr:col>
                    <xdr:colOff>752475</xdr:colOff>
                    <xdr:row>23</xdr:row>
                    <xdr:rowOff>19050</xdr:rowOff>
                  </from>
                  <to>
                    <xdr:col>5</xdr:col>
                    <xdr:colOff>581025</xdr:colOff>
                    <xdr:row>24</xdr:row>
                    <xdr:rowOff>190500</xdr:rowOff>
                  </to>
                </anchor>
              </controlPr>
            </control>
          </mc:Choice>
        </mc:AlternateContent>
        <mc:AlternateContent xmlns:mc="http://schemas.openxmlformats.org/markup-compatibility/2006">
          <mc:Choice Requires="x14">
            <control shapeId="12295" r:id="rId6" name="Drop Down 7">
              <controlPr defaultSize="0" autoLine="0" autoPict="0">
                <anchor moveWithCells="1">
                  <from>
                    <xdr:col>1</xdr:col>
                    <xdr:colOff>752475</xdr:colOff>
                    <xdr:row>41</xdr:row>
                    <xdr:rowOff>114300</xdr:rowOff>
                  </from>
                  <to>
                    <xdr:col>5</xdr:col>
                    <xdr:colOff>581025</xdr:colOff>
                    <xdr:row>43</xdr:row>
                    <xdr:rowOff>95250</xdr:rowOff>
                  </to>
                </anchor>
              </controlPr>
            </control>
          </mc:Choice>
        </mc:AlternateContent>
        <mc:AlternateContent xmlns:mc="http://schemas.openxmlformats.org/markup-compatibility/2006">
          <mc:Choice Requires="x14">
            <control shapeId="12301" r:id="rId7" name="Drop Down 13">
              <controlPr defaultSize="0" autoLine="0" autoPict="0">
                <anchor moveWithCells="1">
                  <from>
                    <xdr:col>1</xdr:col>
                    <xdr:colOff>647700</xdr:colOff>
                    <xdr:row>61</xdr:row>
                    <xdr:rowOff>38100</xdr:rowOff>
                  </from>
                  <to>
                    <xdr:col>5</xdr:col>
                    <xdr:colOff>476250</xdr:colOff>
                    <xdr:row>63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V174"/>
  <sheetViews>
    <sheetView showGridLines="0" topLeftCell="BF10" zoomScale="85" zoomScaleNormal="85" workbookViewId="0">
      <selection activeCell="F1" sqref="F1"/>
    </sheetView>
  </sheetViews>
  <sheetFormatPr baseColWidth="10" defaultRowHeight="15" x14ac:dyDescent="0.25"/>
  <cols>
    <col min="1" max="1" width="20.42578125" bestFit="1" customWidth="1"/>
    <col min="7" max="7" width="20.42578125" bestFit="1" customWidth="1"/>
    <col min="8" max="8" width="11.85546875" bestFit="1" customWidth="1"/>
    <col min="28" max="28" width="20.42578125" bestFit="1" customWidth="1"/>
    <col min="29" max="46" width="18.28515625" customWidth="1"/>
    <col min="47" max="47" width="14.85546875" bestFit="1" customWidth="1"/>
    <col min="49" max="49" width="17.7109375" customWidth="1"/>
    <col min="56" max="56" width="17.7109375" customWidth="1"/>
    <col min="62" max="62" width="14.7109375" customWidth="1"/>
    <col min="66" max="66" width="90.85546875" customWidth="1"/>
  </cols>
  <sheetData>
    <row r="2" spans="1:74" ht="33" customHeight="1" x14ac:dyDescent="0.25">
      <c r="G2" s="214" t="s">
        <v>90</v>
      </c>
      <c r="H2" s="214" t="s">
        <v>91</v>
      </c>
      <c r="I2" s="214"/>
      <c r="J2" s="214"/>
      <c r="K2" s="214" t="s">
        <v>92</v>
      </c>
      <c r="L2" s="214"/>
      <c r="M2" s="214"/>
      <c r="N2" s="214" t="s">
        <v>89</v>
      </c>
      <c r="O2" s="214"/>
      <c r="P2" s="214"/>
      <c r="Q2" s="214" t="s">
        <v>91</v>
      </c>
      <c r="R2" s="214"/>
      <c r="S2" s="214"/>
      <c r="T2" s="214" t="s">
        <v>92</v>
      </c>
      <c r="U2" s="214"/>
      <c r="V2" s="214"/>
      <c r="W2" s="214" t="s">
        <v>89</v>
      </c>
      <c r="X2" s="214"/>
      <c r="Y2" s="214"/>
      <c r="AB2" s="214" t="s">
        <v>98</v>
      </c>
      <c r="AC2" s="72" t="s">
        <v>93</v>
      </c>
      <c r="AD2" s="72" t="s">
        <v>93</v>
      </c>
      <c r="AE2" s="72" t="s">
        <v>93</v>
      </c>
      <c r="AF2" s="72" t="s">
        <v>94</v>
      </c>
      <c r="AG2" s="72" t="s">
        <v>94</v>
      </c>
      <c r="AH2" s="72" t="s">
        <v>94</v>
      </c>
      <c r="AI2" s="72" t="s">
        <v>95</v>
      </c>
      <c r="AJ2" s="72" t="s">
        <v>95</v>
      </c>
      <c r="AK2" s="72" t="s">
        <v>95</v>
      </c>
      <c r="AL2" s="72" t="s">
        <v>96</v>
      </c>
      <c r="AM2" s="72" t="s">
        <v>96</v>
      </c>
      <c r="AN2" s="72" t="s">
        <v>96</v>
      </c>
      <c r="AO2" s="72" t="s">
        <v>97</v>
      </c>
      <c r="AP2" s="72" t="s">
        <v>97</v>
      </c>
      <c r="AQ2" s="72" t="s">
        <v>97</v>
      </c>
      <c r="AR2" s="214" t="s">
        <v>89</v>
      </c>
      <c r="AS2" s="214"/>
      <c r="AT2" s="214"/>
    </row>
    <row r="3" spans="1:74" ht="27" customHeight="1" x14ac:dyDescent="0.25">
      <c r="A3" s="69" t="s">
        <v>88</v>
      </c>
      <c r="B3" s="70" t="s">
        <v>2</v>
      </c>
      <c r="C3" s="70" t="s">
        <v>103</v>
      </c>
      <c r="D3" s="70" t="s">
        <v>45</v>
      </c>
      <c r="G3" s="214"/>
      <c r="H3" s="70" t="s">
        <v>2</v>
      </c>
      <c r="I3" s="70" t="s">
        <v>103</v>
      </c>
      <c r="J3" s="70" t="s">
        <v>45</v>
      </c>
      <c r="K3" s="70" t="s">
        <v>2</v>
      </c>
      <c r="L3" s="70" t="s">
        <v>103</v>
      </c>
      <c r="M3" s="70" t="s">
        <v>45</v>
      </c>
      <c r="N3" s="70" t="s">
        <v>2</v>
      </c>
      <c r="O3" s="70" t="s">
        <v>103</v>
      </c>
      <c r="P3" s="70" t="s">
        <v>45</v>
      </c>
      <c r="Q3" s="70" t="s">
        <v>2</v>
      </c>
      <c r="R3" s="70" t="s">
        <v>103</v>
      </c>
      <c r="S3" s="70" t="s">
        <v>45</v>
      </c>
      <c r="T3" s="70" t="s">
        <v>2</v>
      </c>
      <c r="U3" s="70" t="s">
        <v>103</v>
      </c>
      <c r="V3" s="70" t="s">
        <v>45</v>
      </c>
      <c r="W3" s="70" t="s">
        <v>2</v>
      </c>
      <c r="X3" s="70" t="s">
        <v>103</v>
      </c>
      <c r="Y3" s="70" t="s">
        <v>45</v>
      </c>
      <c r="AB3" s="214"/>
      <c r="AC3" s="70" t="s">
        <v>2</v>
      </c>
      <c r="AD3" s="70" t="s">
        <v>103</v>
      </c>
      <c r="AE3" s="70" t="s">
        <v>45</v>
      </c>
      <c r="AF3" s="70" t="s">
        <v>2</v>
      </c>
      <c r="AG3" s="70" t="s">
        <v>103</v>
      </c>
      <c r="AH3" s="70" t="s">
        <v>45</v>
      </c>
      <c r="AI3" s="70" t="s">
        <v>2</v>
      </c>
      <c r="AJ3" s="70" t="s">
        <v>103</v>
      </c>
      <c r="AK3" s="70" t="s">
        <v>45</v>
      </c>
      <c r="AL3" s="70" t="s">
        <v>2</v>
      </c>
      <c r="AM3" s="70" t="s">
        <v>103</v>
      </c>
      <c r="AN3" s="70" t="s">
        <v>45</v>
      </c>
      <c r="AO3" s="70" t="s">
        <v>2</v>
      </c>
      <c r="AP3" s="70" t="s">
        <v>103</v>
      </c>
      <c r="AQ3" s="70" t="s">
        <v>45</v>
      </c>
      <c r="AR3" s="70" t="s">
        <v>2</v>
      </c>
      <c r="AS3" s="70" t="s">
        <v>103</v>
      </c>
      <c r="AT3" s="70" t="s">
        <v>45</v>
      </c>
      <c r="AW3" s="69" t="s">
        <v>104</v>
      </c>
      <c r="AX3" s="70" t="s">
        <v>2</v>
      </c>
      <c r="AY3" s="70" t="s">
        <v>103</v>
      </c>
      <c r="AZ3" s="70" t="s">
        <v>45</v>
      </c>
      <c r="BA3" s="71" t="s">
        <v>106</v>
      </c>
      <c r="BD3" s="69" t="s">
        <v>107</v>
      </c>
      <c r="BE3" s="70" t="s">
        <v>110</v>
      </c>
      <c r="BF3" s="70" t="s">
        <v>111</v>
      </c>
      <c r="BG3" s="70" t="s">
        <v>112</v>
      </c>
      <c r="BH3" s="70" t="s">
        <v>108</v>
      </c>
      <c r="BI3" s="70" t="s">
        <v>109</v>
      </c>
      <c r="BJ3" s="71" t="s">
        <v>113</v>
      </c>
      <c r="BK3" s="71" t="s">
        <v>106</v>
      </c>
      <c r="BT3" s="213" t="s">
        <v>122</v>
      </c>
      <c r="BU3" s="213"/>
      <c r="BV3" s="213"/>
    </row>
    <row r="4" spans="1:74" ht="16.5" x14ac:dyDescent="0.25">
      <c r="A4" s="75">
        <v>2020</v>
      </c>
      <c r="B4" s="171">
        <v>3065.3877530712161</v>
      </c>
      <c r="C4" s="171">
        <v>45.469618353511237</v>
      </c>
      <c r="D4" s="171">
        <v>55.569016177820686</v>
      </c>
      <c r="E4" s="49"/>
      <c r="F4" s="49"/>
      <c r="G4" s="76">
        <v>2020</v>
      </c>
      <c r="H4" s="171">
        <v>424.70894349503453</v>
      </c>
      <c r="I4" s="171">
        <v>17.845133027467902</v>
      </c>
      <c r="J4" s="171">
        <v>44.483175448205863</v>
      </c>
      <c r="K4" s="171">
        <v>2640.6788095761817</v>
      </c>
      <c r="L4" s="171">
        <v>27.624485326043335</v>
      </c>
      <c r="M4" s="171">
        <v>11.085840729614823</v>
      </c>
      <c r="N4" s="106">
        <f>+K4+H4</f>
        <v>3065.3877530712161</v>
      </c>
      <c r="O4" s="106">
        <f t="shared" ref="O4:P4" si="0">+L4+I4</f>
        <v>45.469618353511237</v>
      </c>
      <c r="P4" s="106">
        <f t="shared" si="0"/>
        <v>55.569016177820686</v>
      </c>
      <c r="Q4" s="107">
        <f>+H4/N4</f>
        <v>0.13854982720196427</v>
      </c>
      <c r="R4" s="107">
        <f>+I4/O4</f>
        <v>0.39246278446253713</v>
      </c>
      <c r="S4" s="107">
        <f>+J4/P4</f>
        <v>0.80050320318538359</v>
      </c>
      <c r="T4" s="107">
        <f>+K4/N4</f>
        <v>0.86145017279803571</v>
      </c>
      <c r="U4" s="107">
        <f>+L4/O4</f>
        <v>0.60753721553746287</v>
      </c>
      <c r="V4" s="107">
        <f>+M4/P4</f>
        <v>0.19949679681461635</v>
      </c>
      <c r="W4" s="107">
        <v>1</v>
      </c>
      <c r="X4" s="107">
        <v>1</v>
      </c>
      <c r="Y4" s="107">
        <v>1</v>
      </c>
      <c r="Z4" s="148"/>
      <c r="AB4" s="76">
        <v>2020</v>
      </c>
      <c r="AC4" s="172">
        <v>1178.471061912041</v>
      </c>
      <c r="AD4" s="172">
        <v>0</v>
      </c>
      <c r="AE4" s="172">
        <v>0</v>
      </c>
      <c r="AF4" s="172">
        <v>0</v>
      </c>
      <c r="AG4" s="172">
        <v>0</v>
      </c>
      <c r="AH4" s="172">
        <v>55.569016177820686</v>
      </c>
      <c r="AI4" s="172">
        <v>0</v>
      </c>
      <c r="AJ4" s="172">
        <v>1.6413985000000002</v>
      </c>
      <c r="AK4" s="172">
        <v>0</v>
      </c>
      <c r="AL4" s="172">
        <v>0</v>
      </c>
      <c r="AM4" s="172">
        <v>21.636144853511247</v>
      </c>
      <c r="AN4" s="172">
        <v>0</v>
      </c>
      <c r="AO4" s="172">
        <v>1886.9166911591758</v>
      </c>
      <c r="AP4" s="172">
        <v>22.192074999999999</v>
      </c>
      <c r="AQ4" s="172">
        <v>0</v>
      </c>
      <c r="AR4" s="109">
        <f>+SUMIF($AC$3:$AQ$3,"Pesos",$AC4:$AQ4)</f>
        <v>3065.387753071217</v>
      </c>
      <c r="AS4" s="109">
        <f>+SUMIF($AC$3:$AQ$3,"USD",$AC4:$AQ4)</f>
        <v>45.469618353511251</v>
      </c>
      <c r="AT4" s="109">
        <f>+SUMIF($AC$3:$AQ$3,"UVA",$AC4:$AQ4)</f>
        <v>55.569016177820686</v>
      </c>
      <c r="AU4" s="49"/>
      <c r="AV4" s="49"/>
      <c r="AW4" s="71" t="s">
        <v>51</v>
      </c>
      <c r="AX4" s="112">
        <f>+AX5/$BA$5</f>
        <v>0.21156059721903825</v>
      </c>
      <c r="AY4" s="112">
        <f>+AY5/$BA$5</f>
        <v>0.7884394027809617</v>
      </c>
      <c r="AZ4" s="112">
        <f>+AZ5/$BA$5</f>
        <v>0</v>
      </c>
      <c r="BA4" s="112">
        <f>+BA5/$BA$5</f>
        <v>1</v>
      </c>
      <c r="BD4" s="71" t="s">
        <v>51</v>
      </c>
      <c r="BE4" s="112">
        <f>+BE5/$BK$5</f>
        <v>6.4533108458365754E-2</v>
      </c>
      <c r="BF4" s="112">
        <f t="shared" ref="BF4:BK4" si="1">+BF5/$BK$5</f>
        <v>0</v>
      </c>
      <c r="BG4" s="112">
        <f t="shared" si="1"/>
        <v>0.56372356601258433</v>
      </c>
      <c r="BH4" s="112">
        <f t="shared" si="1"/>
        <v>0.14222979038548209</v>
      </c>
      <c r="BI4" s="112">
        <f t="shared" si="1"/>
        <v>0.22471583676837745</v>
      </c>
      <c r="BJ4" s="112">
        <f t="shared" si="1"/>
        <v>4.7976983751904009E-3</v>
      </c>
      <c r="BK4" s="112">
        <f t="shared" si="1"/>
        <v>1</v>
      </c>
      <c r="BL4" s="74"/>
      <c r="BT4" s="78" t="s">
        <v>115</v>
      </c>
    </row>
    <row r="5" spans="1:74" ht="16.5" x14ac:dyDescent="0.25">
      <c r="A5" s="75">
        <f>+A4+1</f>
        <v>2021</v>
      </c>
      <c r="B5" s="171">
        <v>7722.1832983013492</v>
      </c>
      <c r="C5" s="171">
        <v>39.604677280951158</v>
      </c>
      <c r="D5" s="171">
        <v>19.277296437904816</v>
      </c>
      <c r="E5" s="49"/>
      <c r="F5" s="49"/>
      <c r="G5" s="75">
        <f>+G4+1</f>
        <v>2021</v>
      </c>
      <c r="H5" s="171">
        <v>4956.8121740246343</v>
      </c>
      <c r="I5" s="171">
        <v>16.248720311656189</v>
      </c>
      <c r="J5" s="171">
        <v>10.434325061801667</v>
      </c>
      <c r="K5" s="171">
        <v>2765.3711242767149</v>
      </c>
      <c r="L5" s="171">
        <v>23.355956969294969</v>
      </c>
      <c r="M5" s="171">
        <v>8.842971376103149</v>
      </c>
      <c r="N5" s="106">
        <f t="shared" ref="N5:N14" si="2">+K5+H5</f>
        <v>7722.1832983013492</v>
      </c>
      <c r="O5" s="106">
        <f t="shared" ref="O5:O14" si="3">+L5+I5</f>
        <v>39.604677280951158</v>
      </c>
      <c r="P5" s="106">
        <f t="shared" ref="P5:P14" si="4">+M5+J5</f>
        <v>19.277296437904816</v>
      </c>
      <c r="Q5" s="107">
        <f t="shared" ref="Q5:Q14" si="5">+H5/N5</f>
        <v>0.6418925817410972</v>
      </c>
      <c r="R5" s="107">
        <f>+I5/O5</f>
        <v>0.41027276138092433</v>
      </c>
      <c r="S5" s="107">
        <f t="shared" ref="S5:S6" si="6">+J5/P5</f>
        <v>0.5412753336761853</v>
      </c>
      <c r="T5" s="107">
        <f t="shared" ref="T5:T14" si="7">+K5/N5</f>
        <v>0.3581074182589028</v>
      </c>
      <c r="U5" s="107">
        <f t="shared" ref="U5:U14" si="8">+L5/O5</f>
        <v>0.58972723861907572</v>
      </c>
      <c r="V5" s="107">
        <f t="shared" ref="V5:V6" si="9">+M5/P5</f>
        <v>0.4587246663238147</v>
      </c>
      <c r="W5" s="107">
        <v>1</v>
      </c>
      <c r="X5" s="107">
        <v>1</v>
      </c>
      <c r="Y5" s="107">
        <v>1</v>
      </c>
      <c r="Z5" s="77">
        <v>0</v>
      </c>
      <c r="AB5" s="75">
        <f>+AB4+1</f>
        <v>2021</v>
      </c>
      <c r="AC5" s="172">
        <v>4657.6730759813126</v>
      </c>
      <c r="AD5" s="172">
        <v>0</v>
      </c>
      <c r="AE5" s="172">
        <v>0</v>
      </c>
      <c r="AF5" s="172">
        <v>0</v>
      </c>
      <c r="AG5" s="172">
        <v>0</v>
      </c>
      <c r="AH5" s="172">
        <v>19.277296437904816</v>
      </c>
      <c r="AI5" s="172">
        <v>0</v>
      </c>
      <c r="AJ5" s="172">
        <v>0.79255361999999996</v>
      </c>
      <c r="AK5" s="172">
        <v>0</v>
      </c>
      <c r="AL5" s="172">
        <v>0</v>
      </c>
      <c r="AM5" s="172">
        <v>19.38025699428449</v>
      </c>
      <c r="AN5" s="172">
        <v>0</v>
      </c>
      <c r="AO5" s="172">
        <v>3064.5102223200347</v>
      </c>
      <c r="AP5" s="172">
        <v>19.431866666666668</v>
      </c>
      <c r="AQ5" s="172">
        <v>0</v>
      </c>
      <c r="AR5" s="109">
        <f t="shared" ref="AR5:AR14" si="10">+SUMIF($AC$3:$AQ$3,"Pesos",$AC5:$AQ5)</f>
        <v>7722.1832983013473</v>
      </c>
      <c r="AS5" s="109">
        <f t="shared" ref="AS5:AS14" si="11">+SUMIF($AC$3:$AQ$3,"USD",$AC5:$AQ5)</f>
        <v>39.604677280951158</v>
      </c>
      <c r="AT5" s="109">
        <f t="shared" ref="AT5:AT14" si="12">+SUMIF($AC$3:$AQ$3,"UVA",$AC5:$AQ5)</f>
        <v>19.277296437904816</v>
      </c>
      <c r="AU5" s="49"/>
      <c r="AV5" s="49"/>
      <c r="AW5" s="71" t="s">
        <v>105</v>
      </c>
      <c r="AX5" s="110">
        <f>+'Servicios Deuda Anual'!F9+'Servicios Deuda Anual'!F18+'Servicios Deuda Anual'!F39+'Servicios Deuda Anual'!F40+'Servicios Deuda Anual'!F41+'Servicios Deuda Anual'!F42+'Servicios Deuda Anual'!F43+'Servicios Deuda Anual'!F44+'Servicios Deuda Anual'!F45</f>
        <v>179.45429351378206</v>
      </c>
      <c r="AY5" s="110">
        <f>+'Servicios Deuda Anual'!F38+'Servicios Deuda Anual'!F20</f>
        <v>668.78633291999995</v>
      </c>
      <c r="AZ5" s="110">
        <v>0</v>
      </c>
      <c r="BA5" s="111">
        <f>+AY5+AX5+AZ5</f>
        <v>848.24062643378204</v>
      </c>
      <c r="BD5" s="71" t="s">
        <v>105</v>
      </c>
      <c r="BE5" s="114">
        <f>+'Servicios Deuda Anual'!F10+'Servicios Deuda Anual'!F11+'Servicios Deuda Anual'!F12+'Servicios Deuda Anual'!F17+'Servicios Deuda Anual'!F39</f>
        <v>54.739604344443357</v>
      </c>
      <c r="BF5" s="114">
        <v>0</v>
      </c>
      <c r="BG5" s="114">
        <f>+'Servicios Deuda Anual'!F38</f>
        <v>478.17323076999998</v>
      </c>
      <c r="BH5" s="114">
        <f>+'Servicios Deuda Anual'!F15+'Servicios Deuda Anual'!F19+'Servicios Deuda Anual'!F40+'Servicios Deuda Anual'!F41+'Servicios Deuda Anual'!F42+'Servicios Deuda Anual'!F43+'Servicios Deuda Anual'!F44+'Servicios Deuda Anual'!F45</f>
        <v>120.64508649412683</v>
      </c>
      <c r="BI5" s="114">
        <f>+'Servicios Deuda Anual'!F36+'Servicios Deuda Anual'!F35+'Servicios Deuda Anual'!F34+'Servicios Deuda Anual'!F32+'Servicios Deuda Anual'!F31+'Servicios Deuda Anual'!F30+'Servicios Deuda Anual'!F29+'Servicios Deuda Anual'!F28+'Servicios Deuda Anual'!F27+'Servicios Deuda Anual'!F26+'Servicios Deuda Anual'!F25+'Servicios Deuda Anual'!F24+'Servicios Deuda Anual'!F23+'Servicios Deuda Anual'!F22</f>
        <v>190.61310214999997</v>
      </c>
      <c r="BJ5" s="114">
        <f>+'Servicios Deuda Anual'!F13+'Servicios Deuda Anual'!F14+'Servicios Deuda Anual'!F16</f>
        <v>4.0696026752118435</v>
      </c>
      <c r="BK5" s="113">
        <f>+SUM(BE5:BJ5)</f>
        <v>848.24062643378193</v>
      </c>
      <c r="BL5" s="73"/>
      <c r="BT5" s="78" t="s">
        <v>116</v>
      </c>
    </row>
    <row r="6" spans="1:74" x14ac:dyDescent="0.25">
      <c r="A6" s="75">
        <f t="shared" ref="A6:A9" si="13">+A5+1</f>
        <v>2022</v>
      </c>
      <c r="B6" s="171">
        <v>24763.11180595223</v>
      </c>
      <c r="C6" s="171">
        <v>42.62848488616963</v>
      </c>
      <c r="D6" s="171">
        <v>13.053123599940303</v>
      </c>
      <c r="E6" s="49"/>
      <c r="F6" s="49"/>
      <c r="G6" s="75">
        <f t="shared" ref="G6:G9" si="14">+G5+1</f>
        <v>2022</v>
      </c>
      <c r="H6" s="171">
        <v>9381.3052599994116</v>
      </c>
      <c r="I6" s="171">
        <v>15.691754258460426</v>
      </c>
      <c r="J6" s="171">
        <v>9.8546403350349081</v>
      </c>
      <c r="K6" s="171">
        <v>15381.806545952819</v>
      </c>
      <c r="L6" s="171">
        <v>26.936730627709203</v>
      </c>
      <c r="M6" s="171">
        <v>3.198483264905394</v>
      </c>
      <c r="N6" s="106">
        <f t="shared" si="2"/>
        <v>24763.11180595223</v>
      </c>
      <c r="O6" s="106">
        <f t="shared" si="3"/>
        <v>42.62848488616963</v>
      </c>
      <c r="P6" s="106">
        <f t="shared" si="4"/>
        <v>13.053123599940303</v>
      </c>
      <c r="Q6" s="107">
        <f t="shared" si="5"/>
        <v>0.37884193769801006</v>
      </c>
      <c r="R6" s="107">
        <f>+I6/O6</f>
        <v>0.3681049021648774</v>
      </c>
      <c r="S6" s="107">
        <f t="shared" si="6"/>
        <v>0.75496414782129062</v>
      </c>
      <c r="T6" s="107">
        <f t="shared" si="7"/>
        <v>0.62115806230199</v>
      </c>
      <c r="U6" s="107">
        <f t="shared" si="8"/>
        <v>0.63189509783512254</v>
      </c>
      <c r="V6" s="107">
        <f t="shared" si="9"/>
        <v>0.24503585217870932</v>
      </c>
      <c r="W6" s="107">
        <v>1</v>
      </c>
      <c r="X6" s="107">
        <v>1</v>
      </c>
      <c r="Y6" s="107">
        <v>1</v>
      </c>
      <c r="Z6" s="77">
        <v>0</v>
      </c>
      <c r="AB6" s="75">
        <f t="shared" ref="AB6:AB9" si="15">+AB5+1</f>
        <v>2022</v>
      </c>
      <c r="AC6" s="172">
        <v>11809.215791485463</v>
      </c>
      <c r="AD6" s="172">
        <v>0</v>
      </c>
      <c r="AE6" s="172">
        <v>0</v>
      </c>
      <c r="AF6" s="172">
        <v>7157.3785598736722</v>
      </c>
      <c r="AG6" s="172">
        <v>0</v>
      </c>
      <c r="AH6" s="172">
        <v>13.053123599940303</v>
      </c>
      <c r="AI6" s="172">
        <v>0</v>
      </c>
      <c r="AJ6" s="172">
        <v>0</v>
      </c>
      <c r="AK6" s="172">
        <v>0</v>
      </c>
      <c r="AL6" s="172">
        <v>0</v>
      </c>
      <c r="AM6" s="172">
        <v>20.261712386169627</v>
      </c>
      <c r="AN6" s="172">
        <v>0</v>
      </c>
      <c r="AO6" s="172">
        <v>5796.5174545930986</v>
      </c>
      <c r="AP6" s="172">
        <v>22.3667725</v>
      </c>
      <c r="AQ6" s="172">
        <v>0</v>
      </c>
      <c r="AR6" s="109">
        <f t="shared" si="10"/>
        <v>24763.111805952234</v>
      </c>
      <c r="AS6" s="109">
        <f t="shared" si="11"/>
        <v>42.62848488616963</v>
      </c>
      <c r="AT6" s="109">
        <f t="shared" si="12"/>
        <v>13.053123599940303</v>
      </c>
      <c r="AU6" s="49"/>
      <c r="AV6" s="49"/>
      <c r="AW6" s="49"/>
      <c r="BA6" s="49"/>
      <c r="BD6" s="49"/>
      <c r="BT6" s="78" t="s">
        <v>117</v>
      </c>
    </row>
    <row r="7" spans="1:74" x14ac:dyDescent="0.25">
      <c r="A7" s="75">
        <f t="shared" si="13"/>
        <v>2023</v>
      </c>
      <c r="B7" s="105">
        <v>52192.820087943088</v>
      </c>
      <c r="C7" s="105">
        <v>131.28465993801512</v>
      </c>
      <c r="D7" s="105">
        <v>0</v>
      </c>
      <c r="E7" s="49"/>
      <c r="F7" s="49"/>
      <c r="G7" s="75">
        <f t="shared" si="14"/>
        <v>2023</v>
      </c>
      <c r="H7" s="105">
        <f>+SUMIFS($G$20:$V$20,$G$17:$V$17,H$3,$G$18:$V$18,$G7)</f>
        <v>25325.9891623228</v>
      </c>
      <c r="I7" s="105">
        <f>+SUMIFS($G$20:$V$20,$G$17:$V$17,I$3,$G$18:$V$18,$G7)</f>
        <v>96.300062814307921</v>
      </c>
      <c r="J7" s="105">
        <v>0</v>
      </c>
      <c r="K7" s="105">
        <f>+SUMIFS($G$21:$V$21,$G$17:$V$17,K$3,$G$18:$V$18,$G7)</f>
        <v>26866.830925620292</v>
      </c>
      <c r="L7" s="105">
        <f>+SUMIFS($G$21:$V$21,$G$17:$V$17,L$3,$G$18:$V$18,$G7)</f>
        <v>34.984597123707211</v>
      </c>
      <c r="M7" s="105">
        <v>0</v>
      </c>
      <c r="N7" s="106">
        <f t="shared" si="2"/>
        <v>52192.820087943095</v>
      </c>
      <c r="O7" s="106">
        <f t="shared" si="3"/>
        <v>131.28465993801512</v>
      </c>
      <c r="P7" s="106">
        <f t="shared" si="4"/>
        <v>0</v>
      </c>
      <c r="Q7" s="107">
        <f t="shared" si="5"/>
        <v>0.48523894895216207</v>
      </c>
      <c r="R7" s="107">
        <f t="shared" ref="R7:R14" si="16">+I7/O7</f>
        <v>0.73352105919895849</v>
      </c>
      <c r="S7" s="107" t="s">
        <v>179</v>
      </c>
      <c r="T7" s="107">
        <f t="shared" si="7"/>
        <v>0.51476105104783787</v>
      </c>
      <c r="U7" s="107">
        <f t="shared" si="8"/>
        <v>0.26647894080104162</v>
      </c>
      <c r="V7" s="107" t="s">
        <v>179</v>
      </c>
      <c r="W7" s="107">
        <v>1</v>
      </c>
      <c r="X7" s="107">
        <v>1.0000000000000002</v>
      </c>
      <c r="Y7" s="107">
        <v>0</v>
      </c>
      <c r="Z7" s="77">
        <v>0</v>
      </c>
      <c r="AB7" s="75">
        <f t="shared" si="15"/>
        <v>2023</v>
      </c>
      <c r="AC7" s="108">
        <v>13661.312733109948</v>
      </c>
      <c r="AD7" s="108">
        <v>0</v>
      </c>
      <c r="AE7" s="108">
        <v>0</v>
      </c>
      <c r="AF7" s="108">
        <v>18664.752526691474</v>
      </c>
      <c r="AG7" s="108">
        <v>0</v>
      </c>
      <c r="AH7" s="108">
        <v>0</v>
      </c>
      <c r="AI7" s="108">
        <v>0</v>
      </c>
      <c r="AJ7" s="108">
        <v>0</v>
      </c>
      <c r="AK7" s="108">
        <v>0</v>
      </c>
      <c r="AL7" s="108">
        <v>0</v>
      </c>
      <c r="AM7" s="108">
        <v>26.755647245707422</v>
      </c>
      <c r="AN7" s="108">
        <v>0</v>
      </c>
      <c r="AO7" s="108">
        <v>19866.754828141668</v>
      </c>
      <c r="AP7" s="108">
        <v>104.52901269230772</v>
      </c>
      <c r="AQ7" s="108">
        <v>0</v>
      </c>
      <c r="AR7" s="109">
        <f t="shared" si="10"/>
        <v>52192.820087943088</v>
      </c>
      <c r="AS7" s="109">
        <f t="shared" si="11"/>
        <v>131.28465993801512</v>
      </c>
      <c r="AT7" s="109">
        <f t="shared" si="12"/>
        <v>0</v>
      </c>
      <c r="AU7" s="49"/>
      <c r="AV7" s="49"/>
      <c r="AW7" s="49"/>
      <c r="AZ7" s="122" t="s">
        <v>156</v>
      </c>
      <c r="BA7" s="123">
        <f>+BA5-'Servicios Deuda Anual'!$F$47</f>
        <v>0</v>
      </c>
      <c r="BD7" s="49"/>
      <c r="BJ7" s="122" t="s">
        <v>156</v>
      </c>
      <c r="BK7" s="123">
        <f>+BK5-'Servicios Deuda Anual'!$F$47</f>
        <v>0</v>
      </c>
      <c r="BT7" s="78" t="s">
        <v>118</v>
      </c>
    </row>
    <row r="8" spans="1:74" x14ac:dyDescent="0.25">
      <c r="A8" s="75">
        <f t="shared" si="13"/>
        <v>2024</v>
      </c>
      <c r="B8" s="105">
        <v>36792.150941525688</v>
      </c>
      <c r="C8" s="105">
        <v>132.07160858877552</v>
      </c>
      <c r="D8" s="105">
        <v>0</v>
      </c>
      <c r="E8" s="49"/>
      <c r="F8" s="49"/>
      <c r="G8" s="75">
        <f t="shared" si="14"/>
        <v>2024</v>
      </c>
      <c r="H8" s="105">
        <f t="shared" ref="H8:H14" si="17">+SUMIFS($G$20:$V$20,$G$17:$V$17,H$3,$G$18:$V$18,$G8)</f>
        <v>15366.192307846766</v>
      </c>
      <c r="I8" s="105">
        <f t="shared" ref="I8:I14" si="18">+SUMIFS($G$20:$V$20,$G$17:$V$17,I$3,$G$18:$V$18,$G8)</f>
        <v>95.954378781915594</v>
      </c>
      <c r="J8" s="105">
        <v>0</v>
      </c>
      <c r="K8" s="105">
        <f t="shared" ref="K8:L14" si="19">+SUMIFS($G$21:$V$21,$G$17:$V$17,K$3,$G$18:$V$18,$G8)</f>
        <v>21425.958633678914</v>
      </c>
      <c r="L8" s="105">
        <f t="shared" si="19"/>
        <v>36.11722980685991</v>
      </c>
      <c r="M8" s="105">
        <v>0</v>
      </c>
      <c r="N8" s="106">
        <f t="shared" si="2"/>
        <v>36792.150941525681</v>
      </c>
      <c r="O8" s="106">
        <f t="shared" si="3"/>
        <v>132.07160858877552</v>
      </c>
      <c r="P8" s="106">
        <f t="shared" si="4"/>
        <v>0</v>
      </c>
      <c r="Q8" s="107">
        <f t="shared" si="5"/>
        <v>0.41764865371063753</v>
      </c>
      <c r="R8" s="107">
        <f t="shared" si="16"/>
        <v>0.72653297561237207</v>
      </c>
      <c r="S8" s="107" t="s">
        <v>179</v>
      </c>
      <c r="T8" s="107">
        <f t="shared" si="7"/>
        <v>0.58235134628936247</v>
      </c>
      <c r="U8" s="107">
        <f t="shared" si="8"/>
        <v>0.27346702438762782</v>
      </c>
      <c r="V8" s="107" t="s">
        <v>179</v>
      </c>
      <c r="W8" s="107">
        <v>0.99999999999999989</v>
      </c>
      <c r="X8" s="107">
        <v>1</v>
      </c>
      <c r="Y8" s="107">
        <v>0</v>
      </c>
      <c r="Z8" s="77">
        <v>0</v>
      </c>
      <c r="AB8" s="75">
        <f t="shared" si="15"/>
        <v>2024</v>
      </c>
      <c r="AC8" s="108">
        <v>681.26974589167776</v>
      </c>
      <c r="AD8" s="108">
        <v>0</v>
      </c>
      <c r="AE8" s="108">
        <v>0</v>
      </c>
      <c r="AF8" s="108">
        <v>16437.862517860049</v>
      </c>
      <c r="AG8" s="108">
        <v>0</v>
      </c>
      <c r="AH8" s="108">
        <v>0</v>
      </c>
      <c r="AI8" s="108">
        <v>0</v>
      </c>
      <c r="AJ8" s="108">
        <v>0</v>
      </c>
      <c r="AK8" s="108">
        <v>0</v>
      </c>
      <c r="AL8" s="108">
        <v>0</v>
      </c>
      <c r="AM8" s="130">
        <v>28.31797945416011</v>
      </c>
      <c r="AN8" s="108">
        <v>0</v>
      </c>
      <c r="AO8" s="108">
        <v>19673.018677773955</v>
      </c>
      <c r="AP8" s="108">
        <v>103.75362913461539</v>
      </c>
      <c r="AQ8" s="108">
        <v>0</v>
      </c>
      <c r="AR8" s="109">
        <f t="shared" si="10"/>
        <v>36792.150941525681</v>
      </c>
      <c r="AS8" s="109">
        <f t="shared" si="11"/>
        <v>132.07160858877552</v>
      </c>
      <c r="AT8" s="109">
        <f t="shared" si="12"/>
        <v>0</v>
      </c>
      <c r="AU8" s="49"/>
      <c r="AV8" s="49"/>
      <c r="AW8" s="49"/>
      <c r="BD8" s="49"/>
      <c r="BT8" s="78" t="s">
        <v>119</v>
      </c>
    </row>
    <row r="9" spans="1:74" x14ac:dyDescent="0.25">
      <c r="A9" s="75">
        <f t="shared" si="13"/>
        <v>2025</v>
      </c>
      <c r="B9" s="105">
        <v>15544.154883851626</v>
      </c>
      <c r="C9" s="105">
        <v>125.92017001917733</v>
      </c>
      <c r="D9" s="105">
        <v>0</v>
      </c>
      <c r="E9" s="49"/>
      <c r="F9" s="49"/>
      <c r="G9" s="75">
        <f t="shared" si="14"/>
        <v>2025</v>
      </c>
      <c r="H9" s="105">
        <f t="shared" si="17"/>
        <v>6500.5959403872812</v>
      </c>
      <c r="I9" s="105">
        <f t="shared" si="18"/>
        <v>96.948277626082259</v>
      </c>
      <c r="J9" s="105">
        <v>0</v>
      </c>
      <c r="K9" s="105">
        <f t="shared" si="19"/>
        <v>9043.5589434643425</v>
      </c>
      <c r="L9" s="105">
        <f t="shared" si="19"/>
        <v>28.971892393095075</v>
      </c>
      <c r="M9" s="105">
        <v>0</v>
      </c>
      <c r="N9" s="106">
        <f t="shared" si="2"/>
        <v>15544.154883851625</v>
      </c>
      <c r="O9" s="106">
        <f t="shared" si="3"/>
        <v>125.92017001917733</v>
      </c>
      <c r="P9" s="106">
        <f t="shared" si="4"/>
        <v>0</v>
      </c>
      <c r="Q9" s="107">
        <f t="shared" si="5"/>
        <v>0.41820195365787066</v>
      </c>
      <c r="R9" s="107">
        <f t="shared" si="16"/>
        <v>0.76991857310323897</v>
      </c>
      <c r="S9" s="107" t="s">
        <v>179</v>
      </c>
      <c r="T9" s="107">
        <f t="shared" si="7"/>
        <v>0.58179804634212928</v>
      </c>
      <c r="U9" s="107">
        <f t="shared" si="8"/>
        <v>0.23008142689676106</v>
      </c>
      <c r="V9" s="107" t="s">
        <v>179</v>
      </c>
      <c r="W9" s="107">
        <v>1</v>
      </c>
      <c r="X9" s="107">
        <v>1</v>
      </c>
      <c r="Y9" s="107">
        <v>0</v>
      </c>
      <c r="Z9" s="77">
        <v>0</v>
      </c>
      <c r="AB9" s="75">
        <f t="shared" si="15"/>
        <v>2025</v>
      </c>
      <c r="AC9" s="108">
        <v>186.6352642536049</v>
      </c>
      <c r="AD9" s="108">
        <v>0</v>
      </c>
      <c r="AE9" s="108">
        <v>0</v>
      </c>
      <c r="AF9" s="108">
        <v>9994.9474077062041</v>
      </c>
      <c r="AG9" s="108">
        <v>0</v>
      </c>
      <c r="AH9" s="108">
        <v>0</v>
      </c>
      <c r="AI9" s="108">
        <v>0</v>
      </c>
      <c r="AJ9" s="108">
        <v>0</v>
      </c>
      <c r="AK9" s="108">
        <v>0</v>
      </c>
      <c r="AL9" s="108">
        <v>0</v>
      </c>
      <c r="AM9" s="108">
        <v>26.749034346100398</v>
      </c>
      <c r="AN9" s="108">
        <v>0</v>
      </c>
      <c r="AO9" s="108">
        <v>5362.5722118918166</v>
      </c>
      <c r="AP9" s="108">
        <v>99.171135673076932</v>
      </c>
      <c r="AQ9" s="108">
        <v>0</v>
      </c>
      <c r="AR9" s="109">
        <f t="shared" si="10"/>
        <v>15544.154883851626</v>
      </c>
      <c r="AS9" s="109">
        <f t="shared" si="11"/>
        <v>125.92017001917733</v>
      </c>
      <c r="AT9" s="109">
        <f t="shared" si="12"/>
        <v>0</v>
      </c>
      <c r="AU9" s="49"/>
      <c r="AV9" s="49"/>
      <c r="AW9" s="49"/>
      <c r="BD9" s="49"/>
      <c r="BT9" s="78" t="s">
        <v>128</v>
      </c>
    </row>
    <row r="10" spans="1:74" x14ac:dyDescent="0.25">
      <c r="A10" s="75">
        <f>+A9+1</f>
        <v>2026</v>
      </c>
      <c r="B10" s="105">
        <v>7511.6259401039069</v>
      </c>
      <c r="C10" s="105">
        <v>113.90871228899141</v>
      </c>
      <c r="D10" s="105">
        <v>0</v>
      </c>
      <c r="E10" s="49"/>
      <c r="F10" s="49"/>
      <c r="G10" s="75">
        <f>+G9+1</f>
        <v>2026</v>
      </c>
      <c r="H10" s="105">
        <f t="shared" si="17"/>
        <v>5160.5390014874256</v>
      </c>
      <c r="I10" s="105">
        <f t="shared" si="18"/>
        <v>92.247530771212638</v>
      </c>
      <c r="J10" s="105">
        <v>0</v>
      </c>
      <c r="K10" s="105">
        <f t="shared" si="19"/>
        <v>2351.0869386164823</v>
      </c>
      <c r="L10" s="105">
        <f t="shared" si="19"/>
        <v>21.661181517778761</v>
      </c>
      <c r="M10" s="105">
        <v>0</v>
      </c>
      <c r="N10" s="106">
        <f t="shared" si="2"/>
        <v>7511.6259401039079</v>
      </c>
      <c r="O10" s="106">
        <f t="shared" si="3"/>
        <v>113.9087122889914</v>
      </c>
      <c r="P10" s="106">
        <f t="shared" si="4"/>
        <v>0</v>
      </c>
      <c r="Q10" s="107">
        <f t="shared" si="5"/>
        <v>0.68700692002456665</v>
      </c>
      <c r="R10" s="107">
        <f t="shared" si="16"/>
        <v>0.80983735938631818</v>
      </c>
      <c r="S10" s="107" t="s">
        <v>179</v>
      </c>
      <c r="T10" s="107">
        <f t="shared" si="7"/>
        <v>0.31299307997543335</v>
      </c>
      <c r="U10" s="107">
        <f t="shared" si="8"/>
        <v>0.1901626406136819</v>
      </c>
      <c r="V10" s="107" t="s">
        <v>179</v>
      </c>
      <c r="W10" s="107">
        <v>1</v>
      </c>
      <c r="X10" s="107">
        <v>0.99999999999999989</v>
      </c>
      <c r="Y10" s="107">
        <v>0</v>
      </c>
      <c r="Z10" s="77">
        <v>0</v>
      </c>
      <c r="AB10" s="75">
        <f>+AB9+1</f>
        <v>2026</v>
      </c>
      <c r="AC10" s="108">
        <v>43.780216864027345</v>
      </c>
      <c r="AD10" s="108">
        <v>0</v>
      </c>
      <c r="AE10" s="108">
        <v>0</v>
      </c>
      <c r="AF10" s="108">
        <v>5604.2094691180318</v>
      </c>
      <c r="AG10" s="108">
        <v>0</v>
      </c>
      <c r="AH10" s="108">
        <v>0</v>
      </c>
      <c r="AI10" s="108">
        <v>0</v>
      </c>
      <c r="AJ10" s="108">
        <v>0</v>
      </c>
      <c r="AK10" s="108">
        <v>0</v>
      </c>
      <c r="AL10" s="108">
        <v>0</v>
      </c>
      <c r="AM10" s="108">
        <v>19.320070077452939</v>
      </c>
      <c r="AN10" s="108">
        <v>0</v>
      </c>
      <c r="AO10" s="108">
        <v>1863.6362541218482</v>
      </c>
      <c r="AP10" s="108">
        <v>94.58864221153847</v>
      </c>
      <c r="AQ10" s="108">
        <v>0</v>
      </c>
      <c r="AR10" s="109">
        <f t="shared" si="10"/>
        <v>7511.6259401039079</v>
      </c>
      <c r="AS10" s="109">
        <f t="shared" si="11"/>
        <v>113.90871228899141</v>
      </c>
      <c r="AT10" s="109">
        <f t="shared" si="12"/>
        <v>0</v>
      </c>
      <c r="AU10" s="49"/>
      <c r="AV10" s="49"/>
      <c r="AW10" s="49"/>
      <c r="BD10" s="49"/>
      <c r="BT10" s="78" t="s">
        <v>120</v>
      </c>
    </row>
    <row r="11" spans="1:74" x14ac:dyDescent="0.25">
      <c r="A11" s="75">
        <f>+A10+1</f>
        <v>2027</v>
      </c>
      <c r="B11" s="105">
        <v>3331.5260261021153</v>
      </c>
      <c r="C11" s="105">
        <v>107.28750037885627</v>
      </c>
      <c r="D11" s="105">
        <v>0</v>
      </c>
      <c r="E11" s="49"/>
      <c r="F11" s="49"/>
      <c r="G11" s="75">
        <f>+G10+1</f>
        <v>2027</v>
      </c>
      <c r="H11" s="105">
        <f t="shared" si="17"/>
        <v>2607.6846263333332</v>
      </c>
      <c r="I11" s="105">
        <f t="shared" si="18"/>
        <v>92.247530771212638</v>
      </c>
      <c r="J11" s="105">
        <v>0</v>
      </c>
      <c r="K11" s="105">
        <f t="shared" si="19"/>
        <v>723.84139976878203</v>
      </c>
      <c r="L11" s="105">
        <f t="shared" si="19"/>
        <v>15.039969607643622</v>
      </c>
      <c r="M11" s="105">
        <v>0</v>
      </c>
      <c r="N11" s="106">
        <f t="shared" si="2"/>
        <v>3331.5260261021153</v>
      </c>
      <c r="O11" s="106">
        <f t="shared" si="3"/>
        <v>107.28750037885627</v>
      </c>
      <c r="P11" s="106">
        <f t="shared" si="4"/>
        <v>0</v>
      </c>
      <c r="Q11" s="107">
        <f t="shared" si="5"/>
        <v>0.78272977785628273</v>
      </c>
      <c r="R11" s="107">
        <f t="shared" si="16"/>
        <v>0.859816198955758</v>
      </c>
      <c r="S11" s="107" t="s">
        <v>179</v>
      </c>
      <c r="T11" s="107">
        <f t="shared" si="7"/>
        <v>0.21727022214371722</v>
      </c>
      <c r="U11" s="107">
        <f t="shared" si="8"/>
        <v>0.14018380104424197</v>
      </c>
      <c r="V11" s="107" t="s">
        <v>179</v>
      </c>
      <c r="W11" s="107">
        <v>1</v>
      </c>
      <c r="X11" s="107">
        <v>1</v>
      </c>
      <c r="Y11" s="107">
        <v>0</v>
      </c>
      <c r="Z11" s="77">
        <v>0</v>
      </c>
      <c r="AB11" s="75">
        <f>+AB10+1</f>
        <v>2027</v>
      </c>
      <c r="AC11" s="108">
        <v>0</v>
      </c>
      <c r="AD11" s="108">
        <v>0</v>
      </c>
      <c r="AE11" s="108">
        <v>0</v>
      </c>
      <c r="AF11" s="108">
        <v>1903.513991346596</v>
      </c>
      <c r="AG11" s="108">
        <v>0</v>
      </c>
      <c r="AH11" s="108">
        <v>0</v>
      </c>
      <c r="AI11" s="108">
        <v>0</v>
      </c>
      <c r="AJ11" s="108">
        <v>0</v>
      </c>
      <c r="AK11" s="108">
        <v>0</v>
      </c>
      <c r="AL11" s="108">
        <v>0</v>
      </c>
      <c r="AM11" s="108">
        <v>17.28135162885626</v>
      </c>
      <c r="AN11" s="108">
        <v>0</v>
      </c>
      <c r="AO11" s="108">
        <v>1428.0120347555194</v>
      </c>
      <c r="AP11" s="108">
        <v>90.006148749999994</v>
      </c>
      <c r="AQ11" s="108">
        <v>0</v>
      </c>
      <c r="AR11" s="109">
        <f t="shared" si="10"/>
        <v>3331.5260261021153</v>
      </c>
      <c r="AS11" s="109">
        <f t="shared" si="11"/>
        <v>107.28750037885625</v>
      </c>
      <c r="AT11" s="109">
        <f t="shared" si="12"/>
        <v>0</v>
      </c>
      <c r="AU11" s="49"/>
      <c r="AV11" s="49"/>
      <c r="AW11" s="49"/>
      <c r="BD11" s="49"/>
      <c r="BT11" s="78" t="s">
        <v>121</v>
      </c>
    </row>
    <row r="12" spans="1:74" x14ac:dyDescent="0.25">
      <c r="A12" s="75">
        <f>+A11+1</f>
        <v>2028</v>
      </c>
      <c r="B12" s="105">
        <v>1070.9681111720199</v>
      </c>
      <c r="C12" s="105">
        <v>101.96115141055969</v>
      </c>
      <c r="D12" s="105">
        <v>0</v>
      </c>
      <c r="E12" s="49"/>
      <c r="F12" s="49"/>
      <c r="G12" s="75">
        <f>+G11+1</f>
        <v>2028</v>
      </c>
      <c r="H12" s="105">
        <f t="shared" si="17"/>
        <v>813.10897683333326</v>
      </c>
      <c r="I12" s="105">
        <f t="shared" si="18"/>
        <v>92.247530771212638</v>
      </c>
      <c r="J12" s="105">
        <v>0</v>
      </c>
      <c r="K12" s="105">
        <f t="shared" si="19"/>
        <v>257.85913433868666</v>
      </c>
      <c r="L12" s="105">
        <f t="shared" si="19"/>
        <v>9.7136206393470523</v>
      </c>
      <c r="M12" s="105">
        <v>0</v>
      </c>
      <c r="N12" s="106">
        <f t="shared" si="2"/>
        <v>1070.9681111720199</v>
      </c>
      <c r="O12" s="106">
        <f t="shared" si="3"/>
        <v>101.96115141055969</v>
      </c>
      <c r="P12" s="106">
        <f t="shared" si="4"/>
        <v>0</v>
      </c>
      <c r="Q12" s="107">
        <f t="shared" si="5"/>
        <v>0.75922799974268418</v>
      </c>
      <c r="R12" s="107">
        <f t="shared" si="16"/>
        <v>0.90473214057544415</v>
      </c>
      <c r="S12" s="107" t="s">
        <v>179</v>
      </c>
      <c r="T12" s="107">
        <f t="shared" si="7"/>
        <v>0.24077200025731585</v>
      </c>
      <c r="U12" s="107">
        <f t="shared" si="8"/>
        <v>9.5267859424555817E-2</v>
      </c>
      <c r="V12" s="107" t="s">
        <v>179</v>
      </c>
      <c r="W12" s="107">
        <v>1</v>
      </c>
      <c r="X12" s="107">
        <v>1</v>
      </c>
      <c r="Y12" s="107">
        <v>0</v>
      </c>
      <c r="Z12" s="77">
        <v>0</v>
      </c>
      <c r="AB12" s="75">
        <f>+AB11+1</f>
        <v>2028</v>
      </c>
      <c r="AC12" s="108">
        <v>0</v>
      </c>
      <c r="AD12" s="108">
        <v>0</v>
      </c>
      <c r="AE12" s="108">
        <v>0</v>
      </c>
      <c r="AF12" s="108">
        <v>0</v>
      </c>
      <c r="AG12" s="108">
        <v>0</v>
      </c>
      <c r="AH12" s="108">
        <v>0</v>
      </c>
      <c r="AI12" s="108">
        <v>0</v>
      </c>
      <c r="AJ12" s="108">
        <v>0</v>
      </c>
      <c r="AK12" s="108">
        <v>0</v>
      </c>
      <c r="AL12" s="108">
        <v>0</v>
      </c>
      <c r="AM12" s="108">
        <v>16.537496122098151</v>
      </c>
      <c r="AN12" s="108">
        <v>0</v>
      </c>
      <c r="AO12" s="108">
        <v>1070.9681111720199</v>
      </c>
      <c r="AP12" s="108">
        <v>85.423655288461532</v>
      </c>
      <c r="AQ12" s="108">
        <v>0</v>
      </c>
      <c r="AR12" s="109">
        <f t="shared" si="10"/>
        <v>1070.9681111720199</v>
      </c>
      <c r="AS12" s="109">
        <f t="shared" si="11"/>
        <v>101.96115141055968</v>
      </c>
      <c r="AT12" s="109">
        <f t="shared" si="12"/>
        <v>0</v>
      </c>
      <c r="AU12" s="49"/>
      <c r="AV12" s="49"/>
      <c r="AW12" s="49"/>
      <c r="BD12" s="49"/>
    </row>
    <row r="13" spans="1:74" x14ac:dyDescent="0.25">
      <c r="A13" s="75">
        <f t="shared" ref="A13" si="20">+A12+1</f>
        <v>2029</v>
      </c>
      <c r="B13" s="105">
        <v>934.84995813278181</v>
      </c>
      <c r="C13" s="105">
        <v>57.08091270951239</v>
      </c>
      <c r="D13" s="105">
        <v>0</v>
      </c>
      <c r="E13" s="49"/>
      <c r="F13" s="49"/>
      <c r="G13" s="75">
        <f>+G12+1</f>
        <v>2029</v>
      </c>
      <c r="H13" s="105">
        <f t="shared" si="17"/>
        <v>813.10897683333326</v>
      </c>
      <c r="I13" s="105">
        <f t="shared" si="18"/>
        <v>52.399761540443414</v>
      </c>
      <c r="J13" s="105">
        <v>0</v>
      </c>
      <c r="K13" s="105">
        <f t="shared" si="19"/>
        <v>121.74098129944858</v>
      </c>
      <c r="L13" s="105">
        <f t="shared" si="19"/>
        <v>4.6811511690689747</v>
      </c>
      <c r="M13" s="105">
        <v>0</v>
      </c>
      <c r="N13" s="106">
        <f t="shared" si="2"/>
        <v>934.84995813278181</v>
      </c>
      <c r="O13" s="106">
        <f t="shared" si="3"/>
        <v>57.08091270951239</v>
      </c>
      <c r="P13" s="106">
        <f t="shared" si="4"/>
        <v>0</v>
      </c>
      <c r="Q13" s="107">
        <f t="shared" si="5"/>
        <v>0.86977484435833174</v>
      </c>
      <c r="R13" s="107">
        <f t="shared" si="16"/>
        <v>0.91799095447384338</v>
      </c>
      <c r="S13" s="107" t="s">
        <v>179</v>
      </c>
      <c r="T13" s="107">
        <f t="shared" si="7"/>
        <v>0.13022515564166828</v>
      </c>
      <c r="U13" s="107">
        <f t="shared" si="8"/>
        <v>8.2009045526156635E-2</v>
      </c>
      <c r="V13" s="107" t="s">
        <v>179</v>
      </c>
      <c r="W13" s="107">
        <v>1</v>
      </c>
      <c r="X13" s="107">
        <v>1</v>
      </c>
      <c r="Y13" s="107">
        <v>0</v>
      </c>
      <c r="Z13" s="77">
        <v>0</v>
      </c>
      <c r="AB13" s="75">
        <f t="shared" ref="AB13" si="21">+AB12+1</f>
        <v>2029</v>
      </c>
      <c r="AC13" s="108">
        <v>0</v>
      </c>
      <c r="AD13" s="108">
        <v>0</v>
      </c>
      <c r="AE13" s="108">
        <v>0</v>
      </c>
      <c r="AF13" s="108">
        <v>0</v>
      </c>
      <c r="AG13" s="108">
        <v>0</v>
      </c>
      <c r="AH13" s="108">
        <v>0</v>
      </c>
      <c r="AI13" s="108">
        <v>0</v>
      </c>
      <c r="AJ13" s="108">
        <v>0</v>
      </c>
      <c r="AK13" s="108">
        <v>0</v>
      </c>
      <c r="AL13" s="108">
        <v>0</v>
      </c>
      <c r="AM13" s="108">
        <v>16.08752011335854</v>
      </c>
      <c r="AN13" s="108">
        <v>0</v>
      </c>
      <c r="AO13" s="108">
        <v>934.84995813278181</v>
      </c>
      <c r="AP13" s="108">
        <v>40.993392596153846</v>
      </c>
      <c r="AQ13" s="108">
        <v>0</v>
      </c>
      <c r="AR13" s="109">
        <f t="shared" si="10"/>
        <v>934.84995813278181</v>
      </c>
      <c r="AS13" s="109">
        <f t="shared" si="11"/>
        <v>57.08091270951239</v>
      </c>
      <c r="AT13" s="109">
        <f t="shared" si="12"/>
        <v>0</v>
      </c>
      <c r="AU13" s="49"/>
      <c r="AV13" s="49"/>
      <c r="AW13" s="49"/>
      <c r="BD13" s="49"/>
    </row>
    <row r="14" spans="1:74" x14ac:dyDescent="0.25">
      <c r="A14" s="75" t="s">
        <v>191</v>
      </c>
      <c r="B14" s="106">
        <v>628.59379914476426</v>
      </c>
      <c r="C14" s="106">
        <v>13.688159905634009</v>
      </c>
      <c r="D14" s="106">
        <v>0</v>
      </c>
      <c r="E14" s="49"/>
      <c r="F14" s="49"/>
      <c r="G14" s="75" t="s">
        <v>191</v>
      </c>
      <c r="H14" s="106">
        <f t="shared" si="17"/>
        <v>609.83173262499997</v>
      </c>
      <c r="I14" s="106">
        <f t="shared" si="18"/>
        <v>12.028011987307835</v>
      </c>
      <c r="J14" s="106">
        <v>0</v>
      </c>
      <c r="K14" s="106">
        <f t="shared" si="19"/>
        <v>18.762066519764286</v>
      </c>
      <c r="L14" s="106">
        <f t="shared" si="19"/>
        <v>1.6601479183261743</v>
      </c>
      <c r="M14" s="106">
        <v>0</v>
      </c>
      <c r="N14" s="106">
        <f t="shared" si="2"/>
        <v>628.59379914476426</v>
      </c>
      <c r="O14" s="106">
        <f t="shared" si="3"/>
        <v>13.688159905634009</v>
      </c>
      <c r="P14" s="106">
        <f t="shared" si="4"/>
        <v>0</v>
      </c>
      <c r="Q14" s="107">
        <f t="shared" si="5"/>
        <v>0.97015232007491792</v>
      </c>
      <c r="R14" s="107">
        <f t="shared" si="16"/>
        <v>0.87871650172329863</v>
      </c>
      <c r="S14" s="107" t="s">
        <v>179</v>
      </c>
      <c r="T14" s="107">
        <f t="shared" si="7"/>
        <v>2.9847679925082124E-2</v>
      </c>
      <c r="U14" s="107">
        <f t="shared" si="8"/>
        <v>0.1212834982767013</v>
      </c>
      <c r="V14" s="107" t="s">
        <v>179</v>
      </c>
      <c r="W14" s="107">
        <v>1</v>
      </c>
      <c r="X14" s="107">
        <v>1</v>
      </c>
      <c r="Y14" s="107">
        <v>0</v>
      </c>
      <c r="Z14" s="77">
        <v>0</v>
      </c>
      <c r="AB14" s="75" t="s">
        <v>191</v>
      </c>
      <c r="AC14" s="106">
        <v>0</v>
      </c>
      <c r="AD14" s="106">
        <v>0</v>
      </c>
      <c r="AE14" s="106">
        <v>0</v>
      </c>
      <c r="AF14" s="106">
        <v>0</v>
      </c>
      <c r="AG14" s="106">
        <v>0</v>
      </c>
      <c r="AH14" s="106">
        <v>0</v>
      </c>
      <c r="AI14" s="106">
        <v>0</v>
      </c>
      <c r="AJ14" s="106">
        <v>0</v>
      </c>
      <c r="AK14" s="106">
        <v>0</v>
      </c>
      <c r="AL14" s="106">
        <v>0</v>
      </c>
      <c r="AM14" s="106">
        <v>13.688159905634009</v>
      </c>
      <c r="AN14" s="106">
        <v>0</v>
      </c>
      <c r="AO14" s="106">
        <v>628.59379914476426</v>
      </c>
      <c r="AP14" s="106">
        <v>0</v>
      </c>
      <c r="AQ14" s="106">
        <v>0</v>
      </c>
      <c r="AR14" s="109">
        <f t="shared" si="10"/>
        <v>628.59379914476426</v>
      </c>
      <c r="AS14" s="109">
        <f t="shared" si="11"/>
        <v>13.688159905634009</v>
      </c>
      <c r="AT14" s="109">
        <f t="shared" si="12"/>
        <v>0</v>
      </c>
      <c r="AU14" s="49"/>
      <c r="AV14" s="49"/>
      <c r="AW14" s="49"/>
      <c r="BD14" s="49"/>
      <c r="BT14" s="78"/>
    </row>
    <row r="15" spans="1:74" x14ac:dyDescent="0.25">
      <c r="A15" s="126"/>
      <c r="B15" s="127"/>
      <c r="C15" s="127"/>
      <c r="D15" s="127"/>
      <c r="E15" s="49"/>
      <c r="F15" s="49"/>
      <c r="G15" s="126"/>
      <c r="H15" s="127"/>
      <c r="I15" s="127"/>
      <c r="J15" s="127"/>
      <c r="K15" s="127"/>
      <c r="L15" s="127"/>
      <c r="M15" s="127"/>
      <c r="N15" s="128"/>
      <c r="O15" s="128"/>
      <c r="P15" s="128"/>
      <c r="Q15" s="129"/>
      <c r="R15" s="129"/>
      <c r="S15" s="129"/>
      <c r="T15" s="129"/>
      <c r="U15" s="129"/>
      <c r="V15" s="129"/>
      <c r="W15" s="129"/>
      <c r="X15" s="129"/>
      <c r="Y15" s="129"/>
      <c r="Z15" s="77"/>
      <c r="AB15" s="126"/>
      <c r="AC15" s="130"/>
      <c r="AD15" s="130"/>
      <c r="AE15" s="130"/>
      <c r="AF15" s="130"/>
      <c r="AG15" s="130"/>
      <c r="AH15" s="130"/>
      <c r="AI15" s="130"/>
      <c r="AJ15" s="130"/>
      <c r="AK15" s="130"/>
      <c r="AL15" s="130"/>
      <c r="AM15" s="130"/>
      <c r="AN15" s="130"/>
      <c r="AO15" s="130"/>
      <c r="AP15" s="130"/>
      <c r="AQ15" s="130"/>
      <c r="AR15" s="131"/>
      <c r="AS15" s="131"/>
      <c r="AT15" s="131"/>
      <c r="AU15" s="49"/>
      <c r="AV15" s="49"/>
      <c r="AW15" s="49"/>
      <c r="BD15" s="49"/>
    </row>
    <row r="16" spans="1:74" x14ac:dyDescent="0.25">
      <c r="A16" s="126"/>
      <c r="B16" s="127"/>
      <c r="C16" s="127"/>
      <c r="D16" s="127"/>
      <c r="E16" s="49"/>
      <c r="F16" s="49"/>
      <c r="G16" s="126"/>
      <c r="H16" s="127"/>
      <c r="I16" s="127"/>
      <c r="J16" s="127"/>
      <c r="K16" s="127"/>
      <c r="L16" s="127"/>
      <c r="M16" s="127"/>
      <c r="N16" s="128"/>
      <c r="O16" s="128"/>
      <c r="P16" s="128"/>
      <c r="Q16" s="129"/>
      <c r="R16" s="129"/>
      <c r="S16" s="129"/>
      <c r="T16" s="129"/>
      <c r="U16" s="129"/>
      <c r="V16" s="129"/>
      <c r="W16" s="129"/>
      <c r="X16" s="129"/>
      <c r="Y16" s="129"/>
      <c r="Z16" s="77"/>
      <c r="AB16" s="126"/>
      <c r="AC16" s="130"/>
      <c r="AD16" s="130"/>
      <c r="AE16" s="130"/>
      <c r="AF16" s="130"/>
      <c r="AG16" s="130"/>
      <c r="AH16" s="130"/>
      <c r="AI16" s="130"/>
      <c r="AJ16" s="130"/>
      <c r="AK16" s="130"/>
      <c r="AL16" s="130"/>
      <c r="AM16" s="130"/>
      <c r="AN16" s="130"/>
      <c r="AO16" s="130"/>
      <c r="AP16" s="130"/>
      <c r="AQ16" s="130"/>
      <c r="AR16" s="131"/>
      <c r="AS16" s="131"/>
      <c r="AT16" s="131"/>
      <c r="AU16" s="49"/>
      <c r="AV16" s="49"/>
      <c r="AW16" s="49"/>
      <c r="BD16" s="49"/>
    </row>
    <row r="17" spans="1:56" x14ac:dyDescent="0.25">
      <c r="A17" s="126"/>
      <c r="B17" s="127"/>
      <c r="C17" s="127"/>
      <c r="D17" s="127"/>
      <c r="E17" s="49"/>
      <c r="F17" s="49"/>
      <c r="G17" s="126" t="s">
        <v>2</v>
      </c>
      <c r="H17" s="127" t="s">
        <v>103</v>
      </c>
      <c r="I17" s="126" t="s">
        <v>2</v>
      </c>
      <c r="J17" s="127" t="s">
        <v>103</v>
      </c>
      <c r="K17" s="126" t="s">
        <v>2</v>
      </c>
      <c r="L17" s="127" t="s">
        <v>103</v>
      </c>
      <c r="M17" s="126" t="s">
        <v>2</v>
      </c>
      <c r="N17" s="127" t="s">
        <v>103</v>
      </c>
      <c r="O17" s="126" t="s">
        <v>2</v>
      </c>
      <c r="P17" s="127" t="s">
        <v>103</v>
      </c>
      <c r="Q17" s="126" t="s">
        <v>2</v>
      </c>
      <c r="R17" s="127" t="s">
        <v>103</v>
      </c>
      <c r="S17" s="126" t="s">
        <v>2</v>
      </c>
      <c r="T17" s="127" t="s">
        <v>103</v>
      </c>
      <c r="U17" s="126" t="s">
        <v>2</v>
      </c>
      <c r="V17" s="127" t="s">
        <v>103</v>
      </c>
      <c r="W17" s="129"/>
      <c r="X17" s="129"/>
      <c r="Y17" s="129"/>
      <c r="Z17" s="77"/>
      <c r="AB17" s="126"/>
      <c r="AC17" s="126">
        <v>2023</v>
      </c>
      <c r="AD17" s="126">
        <v>2023</v>
      </c>
      <c r="AE17" s="126">
        <v>2024</v>
      </c>
      <c r="AF17" s="126">
        <v>2024</v>
      </c>
      <c r="AG17" s="126">
        <v>2025</v>
      </c>
      <c r="AH17" s="126">
        <v>2025</v>
      </c>
      <c r="AI17" s="126">
        <v>2026</v>
      </c>
      <c r="AJ17" s="126">
        <v>2026</v>
      </c>
      <c r="AK17" s="126">
        <v>2027</v>
      </c>
      <c r="AL17" s="126">
        <v>2027</v>
      </c>
      <c r="AM17" s="126">
        <v>2028</v>
      </c>
      <c r="AN17" s="126">
        <v>2028</v>
      </c>
      <c r="AO17" s="126">
        <v>2029</v>
      </c>
      <c r="AP17" s="126">
        <v>2029</v>
      </c>
      <c r="AQ17" s="126" t="s">
        <v>188</v>
      </c>
      <c r="AR17" s="126" t="s">
        <v>188</v>
      </c>
      <c r="AS17" s="131"/>
      <c r="AT17" s="131"/>
      <c r="AU17" s="49"/>
      <c r="AV17" s="49"/>
      <c r="AW17" s="49"/>
      <c r="BD17" s="49"/>
    </row>
    <row r="18" spans="1:56" x14ac:dyDescent="0.25">
      <c r="A18" s="126"/>
      <c r="B18" s="127"/>
      <c r="C18" s="127"/>
      <c r="D18" s="127"/>
      <c r="E18" s="49"/>
      <c r="F18" s="49"/>
      <c r="G18" s="126">
        <v>2023</v>
      </c>
      <c r="H18" s="126">
        <v>2023</v>
      </c>
      <c r="I18" s="126">
        <v>2024</v>
      </c>
      <c r="J18" s="126">
        <v>2024</v>
      </c>
      <c r="K18" s="126">
        <v>2025</v>
      </c>
      <c r="L18" s="126">
        <v>2025</v>
      </c>
      <c r="M18" s="126">
        <v>2026</v>
      </c>
      <c r="N18" s="126">
        <v>2026</v>
      </c>
      <c r="O18" s="126">
        <v>2027</v>
      </c>
      <c r="P18" s="126">
        <v>2027</v>
      </c>
      <c r="Q18" s="126">
        <v>2028</v>
      </c>
      <c r="R18" s="126">
        <v>2028</v>
      </c>
      <c r="S18" s="126">
        <v>2029</v>
      </c>
      <c r="T18" s="126">
        <v>2029</v>
      </c>
      <c r="U18" s="126" t="s">
        <v>191</v>
      </c>
      <c r="V18" s="126" t="s">
        <v>191</v>
      </c>
      <c r="W18" s="129"/>
      <c r="X18" s="129"/>
      <c r="Y18" s="129"/>
      <c r="Z18" s="77"/>
      <c r="AB18" s="126" t="s">
        <v>195</v>
      </c>
      <c r="AC18" s="130">
        <v>13661.312733109948</v>
      </c>
      <c r="AD18" s="130">
        <v>0</v>
      </c>
      <c r="AE18" s="130">
        <v>681.26974589167776</v>
      </c>
      <c r="AF18" s="130">
        <v>0</v>
      </c>
      <c r="AG18" s="130">
        <v>186.6352642536049</v>
      </c>
      <c r="AH18" s="130">
        <v>0</v>
      </c>
      <c r="AI18" s="130">
        <v>43.780216864027345</v>
      </c>
      <c r="AJ18" s="130">
        <v>0</v>
      </c>
      <c r="AK18" s="130">
        <v>0</v>
      </c>
      <c r="AL18" s="130">
        <v>0</v>
      </c>
      <c r="AM18" s="130">
        <v>0</v>
      </c>
      <c r="AN18" s="130">
        <v>0</v>
      </c>
      <c r="AO18" s="130">
        <v>0</v>
      </c>
      <c r="AP18" s="130">
        <v>0</v>
      </c>
      <c r="AQ18" s="130">
        <v>0</v>
      </c>
      <c r="AR18" s="131">
        <v>0</v>
      </c>
      <c r="AS18" s="131"/>
      <c r="AT18" s="131"/>
      <c r="AU18" s="49"/>
      <c r="AV18" s="49"/>
      <c r="AW18" s="49"/>
      <c r="BD18" s="49"/>
    </row>
    <row r="19" spans="1:56" x14ac:dyDescent="0.25">
      <c r="A19" s="126"/>
      <c r="B19" s="127"/>
      <c r="D19" s="143"/>
      <c r="E19" s="49"/>
      <c r="F19" s="49" t="s">
        <v>192</v>
      </c>
      <c r="G19" s="144">
        <v>52192.820087943088</v>
      </c>
      <c r="H19" s="143">
        <v>131.28465993801512</v>
      </c>
      <c r="I19" s="143">
        <v>36792.150941525688</v>
      </c>
      <c r="J19" s="143">
        <v>132.07160858877552</v>
      </c>
      <c r="K19" s="143">
        <v>15544.154883851626</v>
      </c>
      <c r="L19" s="143">
        <v>125.92017001917733</v>
      </c>
      <c r="M19" s="143">
        <v>7511.6259401039069</v>
      </c>
      <c r="N19" s="145">
        <v>113.90871228899141</v>
      </c>
      <c r="O19" s="145">
        <v>3331.5260261021153</v>
      </c>
      <c r="P19" s="145">
        <v>107.28750037885627</v>
      </c>
      <c r="Q19" s="146">
        <v>1070.9681111720199</v>
      </c>
      <c r="R19" s="146">
        <v>101.96115141055969</v>
      </c>
      <c r="S19" s="146">
        <v>934.84995813278181</v>
      </c>
      <c r="T19" s="146">
        <v>57.08091270951239</v>
      </c>
      <c r="U19" s="146">
        <v>628.59379914476426</v>
      </c>
      <c r="V19" s="146">
        <v>13.688159905634009</v>
      </c>
      <c r="W19" s="129"/>
      <c r="X19" s="129"/>
      <c r="Y19" s="129"/>
      <c r="Z19" s="77"/>
      <c r="AB19" s="126" t="s">
        <v>196</v>
      </c>
      <c r="AC19" s="130">
        <v>18664.752526691474</v>
      </c>
      <c r="AD19" s="130">
        <v>0</v>
      </c>
      <c r="AE19" s="130">
        <v>16437.862517860049</v>
      </c>
      <c r="AF19" s="130">
        <v>0</v>
      </c>
      <c r="AG19" s="130">
        <v>9994.9474077062041</v>
      </c>
      <c r="AH19" s="130">
        <v>0</v>
      </c>
      <c r="AI19" s="130">
        <v>5604.2094691180318</v>
      </c>
      <c r="AJ19" s="130">
        <v>0</v>
      </c>
      <c r="AK19" s="130">
        <v>1903.513991346596</v>
      </c>
      <c r="AL19" s="130">
        <v>0</v>
      </c>
      <c r="AM19" s="130">
        <v>0</v>
      </c>
      <c r="AN19" s="130">
        <v>0</v>
      </c>
      <c r="AO19" s="130">
        <v>0</v>
      </c>
      <c r="AP19" s="130">
        <v>0</v>
      </c>
      <c r="AQ19" s="130">
        <v>0</v>
      </c>
      <c r="AR19" s="131">
        <v>0</v>
      </c>
      <c r="AS19" s="131"/>
      <c r="AT19" s="131"/>
      <c r="AU19" s="49"/>
      <c r="AV19" s="49"/>
      <c r="AW19" s="49"/>
      <c r="BD19" s="49"/>
    </row>
    <row r="20" spans="1:56" x14ac:dyDescent="0.25">
      <c r="A20" s="126"/>
      <c r="C20" s="126"/>
      <c r="D20" s="127"/>
      <c r="E20" s="49"/>
      <c r="F20" s="49" t="s">
        <v>193</v>
      </c>
      <c r="G20" s="144">
        <v>25325.9891623228</v>
      </c>
      <c r="H20" s="143">
        <v>96.300062814307921</v>
      </c>
      <c r="I20" s="143">
        <v>15366.192307846766</v>
      </c>
      <c r="J20" s="143">
        <v>95.954378781915594</v>
      </c>
      <c r="K20" s="143">
        <v>6500.5959403872812</v>
      </c>
      <c r="L20" s="143">
        <v>96.948277626082259</v>
      </c>
      <c r="M20" s="143">
        <v>5160.5390014874256</v>
      </c>
      <c r="N20" s="145">
        <v>92.247530771212638</v>
      </c>
      <c r="O20" s="145">
        <v>2607.6846263333332</v>
      </c>
      <c r="P20" s="145">
        <v>92.247530771212638</v>
      </c>
      <c r="Q20" s="146">
        <v>813.10897683333326</v>
      </c>
      <c r="R20" s="146">
        <v>92.247530771212638</v>
      </c>
      <c r="S20" s="146">
        <v>813.10897683333326</v>
      </c>
      <c r="T20" s="146">
        <v>52.399761540443414</v>
      </c>
      <c r="U20" s="146">
        <v>609.83173262499997</v>
      </c>
      <c r="V20" s="146">
        <v>12.028011987307835</v>
      </c>
      <c r="W20" s="129"/>
      <c r="X20" s="129"/>
      <c r="Y20" s="129"/>
      <c r="Z20" s="77"/>
      <c r="AB20" s="126" t="s">
        <v>198</v>
      </c>
      <c r="AC20" s="130"/>
      <c r="AD20" s="130"/>
      <c r="AE20" s="130"/>
      <c r="AF20" s="130"/>
      <c r="AG20" s="130"/>
      <c r="AH20" s="130"/>
      <c r="AI20" s="130"/>
      <c r="AJ20" s="130"/>
      <c r="AK20" s="130"/>
      <c r="AL20" s="130"/>
      <c r="AM20" s="130"/>
      <c r="AN20" s="130"/>
      <c r="AO20" s="130"/>
      <c r="AP20" s="130"/>
      <c r="AQ20" s="130"/>
      <c r="AR20" s="131"/>
      <c r="AS20" s="131"/>
      <c r="AT20" s="131"/>
      <c r="AU20" s="49"/>
      <c r="AV20" s="49"/>
      <c r="AW20" s="49"/>
      <c r="BD20" s="49"/>
    </row>
    <row r="21" spans="1:56" x14ac:dyDescent="0.25">
      <c r="A21" s="126"/>
      <c r="B21" s="127"/>
      <c r="C21" s="127"/>
      <c r="D21" s="127"/>
      <c r="E21" s="49"/>
      <c r="F21" s="49" t="s">
        <v>194</v>
      </c>
      <c r="G21" s="144">
        <v>26866.830925620292</v>
      </c>
      <c r="H21" s="143">
        <v>34.984597123707211</v>
      </c>
      <c r="I21" s="143">
        <v>21425.958633678914</v>
      </c>
      <c r="J21" s="143">
        <v>36.11722980685991</v>
      </c>
      <c r="K21" s="143">
        <v>9043.5589434643425</v>
      </c>
      <c r="L21" s="143">
        <v>28.971892393095075</v>
      </c>
      <c r="M21" s="143">
        <v>2351.0869386164823</v>
      </c>
      <c r="N21" s="145">
        <v>21.661181517778761</v>
      </c>
      <c r="O21" s="145">
        <v>723.84139976878203</v>
      </c>
      <c r="P21" s="145">
        <v>15.039969607643622</v>
      </c>
      <c r="Q21" s="146">
        <v>257.85913433868666</v>
      </c>
      <c r="R21" s="146">
        <v>9.7136206393470523</v>
      </c>
      <c r="S21" s="146">
        <v>121.74098129944858</v>
      </c>
      <c r="T21" s="146">
        <v>4.6811511690689747</v>
      </c>
      <c r="U21" s="146">
        <v>18.762066519764286</v>
      </c>
      <c r="V21" s="146">
        <v>1.6601479183261743</v>
      </c>
      <c r="W21" s="129"/>
      <c r="X21" s="129"/>
      <c r="Y21" s="129"/>
      <c r="Z21" s="77"/>
      <c r="AB21" s="126" t="s">
        <v>197</v>
      </c>
      <c r="AC21" s="130">
        <v>0</v>
      </c>
      <c r="AD21" s="130">
        <v>26.755647245707422</v>
      </c>
      <c r="AE21" s="130">
        <v>0</v>
      </c>
      <c r="AF21" s="130">
        <v>28.31797945416011</v>
      </c>
      <c r="AG21" s="130">
        <v>0</v>
      </c>
      <c r="AH21" s="130">
        <v>26.749034346100398</v>
      </c>
      <c r="AI21" s="130">
        <v>0</v>
      </c>
      <c r="AJ21" s="130">
        <v>19.320070077452939</v>
      </c>
      <c r="AK21" s="130">
        <v>0</v>
      </c>
      <c r="AL21" s="130">
        <v>17.28135162885626</v>
      </c>
      <c r="AM21" s="130">
        <v>0</v>
      </c>
      <c r="AN21" s="130">
        <v>16.537496122098151</v>
      </c>
      <c r="AO21" s="130">
        <v>0</v>
      </c>
      <c r="AP21" s="130">
        <v>16.08752011335854</v>
      </c>
      <c r="AQ21" s="130">
        <v>0</v>
      </c>
      <c r="AR21" s="131">
        <v>13.688159905634009</v>
      </c>
      <c r="AS21" s="131"/>
      <c r="AT21" s="131"/>
      <c r="AU21" s="49"/>
      <c r="AV21" s="49"/>
      <c r="AW21" s="49"/>
      <c r="BD21" s="49"/>
    </row>
    <row r="22" spans="1:56" x14ac:dyDescent="0.25">
      <c r="A22" s="126"/>
      <c r="B22" s="127"/>
      <c r="C22" s="127"/>
      <c r="D22" s="127"/>
      <c r="E22" s="49"/>
      <c r="F22" s="49"/>
      <c r="G22" s="126"/>
      <c r="H22" s="127"/>
      <c r="I22" s="127"/>
      <c r="J22" s="127"/>
      <c r="K22" s="127"/>
      <c r="L22" s="127"/>
      <c r="M22" s="127"/>
      <c r="N22" s="128"/>
      <c r="O22" s="128"/>
      <c r="P22" s="128"/>
      <c r="Q22" s="129"/>
      <c r="R22" s="129"/>
      <c r="S22" s="129"/>
      <c r="T22" s="129"/>
      <c r="U22" s="129"/>
      <c r="V22" s="129"/>
      <c r="W22" s="129"/>
      <c r="X22" s="129"/>
      <c r="Y22" s="129"/>
      <c r="Z22" s="77"/>
      <c r="AB22" s="126" t="s">
        <v>199</v>
      </c>
      <c r="AC22" s="130">
        <v>19866.754828141668</v>
      </c>
      <c r="AD22" s="130">
        <v>104.52901269230772</v>
      </c>
      <c r="AE22" s="130">
        <v>19673.018677773955</v>
      </c>
      <c r="AF22" s="130">
        <v>103.75362913461539</v>
      </c>
      <c r="AG22" s="130">
        <v>5362.5722118918166</v>
      </c>
      <c r="AH22" s="130">
        <v>99.171135673076932</v>
      </c>
      <c r="AI22" s="130">
        <v>1863.6362541218482</v>
      </c>
      <c r="AJ22" s="130">
        <v>94.58864221153847</v>
      </c>
      <c r="AK22" s="130">
        <v>1428.0120347555194</v>
      </c>
      <c r="AL22" s="130">
        <v>90.006148749999994</v>
      </c>
      <c r="AM22" s="130">
        <v>1070.9681111720199</v>
      </c>
      <c r="AN22" s="130">
        <v>85.423655288461532</v>
      </c>
      <c r="AO22" s="130">
        <v>934.84995813278181</v>
      </c>
      <c r="AP22" s="130">
        <v>40.993392596153846</v>
      </c>
      <c r="AQ22" s="130">
        <v>628.59379914476426</v>
      </c>
      <c r="AR22" s="131">
        <v>0</v>
      </c>
      <c r="AS22" s="131"/>
      <c r="AT22" s="131"/>
      <c r="AU22" s="49"/>
      <c r="AV22" s="49"/>
      <c r="AW22" s="49"/>
      <c r="BD22" s="49"/>
    </row>
    <row r="23" spans="1:56" x14ac:dyDescent="0.25">
      <c r="A23" s="126"/>
      <c r="B23" s="127"/>
      <c r="C23" s="127"/>
      <c r="D23" s="127"/>
      <c r="E23" s="49"/>
      <c r="F23" s="49"/>
      <c r="G23" s="126"/>
      <c r="H23" s="127"/>
      <c r="I23" s="127"/>
      <c r="J23" s="127"/>
      <c r="K23" s="127"/>
      <c r="L23" s="127"/>
      <c r="M23" s="127"/>
      <c r="N23" s="128"/>
      <c r="O23" s="128"/>
      <c r="P23" s="128"/>
      <c r="Q23" s="129"/>
      <c r="R23" s="129"/>
      <c r="S23" s="129"/>
      <c r="T23" s="129"/>
      <c r="U23" s="129"/>
      <c r="V23" s="129"/>
      <c r="W23" s="129"/>
      <c r="X23" s="129"/>
      <c r="Y23" s="129"/>
      <c r="Z23" s="77"/>
      <c r="AB23" s="126"/>
      <c r="AC23" s="130"/>
      <c r="AD23" s="130"/>
      <c r="AE23" s="130"/>
      <c r="AF23" s="130"/>
      <c r="AG23" s="130"/>
      <c r="AH23" s="130"/>
      <c r="AI23" s="130"/>
      <c r="AJ23" s="130"/>
      <c r="AK23" s="130"/>
      <c r="AL23" s="130"/>
      <c r="AM23" s="130"/>
      <c r="AN23" s="130"/>
      <c r="AO23" s="130"/>
      <c r="AP23" s="130"/>
      <c r="AQ23" s="130"/>
      <c r="AR23" s="131"/>
      <c r="AS23" s="131"/>
      <c r="AT23" s="131"/>
      <c r="AU23" s="49"/>
      <c r="AV23" s="49"/>
      <c r="AW23" s="49"/>
      <c r="BD23" s="49"/>
    </row>
    <row r="24" spans="1:56" x14ac:dyDescent="0.25">
      <c r="A24" s="126"/>
      <c r="B24" s="128"/>
      <c r="C24" s="128"/>
      <c r="D24" s="127"/>
      <c r="E24" s="49"/>
      <c r="F24" s="49"/>
      <c r="G24" s="126"/>
      <c r="H24" s="127"/>
      <c r="I24" s="127"/>
      <c r="J24" s="127"/>
      <c r="K24" s="127"/>
      <c r="L24" s="127"/>
      <c r="M24" s="127"/>
      <c r="N24" s="128"/>
      <c r="O24" s="128"/>
      <c r="P24" s="128"/>
      <c r="Q24" s="129"/>
      <c r="R24" s="129"/>
      <c r="S24" s="129"/>
      <c r="T24" s="129"/>
      <c r="U24" s="129"/>
      <c r="V24" s="129"/>
      <c r="W24" s="129"/>
      <c r="X24" s="129"/>
      <c r="Y24" s="129"/>
      <c r="Z24" s="77"/>
      <c r="AB24" s="126"/>
      <c r="AC24" s="130"/>
      <c r="AD24" s="130"/>
      <c r="AE24" s="130"/>
      <c r="AF24" s="130"/>
      <c r="AG24" s="130"/>
      <c r="AH24" s="130"/>
      <c r="AI24" s="130"/>
      <c r="AJ24" s="130"/>
      <c r="AK24" s="130"/>
      <c r="AL24" s="130"/>
      <c r="AM24" s="130"/>
      <c r="AN24" s="130"/>
      <c r="AO24" s="130"/>
      <c r="AP24" s="130"/>
      <c r="AQ24" s="130"/>
      <c r="AR24" s="131"/>
      <c r="AS24" s="131"/>
      <c r="AT24" s="131"/>
      <c r="AU24" s="49"/>
      <c r="AV24" s="49"/>
      <c r="AW24" s="49"/>
      <c r="BD24" s="49"/>
    </row>
    <row r="25" spans="1:56" x14ac:dyDescent="0.25">
      <c r="A25" s="126"/>
      <c r="B25" s="127"/>
      <c r="C25" s="127"/>
      <c r="D25" s="127"/>
      <c r="E25" s="49"/>
      <c r="F25" s="49"/>
      <c r="G25" s="126"/>
      <c r="H25" s="127"/>
      <c r="I25" s="127"/>
      <c r="J25" s="127"/>
      <c r="K25" s="127"/>
      <c r="L25" s="127"/>
      <c r="M25" s="127"/>
      <c r="N25" s="128"/>
      <c r="O25" s="128"/>
      <c r="P25" s="128"/>
      <c r="Q25" s="129"/>
      <c r="R25" s="129"/>
      <c r="S25" s="129"/>
      <c r="T25" s="129"/>
      <c r="U25" s="129"/>
      <c r="V25" s="129"/>
      <c r="W25" s="129"/>
      <c r="X25" s="129"/>
      <c r="Y25" s="129"/>
      <c r="Z25" s="77"/>
      <c r="AB25" s="126"/>
      <c r="AC25" s="130"/>
      <c r="AD25" s="130"/>
      <c r="AE25" s="130"/>
      <c r="AF25" s="130"/>
      <c r="AG25" s="130"/>
      <c r="AH25" s="130"/>
      <c r="AI25" s="130"/>
      <c r="AJ25" s="130"/>
      <c r="AK25" s="130"/>
      <c r="AL25" s="130"/>
      <c r="AM25" s="130"/>
      <c r="AN25" s="130"/>
      <c r="AO25" s="130"/>
      <c r="AP25" s="130"/>
      <c r="AQ25" s="130"/>
      <c r="AR25" s="131"/>
      <c r="AS25" s="131"/>
      <c r="AT25" s="131"/>
      <c r="AU25" s="49"/>
      <c r="AV25" s="49"/>
      <c r="AW25" s="49"/>
      <c r="BD25" s="49"/>
    </row>
    <row r="26" spans="1:56" x14ac:dyDescent="0.25">
      <c r="A26" s="126"/>
      <c r="B26" s="127"/>
      <c r="C26" s="127"/>
      <c r="D26" s="127"/>
      <c r="E26" s="49"/>
      <c r="F26" s="49"/>
      <c r="G26" s="126"/>
      <c r="H26" s="127"/>
      <c r="I26" s="127"/>
      <c r="J26" s="127"/>
      <c r="K26" s="127"/>
      <c r="L26" s="127"/>
      <c r="M26" s="127"/>
      <c r="N26" s="128"/>
      <c r="O26" s="128"/>
      <c r="P26" s="128"/>
      <c r="Q26" s="129"/>
      <c r="R26" s="129"/>
      <c r="S26" s="129"/>
      <c r="T26" s="129"/>
      <c r="U26" s="129"/>
      <c r="V26" s="129"/>
      <c r="W26" s="129"/>
      <c r="X26" s="129"/>
      <c r="Y26" s="129"/>
      <c r="Z26" s="77"/>
      <c r="AB26" s="126"/>
      <c r="AC26" s="130"/>
      <c r="AD26" s="130"/>
      <c r="AE26" s="130"/>
      <c r="AF26" s="130"/>
      <c r="AG26" s="130"/>
      <c r="AH26" s="130"/>
      <c r="AI26" s="130"/>
      <c r="AJ26" s="130"/>
      <c r="AK26" s="130"/>
      <c r="AL26" s="130"/>
      <c r="AM26" s="130"/>
      <c r="AN26" s="130"/>
      <c r="AO26" s="130"/>
      <c r="AP26" s="130"/>
      <c r="AQ26" s="130"/>
      <c r="AR26" s="131"/>
      <c r="AS26" s="131"/>
      <c r="AT26" s="131"/>
      <c r="AU26" s="49"/>
      <c r="AV26" s="49"/>
      <c r="AW26" s="49"/>
      <c r="BD26" s="49"/>
    </row>
    <row r="27" spans="1:56" x14ac:dyDescent="0.25">
      <c r="A27" s="126"/>
      <c r="B27" s="127"/>
      <c r="C27" s="127"/>
      <c r="D27" s="127"/>
      <c r="E27" s="49"/>
      <c r="F27" s="49"/>
      <c r="G27" s="126"/>
      <c r="H27" s="127"/>
      <c r="I27" s="127"/>
      <c r="J27" s="127"/>
      <c r="K27" s="127"/>
      <c r="L27" s="127"/>
      <c r="M27" s="127"/>
      <c r="N27" s="128"/>
      <c r="O27" s="128"/>
      <c r="P27" s="128"/>
      <c r="Q27" s="129"/>
      <c r="R27" s="129"/>
      <c r="S27" s="129"/>
      <c r="T27" s="129"/>
      <c r="U27" s="129"/>
      <c r="V27" s="129"/>
      <c r="W27" s="129"/>
      <c r="X27" s="129"/>
      <c r="Y27" s="129"/>
      <c r="Z27" s="77"/>
      <c r="AB27" s="126"/>
      <c r="AC27" s="130"/>
      <c r="AD27" s="130"/>
      <c r="AE27" s="130"/>
      <c r="AF27" s="130"/>
      <c r="AG27" s="130"/>
      <c r="AH27" s="130"/>
      <c r="AI27" s="130"/>
      <c r="AJ27" s="130"/>
      <c r="AK27" s="130"/>
      <c r="AL27" s="130"/>
      <c r="AM27" s="130"/>
      <c r="AN27" s="130"/>
      <c r="AO27" s="130"/>
      <c r="AP27" s="130"/>
      <c r="AQ27" s="130"/>
      <c r="AR27" s="131"/>
      <c r="AS27" s="131"/>
      <c r="AT27" s="131"/>
      <c r="AU27" s="49"/>
      <c r="AV27" s="49"/>
      <c r="AW27" s="49"/>
      <c r="BD27" s="49"/>
    </row>
    <row r="28" spans="1:56" x14ac:dyDescent="0.25">
      <c r="A28" s="126"/>
      <c r="B28" s="127"/>
      <c r="C28" s="127"/>
      <c r="D28" s="127"/>
      <c r="E28" s="49"/>
      <c r="F28" s="49"/>
      <c r="G28" s="126"/>
      <c r="H28" s="127"/>
      <c r="I28" s="127"/>
      <c r="J28" s="127"/>
      <c r="K28" s="127"/>
      <c r="L28" s="127"/>
      <c r="M28" s="127"/>
      <c r="N28" s="128"/>
      <c r="O28" s="128"/>
      <c r="P28" s="128"/>
      <c r="Q28" s="129"/>
      <c r="R28" s="129"/>
      <c r="S28" s="129"/>
      <c r="T28" s="129"/>
      <c r="U28" s="129"/>
      <c r="V28" s="129"/>
      <c r="W28" s="129"/>
      <c r="X28" s="129"/>
      <c r="Y28" s="129"/>
      <c r="Z28" s="77"/>
      <c r="AB28" s="126"/>
      <c r="AC28" s="130"/>
      <c r="AD28" s="130"/>
      <c r="AE28" s="130"/>
      <c r="AF28" s="130"/>
      <c r="AG28" s="130"/>
      <c r="AH28" s="130"/>
      <c r="AI28" s="130"/>
      <c r="AJ28" s="130"/>
      <c r="AK28" s="130"/>
      <c r="AL28" s="130"/>
      <c r="AM28" s="130"/>
      <c r="AN28" s="130"/>
      <c r="AO28" s="130"/>
      <c r="AP28" s="130"/>
      <c r="AQ28" s="130"/>
      <c r="AR28" s="131"/>
      <c r="AS28" s="131"/>
      <c r="AT28" s="131"/>
      <c r="AU28" s="49"/>
      <c r="AV28" s="49"/>
    </row>
    <row r="29" spans="1:56" x14ac:dyDescent="0.25">
      <c r="A29" s="126"/>
      <c r="B29" s="127"/>
      <c r="C29" s="127"/>
      <c r="D29" s="127"/>
      <c r="E29" s="49"/>
      <c r="F29" s="49"/>
      <c r="G29" s="126"/>
      <c r="H29" s="127"/>
      <c r="I29" s="127"/>
      <c r="J29" s="127"/>
      <c r="K29" s="127"/>
      <c r="L29" s="127"/>
      <c r="M29" s="127"/>
      <c r="N29" s="128"/>
      <c r="O29" s="128"/>
      <c r="P29" s="128"/>
      <c r="Q29" s="129"/>
      <c r="R29" s="129"/>
      <c r="S29" s="129"/>
      <c r="T29" s="129"/>
      <c r="U29" s="129"/>
      <c r="V29" s="129"/>
      <c r="W29" s="129"/>
      <c r="X29" s="129"/>
      <c r="Y29" s="129"/>
      <c r="Z29" s="77"/>
      <c r="AB29" s="126"/>
      <c r="AC29" s="130"/>
      <c r="AD29" s="130"/>
      <c r="AE29" s="130"/>
      <c r="AF29" s="130"/>
      <c r="AG29" s="130"/>
      <c r="AH29" s="130"/>
      <c r="AI29" s="130"/>
      <c r="AJ29" s="130"/>
      <c r="AK29" s="130"/>
      <c r="AL29" s="130"/>
      <c r="AM29" s="130"/>
      <c r="AN29" s="130"/>
      <c r="AO29" s="130"/>
      <c r="AP29" s="130"/>
      <c r="AQ29" s="130"/>
      <c r="AR29" s="131"/>
      <c r="AS29" s="131"/>
      <c r="AT29" s="131"/>
      <c r="AU29" s="49"/>
      <c r="AV29" s="49"/>
    </row>
    <row r="30" spans="1:56" x14ac:dyDescent="0.25">
      <c r="A30" s="126"/>
      <c r="P30" s="128"/>
      <c r="Q30" s="129"/>
      <c r="R30" s="129"/>
      <c r="S30" s="129"/>
      <c r="T30" s="129"/>
      <c r="U30" s="129"/>
      <c r="V30" s="129"/>
      <c r="W30" s="129"/>
      <c r="X30" s="129"/>
      <c r="Y30" s="129"/>
      <c r="Z30" s="77"/>
      <c r="AB30" s="126"/>
      <c r="AC30" s="130"/>
      <c r="AD30" s="130"/>
      <c r="AE30" s="130"/>
      <c r="AF30" s="130"/>
      <c r="AG30" s="130"/>
      <c r="AH30" s="130"/>
      <c r="AI30" s="130"/>
      <c r="AJ30" s="130"/>
      <c r="AK30" s="130"/>
      <c r="AL30" s="130"/>
      <c r="AM30" s="130"/>
      <c r="AN30" s="130"/>
      <c r="AO30" s="130"/>
      <c r="AP30" s="130"/>
      <c r="AQ30" s="130"/>
      <c r="AR30" s="131"/>
      <c r="AS30" s="131"/>
      <c r="AT30" s="131"/>
      <c r="AU30" s="49"/>
      <c r="AV30" s="49"/>
    </row>
    <row r="31" spans="1:56" x14ac:dyDescent="0.25">
      <c r="A31" s="126"/>
      <c r="B31" s="127"/>
      <c r="C31" s="127"/>
      <c r="D31" s="127"/>
      <c r="G31" s="126"/>
      <c r="H31" s="127"/>
      <c r="I31" s="127"/>
      <c r="J31" s="127"/>
      <c r="K31" s="127"/>
      <c r="L31" s="127"/>
      <c r="M31" s="127"/>
      <c r="N31" s="128"/>
      <c r="O31" s="128"/>
      <c r="P31" s="128"/>
      <c r="Q31" s="129"/>
      <c r="R31" s="129"/>
      <c r="S31" s="129"/>
      <c r="T31" s="129"/>
      <c r="U31" s="129"/>
      <c r="V31" s="129"/>
      <c r="W31" s="129"/>
      <c r="X31" s="129"/>
      <c r="Y31" s="129"/>
      <c r="Z31" s="77"/>
      <c r="AB31" s="126"/>
      <c r="AC31" s="130"/>
      <c r="AD31" s="130"/>
      <c r="AE31" s="130"/>
      <c r="AF31" s="130"/>
      <c r="AG31" s="130"/>
      <c r="AH31" s="130"/>
      <c r="AI31" s="130"/>
      <c r="AJ31" s="130"/>
      <c r="AK31" s="130"/>
      <c r="AL31" s="130"/>
      <c r="AM31" s="130"/>
      <c r="AN31" s="130"/>
      <c r="AO31" s="130"/>
      <c r="AP31" s="130"/>
      <c r="AQ31" s="130"/>
      <c r="AR31" s="131"/>
      <c r="AS31" s="131"/>
      <c r="AT31" s="131"/>
      <c r="AU31" s="49"/>
      <c r="AV31" s="49"/>
    </row>
    <row r="32" spans="1:56" x14ac:dyDescent="0.25">
      <c r="A32" s="126"/>
      <c r="B32" s="127"/>
      <c r="C32" s="127"/>
      <c r="D32" s="127"/>
      <c r="G32" s="126"/>
      <c r="H32" s="127"/>
      <c r="I32" s="127"/>
      <c r="J32" s="127"/>
      <c r="K32" s="127"/>
      <c r="L32" s="127"/>
      <c r="M32" s="127"/>
      <c r="N32" s="128"/>
      <c r="O32" s="128"/>
      <c r="P32" s="128"/>
      <c r="Q32" s="129"/>
      <c r="R32" s="129"/>
      <c r="S32" s="129"/>
      <c r="T32" s="129"/>
      <c r="U32" s="129"/>
      <c r="V32" s="129"/>
      <c r="W32" s="129"/>
      <c r="X32" s="129"/>
      <c r="Y32" s="129"/>
      <c r="Z32" s="77"/>
      <c r="AB32" s="126"/>
      <c r="AC32" s="130"/>
      <c r="AD32" s="130"/>
      <c r="AE32" s="130"/>
      <c r="AF32" s="130"/>
      <c r="AG32" s="130"/>
      <c r="AH32" s="130"/>
      <c r="AI32" s="130"/>
      <c r="AJ32" s="130"/>
      <c r="AK32" s="130"/>
      <c r="AL32" s="130"/>
      <c r="AM32" s="130"/>
      <c r="AN32" s="130"/>
      <c r="AO32" s="130"/>
      <c r="AP32" s="130"/>
      <c r="AQ32" s="130"/>
      <c r="AR32" s="131"/>
      <c r="AS32" s="131"/>
      <c r="AT32" s="131"/>
      <c r="AU32" s="49"/>
      <c r="AV32" s="49"/>
    </row>
    <row r="33" spans="1:48" x14ac:dyDescent="0.25">
      <c r="A33" s="126"/>
      <c r="B33" s="127"/>
      <c r="C33" s="127"/>
      <c r="D33" s="127"/>
      <c r="G33" s="126"/>
      <c r="H33" s="127"/>
      <c r="I33" s="127"/>
      <c r="J33" s="127"/>
      <c r="K33" s="127"/>
      <c r="L33" s="127"/>
      <c r="M33" s="127"/>
      <c r="N33" s="128"/>
      <c r="O33" s="128"/>
      <c r="P33" s="128"/>
      <c r="Q33" s="129"/>
      <c r="R33" s="129"/>
      <c r="S33" s="129"/>
      <c r="T33" s="129"/>
      <c r="U33" s="129"/>
      <c r="V33" s="129"/>
      <c r="W33" s="129"/>
      <c r="X33" s="129"/>
      <c r="Y33" s="129"/>
      <c r="Z33" s="77"/>
      <c r="AB33" s="126"/>
      <c r="AC33" s="130"/>
      <c r="AD33" s="130"/>
      <c r="AE33" s="130"/>
      <c r="AF33" s="130"/>
      <c r="AG33" s="130"/>
      <c r="AH33" s="130"/>
      <c r="AI33" s="130"/>
      <c r="AJ33" s="130"/>
      <c r="AK33" s="130"/>
      <c r="AL33" s="130"/>
      <c r="AM33" s="130"/>
      <c r="AN33" s="130"/>
      <c r="AO33" s="130"/>
      <c r="AP33" s="130"/>
      <c r="AQ33" s="130"/>
      <c r="AR33" s="131"/>
      <c r="AS33" s="131"/>
      <c r="AT33" s="131"/>
      <c r="AU33" s="49"/>
      <c r="AV33" s="49"/>
    </row>
    <row r="34" spans="1:48" x14ac:dyDescent="0.25">
      <c r="A34" s="126"/>
      <c r="B34" s="127"/>
      <c r="C34" s="127"/>
      <c r="D34" s="127"/>
      <c r="G34" s="126"/>
      <c r="H34" s="127"/>
      <c r="I34" s="127"/>
      <c r="J34" s="127"/>
      <c r="K34" s="127"/>
      <c r="L34" s="127"/>
      <c r="M34" s="127"/>
      <c r="N34" s="128"/>
      <c r="O34" s="128"/>
      <c r="P34" s="128"/>
      <c r="Q34" s="129"/>
      <c r="R34" s="129"/>
      <c r="S34" s="129"/>
      <c r="T34" s="129"/>
      <c r="U34" s="129"/>
      <c r="V34" s="129"/>
      <c r="W34" s="129"/>
      <c r="X34" s="129"/>
      <c r="Y34" s="129"/>
      <c r="Z34" s="77"/>
      <c r="AB34" s="126"/>
      <c r="AC34" s="130"/>
      <c r="AD34" s="130"/>
      <c r="AE34" s="130"/>
      <c r="AF34" s="130"/>
      <c r="AG34" s="130"/>
      <c r="AH34" s="130"/>
      <c r="AI34" s="130"/>
      <c r="AJ34" s="130"/>
      <c r="AK34" s="130"/>
      <c r="AL34" s="130"/>
      <c r="AM34" s="130"/>
      <c r="AN34" s="130"/>
      <c r="AO34" s="130"/>
      <c r="AP34" s="130"/>
      <c r="AQ34" s="130"/>
      <c r="AR34" s="131"/>
      <c r="AS34" s="131"/>
      <c r="AT34" s="131"/>
      <c r="AU34" s="49"/>
      <c r="AV34" s="49"/>
    </row>
    <row r="35" spans="1:48" x14ac:dyDescent="0.25">
      <c r="A35" s="126"/>
      <c r="B35" s="127"/>
      <c r="C35" s="127"/>
      <c r="D35" s="127"/>
      <c r="G35" s="126"/>
      <c r="H35" s="127"/>
      <c r="I35" s="127"/>
      <c r="J35" s="127"/>
      <c r="K35" s="127"/>
      <c r="L35" s="127"/>
      <c r="M35" s="127"/>
      <c r="N35" s="128"/>
      <c r="O35" s="128"/>
      <c r="P35" s="128"/>
      <c r="Q35" s="129"/>
      <c r="R35" s="129"/>
      <c r="S35" s="129"/>
      <c r="T35" s="129"/>
      <c r="U35" s="129"/>
      <c r="V35" s="129"/>
      <c r="W35" s="129"/>
      <c r="X35" s="129"/>
      <c r="Y35" s="129"/>
      <c r="Z35" s="77"/>
      <c r="AB35" s="126"/>
      <c r="AC35" s="130"/>
      <c r="AD35" s="130"/>
      <c r="AE35" s="130"/>
      <c r="AF35" s="130"/>
      <c r="AG35" s="130"/>
      <c r="AH35" s="130"/>
      <c r="AI35" s="130"/>
      <c r="AJ35" s="130"/>
      <c r="AK35" s="130"/>
      <c r="AL35" s="130"/>
      <c r="AM35" s="130"/>
      <c r="AN35" s="130"/>
      <c r="AO35" s="130"/>
      <c r="AP35" s="130"/>
      <c r="AQ35" s="130"/>
      <c r="AR35" s="131"/>
      <c r="AS35" s="131"/>
      <c r="AT35" s="131"/>
      <c r="AU35" s="49"/>
      <c r="AV35" s="49"/>
    </row>
    <row r="58" spans="63:63" x14ac:dyDescent="0.25">
      <c r="BK58" s="173">
        <v>131.28465993801512</v>
      </c>
    </row>
    <row r="59" spans="63:63" x14ac:dyDescent="0.25">
      <c r="BK59" s="173">
        <v>132.07160858877552</v>
      </c>
    </row>
    <row r="60" spans="63:63" x14ac:dyDescent="0.25">
      <c r="BK60" s="173">
        <v>125.92017001917733</v>
      </c>
    </row>
    <row r="61" spans="63:63" x14ac:dyDescent="0.25">
      <c r="BK61" s="173">
        <v>113.90871228899141</v>
      </c>
    </row>
    <row r="62" spans="63:63" x14ac:dyDescent="0.25">
      <c r="BK62" s="173">
        <v>107.28750037885627</v>
      </c>
    </row>
    <row r="63" spans="63:63" x14ac:dyDescent="0.25">
      <c r="BK63" s="173">
        <v>101.96115141055969</v>
      </c>
    </row>
    <row r="64" spans="63:63" x14ac:dyDescent="0.25">
      <c r="BK64" s="173">
        <v>57.08091270951239</v>
      </c>
    </row>
    <row r="65" spans="63:63" x14ac:dyDescent="0.25">
      <c r="BK65" s="173">
        <v>13.688159905634009</v>
      </c>
    </row>
    <row r="95" spans="60:62" x14ac:dyDescent="0.25">
      <c r="BH95">
        <v>51611.641398098771</v>
      </c>
      <c r="BI95" s="149">
        <v>0.48499999999999999</v>
      </c>
      <c r="BJ95" s="149">
        <v>0.51500000000000001</v>
      </c>
    </row>
    <row r="96" spans="60:62" x14ac:dyDescent="0.25">
      <c r="BH96">
        <v>36792.150941525681</v>
      </c>
      <c r="BI96" s="149">
        <v>0.41764865371063753</v>
      </c>
      <c r="BJ96" s="149">
        <v>0.58235134628936247</v>
      </c>
    </row>
    <row r="97" spans="60:62" x14ac:dyDescent="0.25">
      <c r="BH97">
        <v>15544.154883851625</v>
      </c>
      <c r="BI97" s="149">
        <v>0.41820195365787066</v>
      </c>
      <c r="BJ97" s="149">
        <v>0.58179804634212928</v>
      </c>
    </row>
    <row r="98" spans="60:62" x14ac:dyDescent="0.25">
      <c r="BH98">
        <v>7511.6259401039079</v>
      </c>
      <c r="BI98" s="149">
        <v>0.68700692002456665</v>
      </c>
      <c r="BJ98" s="149">
        <v>0.31299307997543335</v>
      </c>
    </row>
    <row r="99" spans="60:62" x14ac:dyDescent="0.25">
      <c r="BH99">
        <v>3331.5260261021153</v>
      </c>
      <c r="BI99" s="149">
        <v>0.78272977785628273</v>
      </c>
      <c r="BJ99" s="149">
        <v>0.21727022214371722</v>
      </c>
    </row>
    <row r="100" spans="60:62" x14ac:dyDescent="0.25">
      <c r="BH100">
        <v>1070.9681111720199</v>
      </c>
      <c r="BI100" s="149">
        <v>0.75922799974268418</v>
      </c>
      <c r="BJ100" s="149">
        <v>0.24077200025731585</v>
      </c>
    </row>
    <row r="101" spans="60:62" x14ac:dyDescent="0.25">
      <c r="BH101">
        <v>934.84995813278181</v>
      </c>
      <c r="BI101" s="149">
        <v>0.86977484435833174</v>
      </c>
      <c r="BJ101" s="149">
        <v>0.13022515564166828</v>
      </c>
    </row>
    <row r="102" spans="60:62" x14ac:dyDescent="0.25">
      <c r="BH102">
        <v>628.59379914476426</v>
      </c>
      <c r="BI102" s="149">
        <v>0.97015232007491792</v>
      </c>
      <c r="BJ102" s="149">
        <v>2.9847679925082124E-2</v>
      </c>
    </row>
    <row r="114" spans="67:69" x14ac:dyDescent="0.25">
      <c r="BO114" s="150">
        <v>131.28465993801512</v>
      </c>
      <c r="BP114" s="149">
        <v>0.73352105919895849</v>
      </c>
      <c r="BQ114" s="149">
        <f>1-BP114</f>
        <v>0.26647894080104151</v>
      </c>
    </row>
    <row r="115" spans="67:69" x14ac:dyDescent="0.25">
      <c r="BO115" s="150">
        <v>132.07160858877552</v>
      </c>
      <c r="BP115" s="149">
        <v>0.72653297561237207</v>
      </c>
      <c r="BQ115" s="149">
        <f t="shared" ref="BQ115:BQ121" si="22">1-BP115</f>
        <v>0.27346702438762793</v>
      </c>
    </row>
    <row r="116" spans="67:69" x14ac:dyDescent="0.25">
      <c r="BO116" s="150">
        <v>125.92017001917733</v>
      </c>
      <c r="BP116" s="149">
        <v>0.76991857310323897</v>
      </c>
      <c r="BQ116" s="149">
        <f t="shared" si="22"/>
        <v>0.23008142689676103</v>
      </c>
    </row>
    <row r="117" spans="67:69" x14ac:dyDescent="0.25">
      <c r="BO117" s="150">
        <v>113.90871228899141</v>
      </c>
      <c r="BP117" s="149">
        <v>0.80983735938631818</v>
      </c>
      <c r="BQ117" s="149">
        <f t="shared" si="22"/>
        <v>0.19016264061368182</v>
      </c>
    </row>
    <row r="118" spans="67:69" x14ac:dyDescent="0.25">
      <c r="BO118" s="150">
        <v>107.28750037885627</v>
      </c>
      <c r="BP118" s="149">
        <v>0.859816198955758</v>
      </c>
      <c r="BQ118" s="149">
        <f t="shared" si="22"/>
        <v>0.140183801044242</v>
      </c>
    </row>
    <row r="119" spans="67:69" x14ac:dyDescent="0.25">
      <c r="BO119" s="150">
        <v>101.96115141055969</v>
      </c>
      <c r="BP119" s="149">
        <v>0.90473214057544415</v>
      </c>
      <c r="BQ119" s="149">
        <f t="shared" si="22"/>
        <v>9.5267859424555845E-2</v>
      </c>
    </row>
    <row r="120" spans="67:69" x14ac:dyDescent="0.25">
      <c r="BO120" s="150">
        <v>57.08091270951239</v>
      </c>
      <c r="BP120" s="149">
        <v>0.91799095447384338</v>
      </c>
      <c r="BQ120" s="149">
        <f t="shared" si="22"/>
        <v>8.2009045526156621E-2</v>
      </c>
    </row>
    <row r="121" spans="67:69" x14ac:dyDescent="0.25">
      <c r="BO121" s="150">
        <v>13.688159905634009</v>
      </c>
      <c r="BP121" s="149">
        <v>0.87871650172329863</v>
      </c>
      <c r="BQ121" s="149">
        <f t="shared" si="22"/>
        <v>0.12128349827670137</v>
      </c>
    </row>
    <row r="122" spans="67:69" x14ac:dyDescent="0.25">
      <c r="BP122" s="149"/>
      <c r="BQ122" s="149"/>
    </row>
    <row r="151" spans="67:67" x14ac:dyDescent="0.25">
      <c r="BO151">
        <v>51611.641398098771</v>
      </c>
    </row>
    <row r="152" spans="67:67" x14ac:dyDescent="0.25">
      <c r="BO152">
        <v>36792.150941525681</v>
      </c>
    </row>
    <row r="153" spans="67:67" x14ac:dyDescent="0.25">
      <c r="BO153">
        <v>15544.154883851625</v>
      </c>
    </row>
    <row r="154" spans="67:67" x14ac:dyDescent="0.25">
      <c r="BO154">
        <v>7511.6259401039079</v>
      </c>
    </row>
    <row r="155" spans="67:67" x14ac:dyDescent="0.25">
      <c r="BO155">
        <v>3331.5260261021153</v>
      </c>
    </row>
    <row r="156" spans="67:67" x14ac:dyDescent="0.25">
      <c r="BO156">
        <v>1070.9681111720199</v>
      </c>
    </row>
    <row r="157" spans="67:67" x14ac:dyDescent="0.25">
      <c r="BO157">
        <v>934.84995813278181</v>
      </c>
    </row>
    <row r="158" spans="67:67" x14ac:dyDescent="0.25">
      <c r="BO158">
        <v>628.59379914476426</v>
      </c>
    </row>
    <row r="167" spans="67:67" x14ac:dyDescent="0.25">
      <c r="BO167" s="150">
        <v>131.28465993801512</v>
      </c>
    </row>
    <row r="168" spans="67:67" x14ac:dyDescent="0.25">
      <c r="BO168" s="150">
        <v>132.07160858877552</v>
      </c>
    </row>
    <row r="169" spans="67:67" x14ac:dyDescent="0.25">
      <c r="BO169" s="150">
        <v>125.92017001917733</v>
      </c>
    </row>
    <row r="170" spans="67:67" x14ac:dyDescent="0.25">
      <c r="BO170" s="150">
        <v>113.90871228899141</v>
      </c>
    </row>
    <row r="171" spans="67:67" x14ac:dyDescent="0.25">
      <c r="BO171" s="150">
        <v>107.28750037885627</v>
      </c>
    </row>
    <row r="172" spans="67:67" x14ac:dyDescent="0.25">
      <c r="BO172" s="150">
        <v>101.96115141055969</v>
      </c>
    </row>
    <row r="173" spans="67:67" x14ac:dyDescent="0.25">
      <c r="BO173" s="150">
        <v>57.08091270951239</v>
      </c>
    </row>
    <row r="174" spans="67:67" x14ac:dyDescent="0.25">
      <c r="BO174" s="150">
        <v>13.688159905634009</v>
      </c>
    </row>
  </sheetData>
  <mergeCells count="10">
    <mergeCell ref="BT3:BV3"/>
    <mergeCell ref="H2:J2"/>
    <mergeCell ref="K2:M2"/>
    <mergeCell ref="N2:P2"/>
    <mergeCell ref="G2:G3"/>
    <mergeCell ref="AR2:AT2"/>
    <mergeCell ref="AB2:AB3"/>
    <mergeCell ref="Q2:S2"/>
    <mergeCell ref="T2:V2"/>
    <mergeCell ref="W2:Y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7"/>
  <sheetViews>
    <sheetView showGridLines="0" zoomScale="85" zoomScaleNormal="85" workbookViewId="0">
      <pane xSplit="2" ySplit="2" topLeftCell="C12" activePane="bottomRight" state="frozen"/>
      <selection activeCell="F1" sqref="F1"/>
      <selection pane="topRight" activeCell="F1" sqref="F1"/>
      <selection pane="bottomLeft" activeCell="F1" sqref="F1"/>
      <selection pane="bottomRight" activeCell="F1" sqref="F1"/>
    </sheetView>
  </sheetViews>
  <sheetFormatPr baseColWidth="10" defaultRowHeight="15" x14ac:dyDescent="0.25"/>
  <cols>
    <col min="1" max="1" width="20.85546875" customWidth="1"/>
    <col min="2" max="2" width="49.85546875" customWidth="1"/>
    <col min="3" max="4" width="19.5703125" customWidth="1"/>
    <col min="6" max="6" width="16.7109375" bestFit="1" customWidth="1"/>
    <col min="7" max="7" width="15.5703125" bestFit="1" customWidth="1"/>
  </cols>
  <sheetData>
    <row r="1" spans="1:16" ht="24.75" customHeight="1" x14ac:dyDescent="0.25">
      <c r="A1" s="11"/>
      <c r="B1" s="82"/>
      <c r="C1" s="71">
        <v>2023</v>
      </c>
      <c r="D1" s="71">
        <v>2023</v>
      </c>
      <c r="E1" s="11"/>
      <c r="F1" s="50"/>
      <c r="G1" s="48"/>
      <c r="H1" s="11"/>
      <c r="I1" s="11"/>
      <c r="J1" s="11"/>
      <c r="K1" s="11"/>
      <c r="L1" s="11"/>
    </row>
    <row r="2" spans="1:16" ht="21" customHeight="1" x14ac:dyDescent="0.25">
      <c r="A2" s="11"/>
      <c r="B2" s="11"/>
      <c r="C2" s="39" t="s">
        <v>62</v>
      </c>
      <c r="D2" s="39" t="s">
        <v>200</v>
      </c>
      <c r="E2" s="11"/>
      <c r="F2" s="50"/>
      <c r="G2" s="50"/>
      <c r="H2" s="11"/>
      <c r="I2" s="11"/>
      <c r="J2" s="11"/>
      <c r="K2" s="11"/>
      <c r="L2" s="11"/>
    </row>
    <row r="3" spans="1:16" ht="57" customHeight="1" x14ac:dyDescent="0.25">
      <c r="A3" s="214" t="s">
        <v>63</v>
      </c>
      <c r="B3" s="39" t="s">
        <v>64</v>
      </c>
      <c r="C3" s="102">
        <v>48376.28818165727</v>
      </c>
      <c r="D3" s="102">
        <v>57189.383452010443</v>
      </c>
      <c r="E3" s="215" t="s">
        <v>135</v>
      </c>
      <c r="F3" s="215"/>
      <c r="G3" s="215"/>
      <c r="H3" s="215"/>
      <c r="I3" s="215"/>
      <c r="J3" s="215"/>
      <c r="K3" s="215"/>
      <c r="L3" s="215"/>
      <c r="M3" s="49"/>
      <c r="N3" s="49"/>
      <c r="O3" s="49"/>
      <c r="P3" s="49"/>
    </row>
    <row r="4" spans="1:16" ht="57" customHeight="1" x14ac:dyDescent="0.25">
      <c r="A4" s="214"/>
      <c r="B4" s="39" t="s">
        <v>65</v>
      </c>
      <c r="C4" s="102">
        <v>491433.30000000005</v>
      </c>
      <c r="D4" s="102">
        <v>593907.07177085988</v>
      </c>
      <c r="E4" s="215"/>
      <c r="F4" s="215"/>
      <c r="G4" s="215"/>
      <c r="H4" s="215"/>
      <c r="I4" s="215"/>
      <c r="J4" s="215"/>
      <c r="K4" s="215"/>
      <c r="L4" s="215"/>
      <c r="M4" s="49"/>
      <c r="N4" s="49"/>
      <c r="O4" s="49"/>
      <c r="P4" s="49"/>
    </row>
    <row r="5" spans="1:16" ht="57" customHeight="1" x14ac:dyDescent="0.25">
      <c r="A5" s="214"/>
      <c r="B5" s="39" t="s">
        <v>66</v>
      </c>
      <c r="C5" s="103">
        <f>+C3/C4</f>
        <v>9.8439174108993555E-2</v>
      </c>
      <c r="D5" s="103">
        <f>+D3/D4</f>
        <v>9.6293487938252986E-2</v>
      </c>
      <c r="E5" s="215"/>
      <c r="F5" s="215"/>
      <c r="G5" s="215"/>
      <c r="H5" s="215"/>
      <c r="I5" s="215"/>
      <c r="J5" s="215"/>
      <c r="K5" s="215"/>
      <c r="L5" s="215"/>
      <c r="M5" s="49"/>
      <c r="N5" s="49"/>
      <c r="O5" s="49"/>
      <c r="P5" s="49"/>
    </row>
    <row r="6" spans="1:16" ht="57" customHeight="1" x14ac:dyDescent="0.25">
      <c r="A6" s="214" t="s">
        <v>67</v>
      </c>
      <c r="B6" s="39" t="s">
        <v>68</v>
      </c>
      <c r="C6" s="102">
        <v>47619.005715480125</v>
      </c>
      <c r="D6" s="102">
        <v>63789.181478609993</v>
      </c>
      <c r="E6" s="215" t="s">
        <v>150</v>
      </c>
      <c r="F6" s="215"/>
      <c r="G6" s="215"/>
      <c r="H6" s="215"/>
      <c r="I6" s="215"/>
      <c r="J6" s="215"/>
      <c r="K6" s="215"/>
      <c r="L6" s="215"/>
      <c r="M6" s="49"/>
      <c r="N6" s="49"/>
      <c r="O6" s="49"/>
      <c r="P6" s="49"/>
    </row>
    <row r="7" spans="1:16" ht="57" customHeight="1" x14ac:dyDescent="0.25">
      <c r="A7" s="214"/>
      <c r="B7" s="39" t="s">
        <v>69</v>
      </c>
      <c r="C7" s="102">
        <v>295871.2</v>
      </c>
      <c r="D7" s="102">
        <v>414654.59130192001</v>
      </c>
      <c r="E7" s="215"/>
      <c r="F7" s="215"/>
      <c r="G7" s="215"/>
      <c r="H7" s="215"/>
      <c r="I7" s="215"/>
      <c r="J7" s="215"/>
      <c r="K7" s="215"/>
      <c r="L7" s="215"/>
      <c r="M7" s="49"/>
      <c r="N7" s="49"/>
      <c r="O7" s="49"/>
      <c r="P7" s="49"/>
    </row>
    <row r="8" spans="1:16" ht="57" customHeight="1" x14ac:dyDescent="0.25">
      <c r="A8" s="214"/>
      <c r="B8" s="39" t="s">
        <v>70</v>
      </c>
      <c r="C8" s="103">
        <f>+C6/C7</f>
        <v>0.16094505215607374</v>
      </c>
      <c r="D8" s="103">
        <f>+D6/D7</f>
        <v>0.15383691105005406</v>
      </c>
      <c r="E8" s="215"/>
      <c r="F8" s="215"/>
      <c r="G8" s="215"/>
      <c r="H8" s="215"/>
      <c r="I8" s="215"/>
      <c r="J8" s="215"/>
      <c r="K8" s="215"/>
      <c r="L8" s="215"/>
      <c r="M8" s="49"/>
      <c r="N8" s="49"/>
      <c r="O8" s="49"/>
      <c r="P8" s="49"/>
    </row>
    <row r="9" spans="1:16" ht="57" customHeight="1" x14ac:dyDescent="0.25">
      <c r="A9" s="214"/>
      <c r="B9" s="39" t="s">
        <v>71</v>
      </c>
      <c r="C9" s="102">
        <v>24482.912467797098</v>
      </c>
      <c r="D9" s="102">
        <v>28028.231064523763</v>
      </c>
      <c r="E9" s="215" t="s">
        <v>151</v>
      </c>
      <c r="F9" s="215"/>
      <c r="G9" s="215"/>
      <c r="H9" s="215"/>
      <c r="I9" s="215"/>
      <c r="J9" s="215"/>
      <c r="K9" s="215"/>
      <c r="L9" s="215"/>
      <c r="M9" s="49"/>
      <c r="N9" s="49"/>
      <c r="O9" s="49"/>
      <c r="P9" s="49"/>
    </row>
    <row r="10" spans="1:16" ht="57" customHeight="1" x14ac:dyDescent="0.25">
      <c r="A10" s="214"/>
      <c r="B10" s="39" t="s">
        <v>72</v>
      </c>
      <c r="C10" s="102">
        <v>572615.9</v>
      </c>
      <c r="D10" s="102">
        <v>696599.95883516991</v>
      </c>
      <c r="E10" s="215"/>
      <c r="F10" s="215"/>
      <c r="G10" s="215"/>
      <c r="H10" s="215"/>
      <c r="I10" s="215"/>
      <c r="J10" s="215"/>
      <c r="K10" s="215"/>
      <c r="L10" s="215"/>
      <c r="M10" s="49"/>
      <c r="N10" s="49"/>
      <c r="O10" s="49"/>
      <c r="P10" s="49"/>
    </row>
    <row r="11" spans="1:16" ht="57" customHeight="1" x14ac:dyDescent="0.25">
      <c r="A11" s="214"/>
      <c r="B11" s="39" t="s">
        <v>73</v>
      </c>
      <c r="C11" s="103">
        <f>+C9/C10</f>
        <v>4.2756256799360785E-2</v>
      </c>
      <c r="D11" s="103">
        <f>+D9/D10</f>
        <v>4.0235763308673733E-2</v>
      </c>
      <c r="E11" s="215"/>
      <c r="F11" s="215"/>
      <c r="G11" s="215"/>
      <c r="H11" s="215"/>
      <c r="I11" s="215"/>
      <c r="J11" s="215"/>
      <c r="K11" s="215"/>
      <c r="L11" s="215"/>
      <c r="M11" s="49"/>
      <c r="N11" s="49"/>
      <c r="O11" s="49"/>
      <c r="P11" s="49"/>
    </row>
    <row r="12" spans="1:16" ht="57" customHeight="1" x14ac:dyDescent="0.25">
      <c r="A12" s="214"/>
      <c r="B12" s="39" t="s">
        <v>74</v>
      </c>
      <c r="C12" s="102">
        <v>81.080613700000001</v>
      </c>
      <c r="D12" s="102">
        <v>76.110177300000004</v>
      </c>
      <c r="E12" s="215" t="s">
        <v>152</v>
      </c>
      <c r="F12" s="215"/>
      <c r="G12" s="215"/>
      <c r="H12" s="215"/>
      <c r="I12" s="215"/>
      <c r="J12" s="215"/>
      <c r="K12" s="215"/>
      <c r="L12" s="215"/>
      <c r="M12" s="49"/>
      <c r="N12" s="49"/>
      <c r="O12" s="49"/>
      <c r="P12" s="49"/>
    </row>
    <row r="13" spans="1:16" ht="57" customHeight="1" x14ac:dyDescent="0.25">
      <c r="A13" s="214"/>
      <c r="B13" s="39" t="s">
        <v>75</v>
      </c>
      <c r="C13" s="102">
        <v>572615.9</v>
      </c>
      <c r="D13" s="102">
        <v>696599.95883516991</v>
      </c>
      <c r="E13" s="215"/>
      <c r="F13" s="215"/>
      <c r="G13" s="215"/>
      <c r="H13" s="215"/>
      <c r="I13" s="215"/>
      <c r="J13" s="215"/>
      <c r="K13" s="215"/>
      <c r="L13" s="215"/>
      <c r="M13" s="49"/>
      <c r="N13" s="49"/>
      <c r="O13" s="49"/>
      <c r="P13" s="49"/>
    </row>
    <row r="14" spans="1:16" ht="57" customHeight="1" x14ac:dyDescent="0.25">
      <c r="A14" s="214"/>
      <c r="B14" s="39" t="s">
        <v>76</v>
      </c>
      <c r="C14" s="117">
        <f>+C12/C13</f>
        <v>1.415968604783765E-4</v>
      </c>
      <c r="D14" s="117">
        <f>+D12/D13</f>
        <v>1.0925952023779729E-4</v>
      </c>
      <c r="E14" s="215"/>
      <c r="F14" s="215"/>
      <c r="G14" s="215"/>
      <c r="H14" s="215"/>
      <c r="I14" s="215"/>
      <c r="J14" s="215"/>
      <c r="K14" s="215"/>
      <c r="L14" s="215"/>
      <c r="M14" s="49"/>
      <c r="N14" s="49"/>
      <c r="O14" s="49"/>
      <c r="P14" s="49"/>
    </row>
    <row r="15" spans="1:16" ht="57" customHeight="1" x14ac:dyDescent="0.25">
      <c r="A15" s="214"/>
      <c r="B15" s="39" t="s">
        <v>77</v>
      </c>
      <c r="C15" s="102">
        <v>36430.42102340726</v>
      </c>
      <c r="D15" s="102">
        <v>45190.234063139687</v>
      </c>
      <c r="E15" s="215" t="s">
        <v>153</v>
      </c>
      <c r="F15" s="215"/>
      <c r="G15" s="215"/>
      <c r="H15" s="215"/>
      <c r="I15" s="215"/>
      <c r="J15" s="215"/>
      <c r="K15" s="215"/>
      <c r="L15" s="215"/>
      <c r="M15" s="49"/>
      <c r="N15" s="49"/>
      <c r="O15" s="49"/>
      <c r="P15" s="49"/>
    </row>
    <row r="16" spans="1:16" ht="57" customHeight="1" x14ac:dyDescent="0.25">
      <c r="A16" s="214"/>
      <c r="B16" s="39" t="s">
        <v>78</v>
      </c>
      <c r="C16" s="102">
        <v>250424.7</v>
      </c>
      <c r="D16" s="102">
        <v>304308.47690849006</v>
      </c>
      <c r="E16" s="215"/>
      <c r="F16" s="215"/>
      <c r="G16" s="215"/>
      <c r="H16" s="215"/>
      <c r="I16" s="215"/>
      <c r="J16" s="215"/>
      <c r="K16" s="215"/>
      <c r="L16" s="215"/>
      <c r="M16" s="49"/>
      <c r="N16" s="49"/>
      <c r="O16" s="49"/>
      <c r="P16" s="49"/>
    </row>
    <row r="17" spans="1:16" ht="57" customHeight="1" x14ac:dyDescent="0.25">
      <c r="A17" s="214"/>
      <c r="B17" s="39" t="s">
        <v>79</v>
      </c>
      <c r="C17" s="103">
        <f>+C15/C16</f>
        <v>0.14547455192481915</v>
      </c>
      <c r="D17" s="103">
        <f>+D15/D16</f>
        <v>0.14850139740513715</v>
      </c>
      <c r="E17" s="215"/>
      <c r="F17" s="215"/>
      <c r="G17" s="215"/>
      <c r="H17" s="215"/>
      <c r="I17" s="215"/>
      <c r="J17" s="215"/>
      <c r="K17" s="215"/>
      <c r="L17" s="215"/>
      <c r="M17" s="49"/>
      <c r="N17" s="49"/>
      <c r="O17" s="49"/>
      <c r="P17" s="49"/>
    </row>
  </sheetData>
  <mergeCells count="7">
    <mergeCell ref="A3:A5"/>
    <mergeCell ref="E3:L5"/>
    <mergeCell ref="A6:A17"/>
    <mergeCell ref="E6:L8"/>
    <mergeCell ref="E9:L11"/>
    <mergeCell ref="E12:L14"/>
    <mergeCell ref="E15:L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8E941-41B6-43C6-8C18-08D8580D7E2D}">
  <sheetPr>
    <pageSetUpPr fitToPage="1"/>
  </sheetPr>
  <dimension ref="B1:U9"/>
  <sheetViews>
    <sheetView showGridLines="0" workbookViewId="0"/>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217" t="s">
        <v>225</v>
      </c>
      <c r="C2" s="217"/>
      <c r="D2" s="217"/>
      <c r="E2" s="217"/>
      <c r="F2" s="217"/>
      <c r="G2" s="217"/>
      <c r="H2" s="217"/>
      <c r="I2" s="217"/>
      <c r="J2" s="217"/>
      <c r="K2" s="217"/>
      <c r="L2" s="217"/>
      <c r="M2" s="217"/>
      <c r="N2" s="217"/>
      <c r="O2" s="217"/>
      <c r="P2" s="217"/>
      <c r="Q2" s="217"/>
      <c r="R2" s="217"/>
      <c r="S2" s="217"/>
      <c r="T2" s="217"/>
      <c r="U2" s="217"/>
    </row>
    <row r="3" spans="2:21" ht="15.75" x14ac:dyDescent="0.25">
      <c r="B3" s="153" t="s">
        <v>226</v>
      </c>
    </row>
    <row r="4" spans="2:21" ht="9" customHeight="1" thickBot="1" x14ac:dyDescent="0.3">
      <c r="B4" s="218"/>
    </row>
    <row r="5" spans="2:21" x14ac:dyDescent="0.25">
      <c r="B5" s="219" t="s">
        <v>227</v>
      </c>
      <c r="C5" s="220" t="s">
        <v>228</v>
      </c>
      <c r="D5" s="221" t="s">
        <v>229</v>
      </c>
      <c r="E5" s="220" t="s">
        <v>230</v>
      </c>
      <c r="F5" s="220" t="s">
        <v>231</v>
      </c>
      <c r="G5" s="220" t="s">
        <v>232</v>
      </c>
      <c r="H5" s="221" t="s">
        <v>233</v>
      </c>
      <c r="I5" s="221" t="s">
        <v>234</v>
      </c>
      <c r="J5" s="221" t="s">
        <v>235</v>
      </c>
      <c r="K5" s="221"/>
      <c r="L5" s="221"/>
      <c r="M5" s="222"/>
      <c r="N5" s="223"/>
    </row>
    <row r="6" spans="2:21" ht="15" customHeight="1" x14ac:dyDescent="0.25">
      <c r="B6" s="224"/>
      <c r="C6" s="225"/>
      <c r="D6" s="226"/>
      <c r="E6" s="225"/>
      <c r="F6" s="225"/>
      <c r="G6" s="225"/>
      <c r="H6" s="227"/>
      <c r="I6" s="226"/>
      <c r="J6" s="228" t="s">
        <v>236</v>
      </c>
      <c r="K6" s="228" t="s">
        <v>237</v>
      </c>
      <c r="L6" s="228" t="s">
        <v>238</v>
      </c>
      <c r="M6" s="228" t="s">
        <v>239</v>
      </c>
      <c r="N6" s="229" t="s">
        <v>240</v>
      </c>
    </row>
    <row r="7" spans="2:21" x14ac:dyDescent="0.25">
      <c r="B7" s="224"/>
      <c r="C7" s="225"/>
      <c r="D7" s="230"/>
      <c r="E7" s="225"/>
      <c r="F7" s="225"/>
      <c r="G7" s="225"/>
      <c r="H7" s="231"/>
      <c r="I7" s="230"/>
      <c r="J7" s="230"/>
      <c r="K7" s="230"/>
      <c r="L7" s="230"/>
      <c r="M7" s="230"/>
      <c r="N7" s="232"/>
    </row>
    <row r="8" spans="2:21" x14ac:dyDescent="0.25">
      <c r="B8" s="233" t="s">
        <v>241</v>
      </c>
      <c r="C8" s="234"/>
      <c r="D8" s="235"/>
      <c r="E8" s="236"/>
      <c r="F8" s="236"/>
      <c r="G8" s="237"/>
      <c r="H8" s="237"/>
      <c r="I8" s="237"/>
      <c r="J8" s="236"/>
      <c r="K8" s="236"/>
      <c r="L8" s="236"/>
      <c r="M8" s="236"/>
      <c r="N8" s="238"/>
    </row>
    <row r="9" spans="2:21" ht="15.75" thickBot="1" x14ac:dyDescent="0.3">
      <c r="B9" s="239"/>
      <c r="C9" s="240"/>
      <c r="D9" s="241"/>
      <c r="E9" s="242"/>
      <c r="F9" s="243"/>
      <c r="G9" s="243"/>
      <c r="H9" s="243"/>
      <c r="I9" s="243"/>
      <c r="J9" s="242"/>
      <c r="K9" s="242"/>
      <c r="L9" s="242"/>
      <c r="M9" s="244"/>
      <c r="N9" s="245"/>
    </row>
  </sheetData>
  <mergeCells count="15">
    <mergeCell ref="J6:J7"/>
    <mergeCell ref="K6:K7"/>
    <mergeCell ref="L6:L7"/>
    <mergeCell ref="M6:M7"/>
    <mergeCell ref="N6:N7"/>
    <mergeCell ref="B2:U2"/>
    <mergeCell ref="B5:B7"/>
    <mergeCell ref="C5:C7"/>
    <mergeCell ref="D5:D7"/>
    <mergeCell ref="E5:E7"/>
    <mergeCell ref="F5:F7"/>
    <mergeCell ref="G5:G7"/>
    <mergeCell ref="H5:H7"/>
    <mergeCell ref="I5:I7"/>
    <mergeCell ref="J5:N5"/>
  </mergeCells>
  <pageMargins left="0.70866141732283472" right="0.70866141732283472" top="0.74803149606299213" bottom="0.74803149606299213" header="0.31496062992125984" footer="0.31496062992125984"/>
  <pageSetup paperSize="9" scale="5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43"/>
  <sheetViews>
    <sheetView showGridLines="0" zoomScale="80" zoomScaleNormal="80" workbookViewId="0">
      <pane xSplit="1" ySplit="4" topLeftCell="B5" activePane="bottomRight" state="frozen"/>
      <selection pane="topRight" activeCell="B1" sqref="B1"/>
      <selection pane="bottomLeft" activeCell="A3" sqref="A3"/>
      <selection pane="bottomRight" sqref="A1:H1"/>
    </sheetView>
  </sheetViews>
  <sheetFormatPr baseColWidth="10" defaultRowHeight="16.5" x14ac:dyDescent="0.3"/>
  <cols>
    <col min="1" max="1" width="34.42578125" style="60" customWidth="1"/>
    <col min="2" max="29" width="16.140625" style="14" customWidth="1"/>
    <col min="30" max="39" width="16.42578125" style="14" customWidth="1"/>
    <col min="40" max="16384" width="11.42578125" style="14"/>
  </cols>
  <sheetData>
    <row r="1" spans="1:40" ht="30.75" customHeight="1" x14ac:dyDescent="0.3">
      <c r="A1" s="216" t="s">
        <v>114</v>
      </c>
      <c r="B1" s="216"/>
      <c r="C1" s="216"/>
      <c r="D1" s="216"/>
      <c r="E1" s="216"/>
      <c r="F1" s="216"/>
      <c r="G1" s="216"/>
      <c r="H1" s="216"/>
    </row>
    <row r="2" spans="1:40" ht="20.25" customHeight="1" x14ac:dyDescent="0.3">
      <c r="A2" s="5" t="s">
        <v>87</v>
      </c>
      <c r="B2" s="64"/>
      <c r="C2" s="65"/>
      <c r="D2" s="64"/>
      <c r="E2" s="65"/>
      <c r="F2" s="64"/>
      <c r="G2" s="64"/>
      <c r="H2" s="64"/>
    </row>
    <row r="3" spans="1:40" x14ac:dyDescent="0.3">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row>
    <row r="4" spans="1:40" ht="30" customHeight="1" x14ac:dyDescent="0.3">
      <c r="A4" s="54"/>
      <c r="B4" s="55">
        <v>41729</v>
      </c>
      <c r="C4" s="55">
        <v>41820</v>
      </c>
      <c r="D4" s="55">
        <v>41912</v>
      </c>
      <c r="E4" s="55">
        <v>42004</v>
      </c>
      <c r="F4" s="55">
        <v>42094</v>
      </c>
      <c r="G4" s="55">
        <v>42185</v>
      </c>
      <c r="H4" s="55">
        <v>42277</v>
      </c>
      <c r="I4" s="55">
        <v>42369</v>
      </c>
      <c r="J4" s="55">
        <v>42460</v>
      </c>
      <c r="K4" s="55">
        <v>42551</v>
      </c>
      <c r="L4" s="55">
        <v>42643</v>
      </c>
      <c r="M4" s="55">
        <v>42735</v>
      </c>
      <c r="N4" s="55">
        <v>42825</v>
      </c>
      <c r="O4" s="55">
        <v>42916</v>
      </c>
      <c r="P4" s="55">
        <v>43008</v>
      </c>
      <c r="Q4" s="55">
        <v>43100</v>
      </c>
      <c r="R4" s="55">
        <v>43190</v>
      </c>
      <c r="S4" s="55">
        <v>43281</v>
      </c>
      <c r="T4" s="55">
        <v>43373</v>
      </c>
      <c r="U4" s="55">
        <v>43465</v>
      </c>
      <c r="V4" s="55">
        <v>43555</v>
      </c>
      <c r="W4" s="55">
        <v>43646</v>
      </c>
      <c r="X4" s="55">
        <v>43738</v>
      </c>
      <c r="Y4" s="55">
        <v>43830</v>
      </c>
      <c r="Z4" s="55">
        <v>43921</v>
      </c>
      <c r="AA4" s="55">
        <v>44012</v>
      </c>
      <c r="AB4" s="55">
        <v>44104</v>
      </c>
      <c r="AC4" s="55">
        <v>44196</v>
      </c>
      <c r="AD4" s="55">
        <v>44286</v>
      </c>
      <c r="AE4" s="55">
        <v>44377</v>
      </c>
      <c r="AF4" s="55">
        <v>44469</v>
      </c>
      <c r="AG4" s="55">
        <v>44561</v>
      </c>
      <c r="AH4" s="55">
        <v>44651</v>
      </c>
      <c r="AI4" s="55">
        <v>44742</v>
      </c>
      <c r="AJ4" s="55">
        <v>44834</v>
      </c>
      <c r="AK4" s="55">
        <v>44926</v>
      </c>
      <c r="AL4" s="55">
        <v>45016</v>
      </c>
      <c r="AM4" s="55">
        <v>45107</v>
      </c>
    </row>
    <row r="5" spans="1:40" ht="52.5" customHeight="1" x14ac:dyDescent="0.3">
      <c r="A5" s="53" t="s">
        <v>80</v>
      </c>
      <c r="B5" s="56">
        <v>8781.7199999999993</v>
      </c>
      <c r="C5" s="56">
        <v>8719.68</v>
      </c>
      <c r="D5" s="56">
        <v>8671.31</v>
      </c>
      <c r="E5" s="56">
        <v>9251.6200000000008</v>
      </c>
      <c r="F5" s="56">
        <v>8711.33</v>
      </c>
      <c r="G5" s="56">
        <v>8883.2999999999993</v>
      </c>
      <c r="H5" s="56">
        <v>8777.94</v>
      </c>
      <c r="I5" s="56">
        <v>14590.026342765899</v>
      </c>
      <c r="J5" s="56">
        <v>15552.766008292954</v>
      </c>
      <c r="K5" s="56">
        <v>23183.662216917499</v>
      </c>
      <c r="L5" s="56">
        <v>24968.595473778529</v>
      </c>
      <c r="M5" s="56">
        <v>26143.372847835599</v>
      </c>
      <c r="N5" s="56">
        <v>26357.580883104267</v>
      </c>
      <c r="O5" s="56">
        <v>32363.693825003349</v>
      </c>
      <c r="P5" s="56">
        <v>32739.973955860674</v>
      </c>
      <c r="Q5" s="56">
        <v>33066.920518488216</v>
      </c>
      <c r="R5" s="56">
        <v>35523.531142391745</v>
      </c>
      <c r="S5" s="56">
        <v>42512.097230935367</v>
      </c>
      <c r="T5" s="56">
        <v>49897.666266168861</v>
      </c>
      <c r="U5" s="56">
        <v>48061.669901665373</v>
      </c>
      <c r="V5" s="56">
        <v>54971.132794337202</v>
      </c>
      <c r="W5" s="56">
        <v>57477.574093920899</v>
      </c>
      <c r="X5" s="56">
        <v>70107.671098561274</v>
      </c>
      <c r="Y5" s="56">
        <v>73073.385231942695</v>
      </c>
      <c r="Z5" s="56">
        <v>76873.589091758549</v>
      </c>
      <c r="AA5" s="56">
        <v>81321.301084087594</v>
      </c>
      <c r="AB5" s="56">
        <v>87659.723356733972</v>
      </c>
      <c r="AC5" s="56">
        <v>98086.703607309493</v>
      </c>
      <c r="AD5" s="56">
        <v>105498.39985939959</v>
      </c>
      <c r="AE5" s="56">
        <v>104307.6114064088</v>
      </c>
      <c r="AF5" s="56">
        <v>109501.85230045371</v>
      </c>
      <c r="AG5" s="56">
        <v>118375.03408370932</v>
      </c>
      <c r="AH5" s="56">
        <v>125218.25101459341</v>
      </c>
      <c r="AI5" s="56">
        <v>136288.86474127742</v>
      </c>
      <c r="AJ5" s="56">
        <v>152793.80111647217</v>
      </c>
      <c r="AK5" s="56">
        <v>173744.05273852008</v>
      </c>
      <c r="AL5" s="56">
        <v>184002.77888037229</v>
      </c>
      <c r="AM5" s="56">
        <f>+'Servicios Deuda Anual'!F47*'Servicios Deuda Anual'!C57</f>
        <v>217722.16278989098</v>
      </c>
    </row>
    <row r="6" spans="1:40" ht="52.5" customHeight="1" x14ac:dyDescent="0.3">
      <c r="A6" s="53" t="s">
        <v>81</v>
      </c>
      <c r="B6" s="56">
        <v>814.06924421000008</v>
      </c>
      <c r="C6" s="56">
        <v>1334.7686670200001</v>
      </c>
      <c r="D6" s="56">
        <v>1606.3620389600001</v>
      </c>
      <c r="E6" s="56">
        <v>2059.9873684600002</v>
      </c>
      <c r="F6" s="56">
        <v>1532.2292152100001</v>
      </c>
      <c r="G6" s="56">
        <v>2787.2709622900002</v>
      </c>
      <c r="H6" s="56">
        <v>3436.8373112600002</v>
      </c>
      <c r="I6" s="56">
        <v>4751.3450329800007</v>
      </c>
      <c r="J6" s="56">
        <v>1748.5210195500001</v>
      </c>
      <c r="K6" s="66">
        <v>1979.8916584900003</v>
      </c>
      <c r="L6" s="66">
        <v>2005.6820979800002</v>
      </c>
      <c r="M6" s="66">
        <v>2713.09112757</v>
      </c>
      <c r="N6" s="66">
        <v>1455.4634681099999</v>
      </c>
      <c r="O6" s="66">
        <v>2358.1514273500002</v>
      </c>
      <c r="P6" s="66">
        <v>2403.9927246800003</v>
      </c>
      <c r="Q6" s="66">
        <v>3051.1866099200001</v>
      </c>
      <c r="R6" s="66">
        <v>2887.47474384</v>
      </c>
      <c r="S6" s="66">
        <v>2566.0700995500001</v>
      </c>
      <c r="T6" s="66">
        <v>2260.5505495299999</v>
      </c>
      <c r="U6" s="66">
        <v>5907.5229735200001</v>
      </c>
      <c r="V6" s="66">
        <v>2465.16920291</v>
      </c>
      <c r="W6" s="56">
        <v>4329.9503111499998</v>
      </c>
      <c r="X6" s="56">
        <v>4646.9381585399997</v>
      </c>
      <c r="Y6" s="56">
        <v>9439.5116885000007</v>
      </c>
      <c r="Z6" s="56">
        <v>3694.6763252000001</v>
      </c>
      <c r="AA6" s="56">
        <v>6793.2007236199997</v>
      </c>
      <c r="AB6" s="56">
        <v>7216.9493976200001</v>
      </c>
      <c r="AC6" s="56">
        <v>15771.225058290001</v>
      </c>
      <c r="AD6" s="56">
        <v>4714.8373600100003</v>
      </c>
      <c r="AE6" s="56">
        <v>8017.0700839199999</v>
      </c>
      <c r="AF6" s="56">
        <v>12560.355571530001</v>
      </c>
      <c r="AG6" s="56">
        <v>26355.928719810003</v>
      </c>
      <c r="AH6" s="120">
        <v>7068.6826936500001</v>
      </c>
      <c r="AI6" s="120">
        <v>12519.52704866</v>
      </c>
      <c r="AJ6" s="120">
        <v>14153.615796210001</v>
      </c>
      <c r="AK6" s="120">
        <v>50923.483293849997</v>
      </c>
      <c r="AL6" s="120">
        <v>16141.696247110001</v>
      </c>
      <c r="AM6" s="120">
        <v>26252.587002599998</v>
      </c>
    </row>
    <row r="7" spans="1:40" ht="52.5" customHeight="1" x14ac:dyDescent="0.3">
      <c r="A7" s="53" t="s">
        <v>82</v>
      </c>
      <c r="B7" s="81">
        <f>+SUM(B5:B6)</f>
        <v>9595.7892442100001</v>
      </c>
      <c r="C7" s="81">
        <f t="shared" ref="C7:AH7" si="0">+SUM(C5:C6)</f>
        <v>10054.44866702</v>
      </c>
      <c r="D7" s="81">
        <f t="shared" si="0"/>
        <v>10277.67203896</v>
      </c>
      <c r="E7" s="81">
        <f t="shared" si="0"/>
        <v>11311.607368460001</v>
      </c>
      <c r="F7" s="81">
        <f t="shared" si="0"/>
        <v>10243.55921521</v>
      </c>
      <c r="G7" s="81">
        <f t="shared" si="0"/>
        <v>11670.570962289999</v>
      </c>
      <c r="H7" s="81">
        <f t="shared" si="0"/>
        <v>12214.777311260001</v>
      </c>
      <c r="I7" s="81">
        <f t="shared" si="0"/>
        <v>19341.371375745901</v>
      </c>
      <c r="J7" s="81">
        <f t="shared" si="0"/>
        <v>17301.287027842955</v>
      </c>
      <c r="K7" s="81">
        <f t="shared" si="0"/>
        <v>25163.553875407499</v>
      </c>
      <c r="L7" s="81">
        <f t="shared" si="0"/>
        <v>26974.277571758528</v>
      </c>
      <c r="M7" s="81">
        <f t="shared" si="0"/>
        <v>28856.463975405597</v>
      </c>
      <c r="N7" s="81">
        <f t="shared" si="0"/>
        <v>27813.044351214266</v>
      </c>
      <c r="O7" s="81">
        <f t="shared" si="0"/>
        <v>34721.845252353349</v>
      </c>
      <c r="P7" s="81">
        <f t="shared" si="0"/>
        <v>35143.966680540674</v>
      </c>
      <c r="Q7" s="81">
        <f t="shared" si="0"/>
        <v>36118.107128408214</v>
      </c>
      <c r="R7" s="81">
        <f t="shared" si="0"/>
        <v>38411.005886231746</v>
      </c>
      <c r="S7" s="81">
        <f t="shared" si="0"/>
        <v>45078.167330485368</v>
      </c>
      <c r="T7" s="81">
        <f t="shared" si="0"/>
        <v>52158.216815698863</v>
      </c>
      <c r="U7" s="81">
        <f t="shared" si="0"/>
        <v>53969.19287518537</v>
      </c>
      <c r="V7" s="81">
        <f t="shared" si="0"/>
        <v>57436.301997247203</v>
      </c>
      <c r="W7" s="81">
        <f t="shared" si="0"/>
        <v>61807.524405070901</v>
      </c>
      <c r="X7" s="81">
        <f t="shared" si="0"/>
        <v>74754.60925710127</v>
      </c>
      <c r="Y7" s="81">
        <f t="shared" si="0"/>
        <v>82512.896920442698</v>
      </c>
      <c r="Z7" s="81">
        <f t="shared" si="0"/>
        <v>80568.265416958544</v>
      </c>
      <c r="AA7" s="81">
        <f t="shared" si="0"/>
        <v>88114.501807707595</v>
      </c>
      <c r="AB7" s="81">
        <f t="shared" si="0"/>
        <v>94876.672754353975</v>
      </c>
      <c r="AC7" s="81">
        <f t="shared" si="0"/>
        <v>113857.92866559949</v>
      </c>
      <c r="AD7" s="81">
        <f t="shared" si="0"/>
        <v>110213.2372194096</v>
      </c>
      <c r="AE7" s="81">
        <f t="shared" si="0"/>
        <v>112324.6814903288</v>
      </c>
      <c r="AF7" s="81">
        <f t="shared" si="0"/>
        <v>122062.20787198372</v>
      </c>
      <c r="AG7" s="81">
        <f t="shared" si="0"/>
        <v>144730.96280351933</v>
      </c>
      <c r="AH7" s="81">
        <f t="shared" si="0"/>
        <v>132286.93370824342</v>
      </c>
      <c r="AI7" s="81">
        <f t="shared" ref="AI7:AJ7" si="1">+SUM(AI5:AI6)</f>
        <v>148808.39178993742</v>
      </c>
      <c r="AJ7" s="81">
        <f t="shared" si="1"/>
        <v>166947.41691268218</v>
      </c>
      <c r="AK7" s="81">
        <f>+SUM(AK5:AK6)</f>
        <v>224667.53603237009</v>
      </c>
      <c r="AL7" s="81">
        <f>+SUM(AL5:AL6)</f>
        <v>200144.47512748229</v>
      </c>
      <c r="AM7" s="81">
        <f>+SUM(AM5:AM6)</f>
        <v>243974.74979249097</v>
      </c>
    </row>
    <row r="8" spans="1:40" ht="52.5" customHeight="1" x14ac:dyDescent="0.3">
      <c r="A8" s="53" t="s">
        <v>201</v>
      </c>
      <c r="B8" s="56">
        <v>36.468688265055327</v>
      </c>
      <c r="C8" s="56">
        <v>33.503511104262358</v>
      </c>
      <c r="D8" s="56">
        <v>31.484438465841642</v>
      </c>
      <c r="E8" s="56">
        <v>29.724985087098528</v>
      </c>
      <c r="F8" s="56">
        <v>28.292424682398821</v>
      </c>
      <c r="G8" s="56">
        <v>26.703010857943497</v>
      </c>
      <c r="H8" s="56">
        <v>25.329986849171277</v>
      </c>
      <c r="I8" s="56">
        <v>23.708275495807609</v>
      </c>
      <c r="J8" s="56">
        <v>20.804191770578644</v>
      </c>
      <c r="K8" s="56">
        <v>18.754232061412385</v>
      </c>
      <c r="L8" s="56">
        <v>17.960070279819842</v>
      </c>
      <c r="M8" s="56">
        <v>17.085284403843492</v>
      </c>
      <c r="N8" s="56">
        <v>16.084323739490781</v>
      </c>
      <c r="O8" s="56">
        <v>15.262085941025891</v>
      </c>
      <c r="P8" s="56">
        <v>14.523818158764648</v>
      </c>
      <c r="Q8" s="56">
        <v>13.687311156883052</v>
      </c>
      <c r="R8" s="56">
        <v>12.834967459284785</v>
      </c>
      <c r="S8" s="56">
        <v>11.803745302551345</v>
      </c>
      <c r="T8" s="56">
        <v>10.346560682913816</v>
      </c>
      <c r="U8" s="56">
        <v>9.2710375547406141</v>
      </c>
      <c r="V8" s="56">
        <v>8.29027487410589</v>
      </c>
      <c r="W8" s="56">
        <v>7.5721512938095792</v>
      </c>
      <c r="X8" s="56">
        <v>6.7272735471987692</v>
      </c>
      <c r="Y8" s="56">
        <v>6.0210980732602568</v>
      </c>
      <c r="Z8" s="56">
        <v>5.5859825435371198</v>
      </c>
      <c r="AA8" s="56">
        <v>5.305381197281938</v>
      </c>
      <c r="AB8" s="56">
        <v>4.93149788970846</v>
      </c>
      <c r="AC8" s="56">
        <v>4.4265814681170195</v>
      </c>
      <c r="AD8" s="56">
        <v>3.920252894581242</v>
      </c>
      <c r="AE8" s="56">
        <v>3.5325094785543927</v>
      </c>
      <c r="AF8" s="56">
        <v>3.2328227670229102</v>
      </c>
      <c r="AG8" s="56">
        <v>2.9357585018028574</v>
      </c>
      <c r="AH8" s="56">
        <v>2.5292611812974566</v>
      </c>
      <c r="AI8" s="56">
        <v>2.1560395644126782</v>
      </c>
      <c r="AJ8" s="56">
        <v>1.7666240983726396</v>
      </c>
      <c r="AK8" s="56">
        <v>1.5074144759978307</v>
      </c>
      <c r="AL8" s="56">
        <v>1.2386651200000003</v>
      </c>
      <c r="AM8" s="56">
        <v>1</v>
      </c>
    </row>
    <row r="9" spans="1:40" ht="52.5" customHeight="1" x14ac:dyDescent="0.3">
      <c r="A9" s="53" t="s">
        <v>220</v>
      </c>
      <c r="B9" s="57">
        <f>+B7*B8</f>
        <v>349945.84660426533</v>
      </c>
      <c r="C9" s="57">
        <f t="shared" ref="C9:AH9" si="2">+C7*C8</f>
        <v>336859.33256274043</v>
      </c>
      <c r="D9" s="57">
        <f t="shared" si="2"/>
        <v>323586.7328827373</v>
      </c>
      <c r="E9" s="57">
        <f t="shared" si="2"/>
        <v>336237.36033858737</v>
      </c>
      <c r="F9" s="57">
        <f t="shared" si="2"/>
        <v>289815.1275760213</v>
      </c>
      <c r="G9" s="57">
        <f t="shared" si="2"/>
        <v>311639.38312442997</v>
      </c>
      <c r="H9" s="57">
        <f t="shared" si="2"/>
        <v>309400.14865977148</v>
      </c>
      <c r="I9" s="57">
        <f t="shared" si="2"/>
        <v>458550.56104291126</v>
      </c>
      <c r="J9" s="57">
        <f t="shared" si="2"/>
        <v>359939.29320506944</v>
      </c>
      <c r="K9" s="57">
        <f t="shared" si="2"/>
        <v>471923.12886924518</v>
      </c>
      <c r="L9" s="57">
        <f t="shared" si="2"/>
        <v>484459.92093615129</v>
      </c>
      <c r="M9" s="57">
        <f t="shared" si="2"/>
        <v>493020.89390906884</v>
      </c>
      <c r="N9" s="57">
        <f t="shared" si="2"/>
        <v>447354.00952574558</v>
      </c>
      <c r="O9" s="57">
        <f t="shared" si="2"/>
        <v>529927.78627241857</v>
      </c>
      <c r="P9" s="57">
        <f t="shared" si="2"/>
        <v>510424.58144585637</v>
      </c>
      <c r="Q9" s="57">
        <f t="shared" si="2"/>
        <v>494359.77066415903</v>
      </c>
      <c r="R9" s="57">
        <f t="shared" si="2"/>
        <v>493004.01062818081</v>
      </c>
      <c r="S9" s="57">
        <f t="shared" si="2"/>
        <v>532091.20587484015</v>
      </c>
      <c r="T9" s="57">
        <f t="shared" si="2"/>
        <v>539658.15539620409</v>
      </c>
      <c r="U9" s="57">
        <f t="shared" si="2"/>
        <v>500350.41394488316</v>
      </c>
      <c r="V9" s="57">
        <f t="shared" si="2"/>
        <v>476162.73130933644</v>
      </c>
      <c r="W9" s="57">
        <f t="shared" si="2"/>
        <v>468015.92589102476</v>
      </c>
      <c r="X9" s="57">
        <f t="shared" si="2"/>
        <v>502894.70538647764</v>
      </c>
      <c r="Y9" s="57">
        <f t="shared" si="2"/>
        <v>496818.24466679973</v>
      </c>
      <c r="Z9" s="57">
        <f t="shared" si="2"/>
        <v>450052.92418219586</v>
      </c>
      <c r="AA9" s="57">
        <f t="shared" si="2"/>
        <v>467481.02109847718</v>
      </c>
      <c r="AB9" s="57">
        <f t="shared" si="2"/>
        <v>467884.11147065676</v>
      </c>
      <c r="AC9" s="57">
        <f t="shared" si="2"/>
        <v>504001.39702933229</v>
      </c>
      <c r="AD9" s="57">
        <f t="shared" si="2"/>
        <v>432063.76223055954</v>
      </c>
      <c r="AE9" s="57">
        <f t="shared" si="2"/>
        <v>396788.00204018963</v>
      </c>
      <c r="AF9" s="57">
        <f t="shared" si="2"/>
        <v>394605.48460163205</v>
      </c>
      <c r="AG9" s="57">
        <f t="shared" si="2"/>
        <v>424895.15452454501</v>
      </c>
      <c r="AH9" s="57">
        <f t="shared" si="2"/>
        <v>334588.20622113009</v>
      </c>
      <c r="AI9" s="57">
        <f t="shared" ref="AI9:AJ9" si="3">+AI7*AI8</f>
        <v>320836.78021572781</v>
      </c>
      <c r="AJ9" s="57">
        <f t="shared" si="3"/>
        <v>294933.32987900829</v>
      </c>
      <c r="AK9" s="57">
        <f>+AK7*AK8</f>
        <v>338667.09610195889</v>
      </c>
      <c r="AL9" s="57">
        <f>+AL7*AL8</f>
        <v>247911.98030111994</v>
      </c>
      <c r="AM9" s="57">
        <f>+AM7*AM8</f>
        <v>243974.74979249097</v>
      </c>
    </row>
    <row r="10" spans="1:40" ht="52.5" customHeight="1" x14ac:dyDescent="0.3">
      <c r="A10" s="53" t="s">
        <v>83</v>
      </c>
      <c r="B10" s="58">
        <v>8.0098000000000003</v>
      </c>
      <c r="C10" s="58">
        <v>8.1326999999999998</v>
      </c>
      <c r="D10" s="58">
        <v>8.4642999999999997</v>
      </c>
      <c r="E10" s="58">
        <v>8.5519999999999996</v>
      </c>
      <c r="F10" s="58">
        <v>8.8196999999999992</v>
      </c>
      <c r="G10" s="58">
        <v>9.0864999999999991</v>
      </c>
      <c r="H10" s="58">
        <v>9.4192</v>
      </c>
      <c r="I10" s="58">
        <v>13.005000000000001</v>
      </c>
      <c r="J10" s="58">
        <v>14.5817</v>
      </c>
      <c r="K10" s="58">
        <v>14.92</v>
      </c>
      <c r="L10" s="58">
        <v>15.263299999999999</v>
      </c>
      <c r="M10" s="58">
        <v>15.850199999999999</v>
      </c>
      <c r="N10" s="58">
        <v>15.3818</v>
      </c>
      <c r="O10" s="58">
        <v>16.598500000000001</v>
      </c>
      <c r="P10" s="58">
        <v>17.318300000000001</v>
      </c>
      <c r="Q10" s="58">
        <v>18.7742</v>
      </c>
      <c r="R10" s="58">
        <v>20.1433</v>
      </c>
      <c r="S10" s="58">
        <v>28.861699999999999</v>
      </c>
      <c r="T10" s="58">
        <v>40.896700000000003</v>
      </c>
      <c r="U10" s="58">
        <v>37.808300000000003</v>
      </c>
      <c r="V10" s="58">
        <v>43.353299999999997</v>
      </c>
      <c r="W10" s="58">
        <v>42.448300000000003</v>
      </c>
      <c r="X10" s="58">
        <v>57.558300000000003</v>
      </c>
      <c r="Y10" s="58">
        <v>59.895000000000003</v>
      </c>
      <c r="Z10" s="58">
        <v>64.469700000000003</v>
      </c>
      <c r="AA10" s="58">
        <v>70.454999999999998</v>
      </c>
      <c r="AB10" s="58">
        <v>76.174999999999997</v>
      </c>
      <c r="AC10" s="58">
        <v>84.144999999999996</v>
      </c>
      <c r="AD10" s="58">
        <v>91.984999999999999</v>
      </c>
      <c r="AE10" s="58">
        <v>95.726699999999994</v>
      </c>
      <c r="AF10" s="58">
        <v>98.734999999999999</v>
      </c>
      <c r="AG10" s="58">
        <v>102.75</v>
      </c>
      <c r="AH10" s="58">
        <v>110.9783</v>
      </c>
      <c r="AI10" s="58">
        <v>125.215</v>
      </c>
      <c r="AJ10" s="58">
        <v>147.315</v>
      </c>
      <c r="AK10" s="58">
        <v>177.1283</v>
      </c>
      <c r="AL10" s="58">
        <v>208.98830000000001</v>
      </c>
      <c r="AM10" s="58">
        <f>+'Servicios Deuda Anual'!C57</f>
        <v>256.67500000000001</v>
      </c>
    </row>
    <row r="11" spans="1:40" ht="52.5" customHeight="1" x14ac:dyDescent="0.3">
      <c r="A11" s="53" t="s">
        <v>84</v>
      </c>
      <c r="B11" s="57">
        <f>+B7/B10</f>
        <v>1198.0060980561311</v>
      </c>
      <c r="C11" s="57">
        <f t="shared" ref="C11:AH11" si="4">+C7/C10</f>
        <v>1236.2989741438882</v>
      </c>
      <c r="D11" s="57">
        <f t="shared" si="4"/>
        <v>1214.2376852143709</v>
      </c>
      <c r="E11" s="57">
        <f t="shared" si="4"/>
        <v>1322.6856137114128</v>
      </c>
      <c r="F11" s="57">
        <f t="shared" si="4"/>
        <v>1161.440776354071</v>
      </c>
      <c r="G11" s="57">
        <f t="shared" si="4"/>
        <v>1284.3857329323723</v>
      </c>
      <c r="H11" s="57">
        <f t="shared" si="4"/>
        <v>1296.7956207809582</v>
      </c>
      <c r="I11" s="57">
        <f t="shared" si="4"/>
        <v>1487.2257882157555</v>
      </c>
      <c r="J11" s="57">
        <f t="shared" si="4"/>
        <v>1186.5068563914328</v>
      </c>
      <c r="K11" s="57">
        <f t="shared" si="4"/>
        <v>1686.5652731506366</v>
      </c>
      <c r="L11" s="57">
        <f t="shared" si="4"/>
        <v>1767.2638008660335</v>
      </c>
      <c r="M11" s="57">
        <f t="shared" si="4"/>
        <v>1820.5741236959532</v>
      </c>
      <c r="N11" s="57">
        <f t="shared" si="4"/>
        <v>1808.1787795455841</v>
      </c>
      <c r="O11" s="57">
        <f t="shared" si="4"/>
        <v>2091.8664489172725</v>
      </c>
      <c r="P11" s="57">
        <f t="shared" si="4"/>
        <v>2029.2965637817033</v>
      </c>
      <c r="Q11" s="57">
        <f t="shared" si="4"/>
        <v>1923.8160416107323</v>
      </c>
      <c r="R11" s="57">
        <f t="shared" si="4"/>
        <v>1906.8874457626976</v>
      </c>
      <c r="S11" s="57">
        <f t="shared" si="4"/>
        <v>1561.8680580314178</v>
      </c>
      <c r="T11" s="57">
        <f t="shared" si="4"/>
        <v>1275.3649271383476</v>
      </c>
      <c r="U11" s="57">
        <f t="shared" si="4"/>
        <v>1427.4429920198836</v>
      </c>
      <c r="V11" s="57">
        <f t="shared" si="4"/>
        <v>1324.8426762725608</v>
      </c>
      <c r="W11" s="57">
        <f t="shared" si="4"/>
        <v>1456.06595329073</v>
      </c>
      <c r="X11" s="57">
        <f t="shared" si="4"/>
        <v>1298.7633279145018</v>
      </c>
      <c r="Y11" s="57">
        <f t="shared" si="4"/>
        <v>1377.625793813218</v>
      </c>
      <c r="Z11" s="57">
        <f t="shared" si="4"/>
        <v>1249.7074659407217</v>
      </c>
      <c r="AA11" s="57">
        <f t="shared" si="4"/>
        <v>1250.6493763069705</v>
      </c>
      <c r="AB11" s="57">
        <f t="shared" si="4"/>
        <v>1245.5093239823298</v>
      </c>
      <c r="AC11" s="57">
        <f t="shared" si="4"/>
        <v>1353.1157961328599</v>
      </c>
      <c r="AD11" s="57">
        <f t="shared" si="4"/>
        <v>1198.165322817955</v>
      </c>
      <c r="AE11" s="57">
        <f t="shared" si="4"/>
        <v>1173.3892580683216</v>
      </c>
      <c r="AF11" s="57">
        <f t="shared" si="4"/>
        <v>1236.2607775559195</v>
      </c>
      <c r="AG11" s="57">
        <f t="shared" si="4"/>
        <v>1408.5738472361979</v>
      </c>
      <c r="AH11" s="57">
        <f t="shared" si="4"/>
        <v>1192.0072095918158</v>
      </c>
      <c r="AI11" s="57">
        <f t="shared" ref="AI11" si="5">+AI7/AI10</f>
        <v>1188.423046679211</v>
      </c>
      <c r="AJ11" s="57">
        <f>+AJ7/AJ10</f>
        <v>1133.2682816595877</v>
      </c>
      <c r="AK11" s="57">
        <f>+AK7/AK10</f>
        <v>1268.388710513058</v>
      </c>
      <c r="AL11" s="57">
        <f>+AL7/AL10</f>
        <v>957.68267949680569</v>
      </c>
      <c r="AM11" s="57">
        <f>+AM7/AM10</f>
        <v>950.52011217489417</v>
      </c>
      <c r="AN11" s="90"/>
    </row>
    <row r="12" spans="1:40" ht="52.5" customHeight="1" x14ac:dyDescent="0.3">
      <c r="A12" s="53" t="s">
        <v>85</v>
      </c>
      <c r="B12" s="56">
        <v>314.46720625</v>
      </c>
      <c r="C12" s="56">
        <v>478.86095885000003</v>
      </c>
      <c r="D12" s="56">
        <v>474.58328738</v>
      </c>
      <c r="E12" s="56">
        <v>778.12609504</v>
      </c>
      <c r="F12" s="56">
        <v>718.73022808000007</v>
      </c>
      <c r="G12" s="56">
        <v>1298.8367923699998</v>
      </c>
      <c r="H12" s="56">
        <v>1625.11270541</v>
      </c>
      <c r="I12" s="56">
        <v>1674.58950392</v>
      </c>
      <c r="J12" s="56">
        <v>618.91159517999995</v>
      </c>
      <c r="K12" s="66">
        <v>722.13102017999995</v>
      </c>
      <c r="L12" s="56">
        <v>633.77258883000002</v>
      </c>
      <c r="M12" s="66">
        <v>935.87173382000003</v>
      </c>
      <c r="N12" s="56">
        <v>698.34998707</v>
      </c>
      <c r="O12" s="66">
        <v>879.25538699000003</v>
      </c>
      <c r="P12" s="56">
        <v>836.87532364999993</v>
      </c>
      <c r="Q12" s="66">
        <v>898.69213680999997</v>
      </c>
      <c r="R12" s="66">
        <v>1153.66550927</v>
      </c>
      <c r="S12" s="66">
        <v>1117.7619162000001</v>
      </c>
      <c r="T12" s="66">
        <v>973.22907361</v>
      </c>
      <c r="U12" s="66">
        <v>2081.8590620999998</v>
      </c>
      <c r="V12" s="66">
        <v>1166.28844142</v>
      </c>
      <c r="W12" s="56">
        <v>1994.24181458</v>
      </c>
      <c r="X12" s="56">
        <v>1582.17197738</v>
      </c>
      <c r="Y12" s="56">
        <v>3973.4916769800002</v>
      </c>
      <c r="Z12" s="56">
        <v>1829.54825347</v>
      </c>
      <c r="AA12" s="56">
        <v>1967.2654723000001</v>
      </c>
      <c r="AB12" s="56">
        <v>2306.01199004</v>
      </c>
      <c r="AC12" s="56">
        <v>4480.3689031499998</v>
      </c>
      <c r="AD12" s="56">
        <v>1986.7844765499999</v>
      </c>
      <c r="AE12" s="56">
        <v>3455.3547898900001</v>
      </c>
      <c r="AF12" s="56">
        <v>3173.6009410000001</v>
      </c>
      <c r="AG12" s="56">
        <v>5889.6617611599995</v>
      </c>
      <c r="AH12" s="120">
        <v>3272.58093147</v>
      </c>
      <c r="AI12" s="56">
        <f>4275.84906046+226.21680951</f>
        <v>4502.0658699699998</v>
      </c>
      <c r="AJ12" s="56">
        <v>5201.9054230399997</v>
      </c>
      <c r="AK12" s="56">
        <v>15849.07698921</v>
      </c>
      <c r="AL12" s="56">
        <v>6932.1063246499998</v>
      </c>
      <c r="AM12" s="56">
        <v>9414.13902762</v>
      </c>
    </row>
    <row r="13" spans="1:40" ht="52.5" customHeight="1" x14ac:dyDescent="0.3">
      <c r="A13" s="53" t="s">
        <v>215</v>
      </c>
      <c r="B13" s="81">
        <f>SUM(B7,B12)*B8</f>
        <v>361414.05311857944</v>
      </c>
      <c r="C13" s="81">
        <f t="shared" ref="C13:AH13" si="6">SUM(C7,C12)*C8</f>
        <v>352902.85601496918</v>
      </c>
      <c r="D13" s="81">
        <f t="shared" si="6"/>
        <v>338528.72119116981</v>
      </c>
      <c r="E13" s="81">
        <f t="shared" si="6"/>
        <v>359367.14690953353</v>
      </c>
      <c r="F13" s="81">
        <f t="shared" si="6"/>
        <v>310149.74842093798</v>
      </c>
      <c r="G13" s="81">
        <f t="shared" si="6"/>
        <v>346322.23609378253</v>
      </c>
      <c r="H13" s="81">
        <f t="shared" si="6"/>
        <v>350564.23211622797</v>
      </c>
      <c r="I13" s="81">
        <f t="shared" si="6"/>
        <v>498252.1903442344</v>
      </c>
      <c r="J13" s="81">
        <f t="shared" si="6"/>
        <v>372815.2487202289</v>
      </c>
      <c r="K13" s="81">
        <f t="shared" si="6"/>
        <v>485466.14160044538</v>
      </c>
      <c r="L13" s="81">
        <f t="shared" si="6"/>
        <v>495842.52117296145</v>
      </c>
      <c r="M13" s="81">
        <f t="shared" si="6"/>
        <v>509010.52864690166</v>
      </c>
      <c r="N13" s="81">
        <f t="shared" si="6"/>
        <v>458586.49680124869</v>
      </c>
      <c r="O13" s="81">
        <f t="shared" si="6"/>
        <v>543347.05755277001</v>
      </c>
      <c r="P13" s="81">
        <f t="shared" si="6"/>
        <v>522579.20646810625</v>
      </c>
      <c r="Q13" s="81">
        <f t="shared" si="6"/>
        <v>506660.44957492163</v>
      </c>
      <c r="R13" s="81">
        <f t="shared" si="6"/>
        <v>507811.26989856048</v>
      </c>
      <c r="S13" s="81">
        <f t="shared" si="6"/>
        <v>545284.98284255667</v>
      </c>
      <c r="T13" s="81">
        <f t="shared" si="6"/>
        <v>549727.72906468599</v>
      </c>
      <c r="U13" s="81">
        <f t="shared" si="6"/>
        <v>519651.40749328927</v>
      </c>
      <c r="V13" s="81">
        <f t="shared" si="6"/>
        <v>485831.58307120082</v>
      </c>
      <c r="W13" s="81">
        <f t="shared" si="6"/>
        <v>483116.62662746583</v>
      </c>
      <c r="X13" s="81">
        <f t="shared" si="6"/>
        <v>513538.40907702525</v>
      </c>
      <c r="Y13" s="81">
        <f t="shared" si="6"/>
        <v>520743.02774717967</v>
      </c>
      <c r="Z13" s="81">
        <f t="shared" si="6"/>
        <v>460272.7487886381</v>
      </c>
      <c r="AA13" s="81">
        <f t="shared" si="6"/>
        <v>477918.11434527964</v>
      </c>
      <c r="AB13" s="81">
        <f t="shared" si="6"/>
        <v>479256.20473318145</v>
      </c>
      <c r="AC13" s="81">
        <f t="shared" si="6"/>
        <v>523834.11498634383</v>
      </c>
      <c r="AD13" s="81">
        <f t="shared" si="6"/>
        <v>439852.45982566377</v>
      </c>
      <c r="AE13" s="81">
        <f t="shared" si="6"/>
        <v>408994.07558724441</v>
      </c>
      <c r="AF13" s="81">
        <f t="shared" si="6"/>
        <v>404865.17397714214</v>
      </c>
      <c r="AG13" s="81">
        <f t="shared" si="6"/>
        <v>442185.77911261364</v>
      </c>
      <c r="AH13" s="81">
        <f t="shared" si="6"/>
        <v>342865.41813375143</v>
      </c>
      <c r="AI13" s="81">
        <f t="shared" ref="AI13" si="7">SUM(AI7,AI12)*AI8</f>
        <v>330543.41235297511</v>
      </c>
      <c r="AJ13" s="81">
        <f>SUM(AJ7,AJ12)*AJ8</f>
        <v>304123.1413568061</v>
      </c>
      <c r="AK13" s="81">
        <f>SUM(AK7,AK12)*AK8</f>
        <v>362558.22418669821</v>
      </c>
      <c r="AL13" s="81">
        <f>SUM(AL7,AL12)*AL8</f>
        <v>256498.53861359527</v>
      </c>
      <c r="AM13" s="81">
        <f>SUM(AM7,AM12)*AM8</f>
        <v>253388.88882011097</v>
      </c>
    </row>
    <row r="14" spans="1:40" ht="52.5" customHeight="1" x14ac:dyDescent="0.3">
      <c r="A14" s="53" t="s">
        <v>86</v>
      </c>
      <c r="B14" s="181">
        <v>7.2591190403288736E-2</v>
      </c>
      <c r="C14" s="181">
        <v>7.6060903278814096E-2</v>
      </c>
      <c r="D14" s="181">
        <v>7.7749565866389994E-2</v>
      </c>
      <c r="E14" s="181">
        <v>8.5571183709206716E-2</v>
      </c>
      <c r="F14" s="181">
        <v>6.1635656176719449E-2</v>
      </c>
      <c r="G14" s="181">
        <v>7.0222008200981109E-2</v>
      </c>
      <c r="H14" s="181">
        <v>7.3496506323127722E-2</v>
      </c>
      <c r="I14" s="181">
        <v>0.11637733438701836</v>
      </c>
      <c r="J14" s="181">
        <v>7.7755267567067438E-2</v>
      </c>
      <c r="K14" s="181">
        <v>0.11308978698358528</v>
      </c>
      <c r="L14" s="181">
        <v>0.12122752293775013</v>
      </c>
      <c r="M14" s="181">
        <v>0.12968642586162818</v>
      </c>
      <c r="N14" s="181">
        <v>9.8960236946928334E-2</v>
      </c>
      <c r="O14" s="181">
        <v>0.12354210456136036</v>
      </c>
      <c r="P14" s="181">
        <v>0.12504403423242744</v>
      </c>
      <c r="Q14" s="181">
        <v>0.12851007586106886</v>
      </c>
      <c r="R14" s="181">
        <v>9.8082755534520435E-2</v>
      </c>
      <c r="S14" s="181">
        <v>0.11510739602383153</v>
      </c>
      <c r="T14" s="181">
        <v>0.13318634883457836</v>
      </c>
      <c r="U14" s="181">
        <v>0.13781068808379218</v>
      </c>
      <c r="V14" s="181">
        <v>0.10167224208084931</v>
      </c>
      <c r="W14" s="181">
        <v>0.1094100658505409</v>
      </c>
      <c r="X14" s="181">
        <v>0.13232865739531025</v>
      </c>
      <c r="Y14" s="181">
        <v>0.14606217564092991</v>
      </c>
      <c r="Z14" s="182">
        <v>0.10888293191158835</v>
      </c>
      <c r="AA14" s="182">
        <v>0.11908119469992599</v>
      </c>
      <c r="AB14" s="182">
        <v>0.12821984246586438</v>
      </c>
      <c r="AC14" s="182">
        <v>0.1538718133043176</v>
      </c>
      <c r="AD14" s="182">
        <v>9.4514360083681484E-2</v>
      </c>
      <c r="AE14" s="182">
        <v>9.6325048247399986E-2</v>
      </c>
      <c r="AF14" s="182">
        <v>0.10467555221570191</v>
      </c>
      <c r="AG14" s="182">
        <v>0.12411534838086317</v>
      </c>
      <c r="AH14" s="182">
        <v>5.988407468734766E-2</v>
      </c>
      <c r="AI14" s="182">
        <v>6.7363061477457187E-2</v>
      </c>
      <c r="AJ14" s="182">
        <v>7.5574293719046545E-2</v>
      </c>
      <c r="AK14" s="182">
        <v>0.10170322291434622</v>
      </c>
      <c r="AL14" s="59"/>
      <c r="AM14" s="59"/>
    </row>
    <row r="15" spans="1:40" ht="21.75" customHeight="1" x14ac:dyDescent="0.3">
      <c r="B15" s="61"/>
      <c r="C15" s="61"/>
      <c r="D15" s="61"/>
      <c r="E15" s="61"/>
      <c r="F15" s="61"/>
      <c r="G15" s="61"/>
      <c r="H15" s="61"/>
      <c r="I15" s="61"/>
      <c r="J15" s="61"/>
      <c r="K15" s="61"/>
      <c r="L15" s="61"/>
      <c r="M15" s="61"/>
      <c r="N15" s="61"/>
      <c r="O15" s="61"/>
      <c r="P15" s="61"/>
      <c r="Q15" s="61"/>
      <c r="R15" s="61"/>
      <c r="S15" s="61"/>
      <c r="T15" s="61"/>
      <c r="U15" s="61"/>
      <c r="V15" s="61"/>
      <c r="W15" s="61"/>
      <c r="X15" s="61"/>
      <c r="Y15" s="61"/>
    </row>
    <row r="16" spans="1:40" x14ac:dyDescent="0.3">
      <c r="A16" s="62"/>
      <c r="B16" s="61"/>
      <c r="C16" s="61"/>
      <c r="D16" s="61"/>
      <c r="E16" s="61"/>
      <c r="F16" s="61"/>
      <c r="G16" s="61"/>
      <c r="H16" s="61"/>
      <c r="I16" s="61"/>
      <c r="J16" s="61"/>
      <c r="K16" s="61"/>
      <c r="L16" s="61"/>
      <c r="M16" s="61"/>
      <c r="N16" s="61"/>
      <c r="O16" s="61"/>
      <c r="P16" s="61"/>
      <c r="Q16" s="61"/>
      <c r="R16" s="61"/>
      <c r="S16" s="61"/>
      <c r="T16" s="61"/>
      <c r="U16" s="61"/>
      <c r="V16" s="61"/>
      <c r="W16" s="61"/>
      <c r="X16" s="61"/>
      <c r="Y16" s="61"/>
    </row>
    <row r="17" spans="1:25" x14ac:dyDescent="0.3">
      <c r="A17" s="63"/>
      <c r="B17" s="61"/>
      <c r="C17" s="61"/>
      <c r="D17" s="61"/>
      <c r="E17" s="61"/>
      <c r="F17" s="61"/>
      <c r="G17" s="61"/>
      <c r="H17" s="61"/>
      <c r="I17" s="61"/>
      <c r="J17" s="61"/>
      <c r="K17" s="61"/>
      <c r="L17" s="61"/>
      <c r="M17" s="61"/>
      <c r="N17" s="61"/>
      <c r="O17" s="61"/>
      <c r="P17" s="61"/>
      <c r="Q17" s="61"/>
      <c r="R17" s="61"/>
      <c r="S17" s="61"/>
      <c r="T17" s="61"/>
      <c r="U17" s="61"/>
      <c r="V17" s="61"/>
      <c r="W17" s="61"/>
      <c r="X17" s="61"/>
      <c r="Y17" s="61"/>
    </row>
    <row r="18" spans="1:25" x14ac:dyDescent="0.3">
      <c r="B18" s="61"/>
      <c r="C18" s="61"/>
      <c r="D18" s="61"/>
      <c r="E18" s="61"/>
      <c r="F18" s="61"/>
      <c r="G18" s="61"/>
      <c r="H18" s="61"/>
      <c r="I18" s="61"/>
      <c r="J18" s="61"/>
      <c r="K18" s="61"/>
      <c r="L18" s="61"/>
      <c r="M18" s="61"/>
      <c r="N18" s="61"/>
      <c r="O18" s="61"/>
      <c r="P18" s="61"/>
      <c r="Q18" s="61"/>
      <c r="R18" s="61"/>
      <c r="S18" s="61"/>
      <c r="T18" s="61"/>
      <c r="U18" s="61"/>
      <c r="V18" s="61"/>
      <c r="W18" s="61"/>
      <c r="X18" s="61"/>
      <c r="Y18" s="61"/>
    </row>
    <row r="19" spans="1:25" x14ac:dyDescent="0.3">
      <c r="A19" s="63"/>
      <c r="B19" s="61"/>
      <c r="C19" s="61"/>
      <c r="D19" s="61"/>
      <c r="E19" s="61"/>
      <c r="F19" s="61"/>
      <c r="G19" s="61"/>
      <c r="H19" s="61"/>
      <c r="I19" s="61"/>
      <c r="J19" s="61"/>
      <c r="K19" s="61"/>
      <c r="L19" s="61"/>
      <c r="M19" s="61"/>
      <c r="N19" s="61"/>
      <c r="O19" s="61"/>
      <c r="P19" s="61"/>
      <c r="Q19" s="61"/>
      <c r="R19" s="61"/>
      <c r="S19" s="61"/>
      <c r="T19" s="61"/>
      <c r="U19" s="61"/>
      <c r="V19" s="61"/>
      <c r="W19" s="61"/>
      <c r="X19" s="61"/>
      <c r="Y19" s="61"/>
    </row>
    <row r="20" spans="1:25" x14ac:dyDescent="0.3">
      <c r="B20" s="61"/>
      <c r="C20" s="61"/>
      <c r="D20" s="61"/>
      <c r="E20" s="61"/>
      <c r="F20" s="61"/>
      <c r="G20" s="61"/>
      <c r="H20" s="61"/>
      <c r="I20" s="61"/>
      <c r="J20" s="61"/>
      <c r="K20" s="61"/>
      <c r="L20" s="61"/>
      <c r="M20" s="61"/>
      <c r="N20" s="61"/>
      <c r="O20" s="61"/>
      <c r="P20" s="61"/>
      <c r="Q20" s="61"/>
      <c r="R20" s="61"/>
      <c r="S20" s="61"/>
      <c r="T20" s="61"/>
      <c r="U20" s="61"/>
      <c r="V20" s="61"/>
      <c r="W20" s="61"/>
      <c r="X20" s="61"/>
      <c r="Y20" s="61"/>
    </row>
    <row r="21" spans="1:25" x14ac:dyDescent="0.3">
      <c r="B21" s="61"/>
      <c r="C21" s="61"/>
      <c r="D21" s="61"/>
      <c r="E21" s="61"/>
      <c r="F21" s="61"/>
      <c r="G21" s="61"/>
      <c r="H21" s="61"/>
      <c r="I21" s="61"/>
      <c r="J21" s="61"/>
      <c r="K21" s="61"/>
      <c r="L21" s="61"/>
      <c r="M21" s="61"/>
      <c r="N21" s="61"/>
      <c r="O21" s="61"/>
      <c r="P21" s="61"/>
      <c r="Q21" s="61"/>
      <c r="R21" s="61"/>
      <c r="S21" s="61"/>
      <c r="T21" s="61"/>
      <c r="U21" s="61"/>
      <c r="V21" s="61"/>
      <c r="W21" s="61"/>
      <c r="X21" s="61"/>
      <c r="Y21" s="61"/>
    </row>
    <row r="22" spans="1:25" x14ac:dyDescent="0.3">
      <c r="B22" s="61"/>
      <c r="C22" s="61"/>
      <c r="D22" s="61"/>
      <c r="E22" s="61"/>
      <c r="F22" s="61"/>
      <c r="G22" s="61"/>
      <c r="H22" s="61"/>
      <c r="I22" s="61"/>
      <c r="J22" s="61"/>
      <c r="K22" s="61"/>
      <c r="L22" s="61"/>
      <c r="M22" s="61"/>
      <c r="N22" s="61"/>
      <c r="O22" s="61"/>
      <c r="P22" s="61"/>
      <c r="Q22" s="61"/>
      <c r="R22" s="61"/>
      <c r="S22" s="61"/>
      <c r="T22" s="61"/>
      <c r="U22" s="61"/>
      <c r="V22" s="61"/>
      <c r="W22" s="61"/>
      <c r="X22" s="61"/>
      <c r="Y22" s="61"/>
    </row>
    <row r="23" spans="1:25" x14ac:dyDescent="0.3">
      <c r="B23" s="61"/>
      <c r="C23" s="61"/>
      <c r="D23" s="61"/>
      <c r="E23" s="61"/>
      <c r="F23" s="61"/>
      <c r="G23" s="61"/>
      <c r="H23" s="61"/>
      <c r="I23" s="61"/>
      <c r="J23" s="61"/>
      <c r="K23" s="61"/>
      <c r="L23" s="61"/>
      <c r="M23" s="61"/>
      <c r="N23" s="61"/>
      <c r="O23" s="61"/>
      <c r="P23" s="61"/>
      <c r="Q23" s="61"/>
      <c r="R23" s="61"/>
      <c r="S23" s="61"/>
      <c r="T23" s="61"/>
      <c r="U23" s="61"/>
      <c r="V23" s="61"/>
      <c r="W23" s="61"/>
      <c r="X23" s="61"/>
      <c r="Y23" s="61"/>
    </row>
    <row r="24" spans="1:25" x14ac:dyDescent="0.3">
      <c r="B24" s="61"/>
      <c r="C24" s="61"/>
      <c r="D24" s="61"/>
      <c r="E24" s="61"/>
      <c r="F24" s="61"/>
      <c r="G24" s="61"/>
      <c r="H24" s="61"/>
      <c r="I24" s="61"/>
      <c r="J24" s="61"/>
      <c r="K24" s="61"/>
      <c r="L24" s="61"/>
      <c r="M24" s="61"/>
      <c r="N24" s="61"/>
      <c r="O24" s="61"/>
      <c r="P24" s="61"/>
      <c r="Q24" s="61"/>
      <c r="R24" s="61"/>
      <c r="S24" s="61"/>
      <c r="T24" s="61"/>
      <c r="U24" s="61"/>
      <c r="V24" s="61"/>
      <c r="W24" s="61"/>
      <c r="X24" s="61"/>
      <c r="Y24" s="61"/>
    </row>
    <row r="37" spans="2:34" x14ac:dyDescent="0.3">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row>
    <row r="38" spans="2:34" x14ac:dyDescent="0.3">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row>
    <row r="39" spans="2:34" x14ac:dyDescent="0.3">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row>
    <row r="40" spans="2:34" x14ac:dyDescent="0.3">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row>
    <row r="42" spans="2:34" x14ac:dyDescent="0.3">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row>
    <row r="43" spans="2:34" x14ac:dyDescent="0.3">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row>
  </sheetData>
  <mergeCells count="1">
    <mergeCell ref="A1:H1"/>
  </mergeCell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FE329-1BF0-4611-8334-D4BEF3845CF5}">
  <dimension ref="A1:AM6"/>
  <sheetViews>
    <sheetView topLeftCell="AC1" workbookViewId="0">
      <selection activeCell="AN15" sqref="AN15"/>
    </sheetView>
  </sheetViews>
  <sheetFormatPr baseColWidth="10" defaultRowHeight="15" x14ac:dyDescent="0.25"/>
  <sheetData>
    <row r="1" spans="1:39" x14ac:dyDescent="0.25">
      <c r="A1" t="s">
        <v>221</v>
      </c>
    </row>
    <row r="2" spans="1:39" x14ac:dyDescent="0.25">
      <c r="B2" s="55">
        <v>41729</v>
      </c>
      <c r="C2" s="55">
        <v>41820</v>
      </c>
      <c r="D2" s="55">
        <v>41912</v>
      </c>
      <c r="E2" s="55">
        <v>42004</v>
      </c>
      <c r="F2" s="55">
        <v>42094</v>
      </c>
      <c r="G2" s="55">
        <v>42185</v>
      </c>
      <c r="H2" s="55">
        <v>42277</v>
      </c>
      <c r="I2" s="55">
        <v>42369</v>
      </c>
      <c r="J2" s="55">
        <v>42460</v>
      </c>
      <c r="K2" s="55">
        <v>42551</v>
      </c>
      <c r="L2" s="55">
        <v>42643</v>
      </c>
      <c r="M2" s="55">
        <v>42735</v>
      </c>
      <c r="N2" s="55">
        <v>42825</v>
      </c>
      <c r="O2" s="55">
        <v>42916</v>
      </c>
      <c r="P2" s="55">
        <v>43008</v>
      </c>
      <c r="Q2" s="55">
        <v>43100</v>
      </c>
      <c r="R2" s="55">
        <v>43190</v>
      </c>
      <c r="S2" s="55">
        <v>43281</v>
      </c>
      <c r="T2" s="55">
        <v>43373</v>
      </c>
      <c r="U2" s="55">
        <v>43465</v>
      </c>
      <c r="V2" s="55">
        <v>43555</v>
      </c>
      <c r="W2" s="55">
        <v>43646</v>
      </c>
      <c r="X2" s="55">
        <v>43738</v>
      </c>
      <c r="Y2" s="55">
        <v>43830</v>
      </c>
      <c r="Z2" s="55">
        <v>43921</v>
      </c>
      <c r="AA2" s="55">
        <v>44012</v>
      </c>
      <c r="AB2" s="55">
        <v>44104</v>
      </c>
      <c r="AC2" s="55">
        <v>44196</v>
      </c>
      <c r="AD2" s="55">
        <v>44286</v>
      </c>
      <c r="AE2" s="55">
        <v>44377</v>
      </c>
      <c r="AF2" s="55">
        <v>44469</v>
      </c>
      <c r="AG2" s="55">
        <v>44561</v>
      </c>
      <c r="AH2" s="55">
        <v>44651</v>
      </c>
      <c r="AI2" s="55">
        <v>44742</v>
      </c>
      <c r="AJ2" s="55">
        <v>44834</v>
      </c>
      <c r="AK2" s="55">
        <v>44926</v>
      </c>
      <c r="AL2" s="55">
        <v>45016</v>
      </c>
      <c r="AM2" s="55">
        <v>45107</v>
      </c>
    </row>
    <row r="3" spans="1:39" x14ac:dyDescent="0.25">
      <c r="A3" t="s">
        <v>222</v>
      </c>
      <c r="B3" s="139">
        <f>+'Evolución Deuda Total'!B7</f>
        <v>9595.7892442100001</v>
      </c>
      <c r="C3" s="139">
        <f>+'Evolución Deuda Total'!C7</f>
        <v>10054.44866702</v>
      </c>
      <c r="D3" s="139">
        <f>+'Evolución Deuda Total'!D7</f>
        <v>10277.67203896</v>
      </c>
      <c r="E3" s="139">
        <f>+'Evolución Deuda Total'!E7</f>
        <v>11311.607368460001</v>
      </c>
      <c r="F3" s="139">
        <f>+'Evolución Deuda Total'!F7</f>
        <v>10243.55921521</v>
      </c>
      <c r="G3" s="139">
        <f>+'Evolución Deuda Total'!G7</f>
        <v>11670.570962289999</v>
      </c>
      <c r="H3" s="139">
        <f>+'Evolución Deuda Total'!H7</f>
        <v>12214.777311260001</v>
      </c>
      <c r="I3" s="139">
        <f>+'Evolución Deuda Total'!I7</f>
        <v>19341.371375745901</v>
      </c>
      <c r="J3" s="139">
        <f>+'Evolución Deuda Total'!J7</f>
        <v>17301.287027842955</v>
      </c>
      <c r="K3" s="139">
        <f>+'Evolución Deuda Total'!K7</f>
        <v>25163.553875407499</v>
      </c>
      <c r="L3" s="139">
        <f>+'Evolución Deuda Total'!L7</f>
        <v>26974.277571758528</v>
      </c>
      <c r="M3" s="139">
        <f>+'Evolución Deuda Total'!M7</f>
        <v>28856.463975405597</v>
      </c>
      <c r="N3" s="139">
        <f>+'Evolución Deuda Total'!N7</f>
        <v>27813.044351214266</v>
      </c>
      <c r="O3" s="139">
        <f>+'Evolución Deuda Total'!O7</f>
        <v>34721.845252353349</v>
      </c>
      <c r="P3" s="139">
        <f>+'Evolución Deuda Total'!P7</f>
        <v>35143.966680540674</v>
      </c>
      <c r="Q3" s="139">
        <f>+'Evolución Deuda Total'!Q7</f>
        <v>36118.107128408214</v>
      </c>
      <c r="R3" s="139">
        <f>+'Evolución Deuda Total'!R7</f>
        <v>38411.005886231746</v>
      </c>
      <c r="S3" s="139">
        <f>+'Evolución Deuda Total'!S7</f>
        <v>45078.167330485368</v>
      </c>
      <c r="T3" s="139">
        <f>+'Evolución Deuda Total'!T7</f>
        <v>52158.216815698863</v>
      </c>
      <c r="U3" s="139">
        <f>+'Evolución Deuda Total'!U7</f>
        <v>53969.19287518537</v>
      </c>
      <c r="V3" s="139">
        <f>+'Evolución Deuda Total'!V7</f>
        <v>57436.301997247203</v>
      </c>
      <c r="W3" s="139">
        <f>+'Evolución Deuda Total'!W7</f>
        <v>61807.524405070901</v>
      </c>
      <c r="X3" s="139">
        <f>+'Evolución Deuda Total'!X7</f>
        <v>74754.60925710127</v>
      </c>
      <c r="Y3" s="139">
        <f>+'Evolución Deuda Total'!Y7</f>
        <v>82512.896920442698</v>
      </c>
      <c r="Z3" s="139">
        <f>+'Evolución Deuda Total'!Z7</f>
        <v>80568.265416958544</v>
      </c>
      <c r="AA3" s="139">
        <f>+'Evolución Deuda Total'!AA7</f>
        <v>88114.501807707595</v>
      </c>
      <c r="AB3" s="139">
        <f>+'Evolución Deuda Total'!AB7</f>
        <v>94876.672754353975</v>
      </c>
      <c r="AC3" s="139">
        <f>+'Evolución Deuda Total'!AC7</f>
        <v>113857.92866559949</v>
      </c>
      <c r="AD3" s="139">
        <f>+'Evolución Deuda Total'!AD7</f>
        <v>110213.2372194096</v>
      </c>
      <c r="AE3" s="139">
        <f>+'Evolución Deuda Total'!AE7</f>
        <v>112324.6814903288</v>
      </c>
      <c r="AF3" s="139">
        <f>+'Evolución Deuda Total'!AF7</f>
        <v>122062.20787198372</v>
      </c>
      <c r="AG3" s="139">
        <f>+'Evolución Deuda Total'!AG7</f>
        <v>144730.96280351933</v>
      </c>
      <c r="AH3" s="139">
        <f>+'Evolución Deuda Total'!AH7</f>
        <v>132286.93370824342</v>
      </c>
      <c r="AI3" s="139">
        <f>+'Evolución Deuda Total'!AI7</f>
        <v>148808.39178993742</v>
      </c>
      <c r="AJ3" s="139">
        <f>+'Evolución Deuda Total'!AJ7</f>
        <v>166947.41691268218</v>
      </c>
      <c r="AK3" s="139">
        <f>+'Evolución Deuda Total'!AK7</f>
        <v>224667.53603237009</v>
      </c>
      <c r="AL3" s="139">
        <f>+'Evolución Deuda Total'!AL7</f>
        <v>200144.47512748229</v>
      </c>
      <c r="AM3" s="139">
        <f>+'Evolución Deuda Total'!AM7</f>
        <v>243974.74979249097</v>
      </c>
    </row>
    <row r="4" spans="1:39" x14ac:dyDescent="0.25">
      <c r="A4" t="s">
        <v>223</v>
      </c>
      <c r="B4">
        <v>132189.44600439098</v>
      </c>
      <c r="C4">
        <v>132189.44600439098</v>
      </c>
      <c r="D4">
        <v>132189.44600439098</v>
      </c>
      <c r="E4">
        <v>132189.44600439098</v>
      </c>
      <c r="F4">
        <v>166195.34617819352</v>
      </c>
      <c r="G4">
        <v>166195.34617819352</v>
      </c>
      <c r="H4">
        <v>166195.34617819352</v>
      </c>
      <c r="I4">
        <v>166195.34617819352</v>
      </c>
      <c r="J4">
        <v>222509.51696513436</v>
      </c>
      <c r="K4">
        <v>222509.51696513436</v>
      </c>
      <c r="L4">
        <v>222509.51696513436</v>
      </c>
      <c r="M4">
        <v>222509.51696513436</v>
      </c>
      <c r="N4">
        <v>281052.72591586661</v>
      </c>
      <c r="O4">
        <v>281052.72591586661</v>
      </c>
      <c r="P4">
        <v>281052.72591586661</v>
      </c>
      <c r="Q4">
        <v>281052.72591586661</v>
      </c>
      <c r="R4">
        <v>391618.33980809106</v>
      </c>
      <c r="S4">
        <v>391618.33980809106</v>
      </c>
      <c r="T4">
        <v>391618.33980809106</v>
      </c>
      <c r="U4">
        <v>391618.33980809106</v>
      </c>
      <c r="V4">
        <v>564916.25267370534</v>
      </c>
      <c r="W4">
        <v>564916.25267370534</v>
      </c>
      <c r="X4">
        <v>564916.25267370534</v>
      </c>
      <c r="Y4">
        <v>564916.25267370534</v>
      </c>
      <c r="Z4">
        <v>739953.12215122033</v>
      </c>
      <c r="AA4">
        <v>739953.12215122033</v>
      </c>
      <c r="AB4">
        <v>739953.12215122033</v>
      </c>
      <c r="AC4">
        <v>739953.12215122033</v>
      </c>
      <c r="AD4">
        <v>1166100.4435921544</v>
      </c>
      <c r="AE4">
        <v>1166100.4435921544</v>
      </c>
      <c r="AF4">
        <v>1166100.4435921544</v>
      </c>
      <c r="AG4">
        <v>1166100.4435921544</v>
      </c>
      <c r="AH4">
        <v>2209050.3092668322</v>
      </c>
      <c r="AI4">
        <v>2209050.3092668322</v>
      </c>
      <c r="AJ4">
        <v>2209050.3092668322</v>
      </c>
      <c r="AK4">
        <v>2209050.3092668322</v>
      </c>
    </row>
    <row r="6" spans="1:39" x14ac:dyDescent="0.25">
      <c r="A6" t="s">
        <v>224</v>
      </c>
      <c r="B6" s="149">
        <f>+B3/B4</f>
        <v>7.2591190403288736E-2</v>
      </c>
      <c r="C6" s="149">
        <f t="shared" ref="C6:AK6" si="0">+C3/C4</f>
        <v>7.6060903278814096E-2</v>
      </c>
      <c r="D6" s="149">
        <f t="shared" si="0"/>
        <v>7.7749565866389994E-2</v>
      </c>
      <c r="E6" s="149">
        <f t="shared" si="0"/>
        <v>8.5571183709206716E-2</v>
      </c>
      <c r="F6" s="149">
        <f t="shared" si="0"/>
        <v>6.1635656176719449E-2</v>
      </c>
      <c r="G6" s="149">
        <f t="shared" si="0"/>
        <v>7.0222008200981109E-2</v>
      </c>
      <c r="H6" s="149">
        <f t="shared" si="0"/>
        <v>7.3496506323127722E-2</v>
      </c>
      <c r="I6" s="149">
        <f t="shared" si="0"/>
        <v>0.11637733438701836</v>
      </c>
      <c r="J6" s="149">
        <f t="shared" si="0"/>
        <v>7.7755267567067438E-2</v>
      </c>
      <c r="K6" s="149">
        <f t="shared" si="0"/>
        <v>0.11308978698358528</v>
      </c>
      <c r="L6" s="149">
        <f t="shared" si="0"/>
        <v>0.12122752293775013</v>
      </c>
      <c r="M6" s="149">
        <f t="shared" si="0"/>
        <v>0.12968642586162818</v>
      </c>
      <c r="N6" s="149">
        <f t="shared" si="0"/>
        <v>9.8960236946928334E-2</v>
      </c>
      <c r="O6" s="149">
        <f t="shared" si="0"/>
        <v>0.12354210456136036</v>
      </c>
      <c r="P6" s="149">
        <f t="shared" si="0"/>
        <v>0.12504403423242744</v>
      </c>
      <c r="Q6" s="149">
        <f t="shared" si="0"/>
        <v>0.12851007586106886</v>
      </c>
      <c r="R6" s="149">
        <f t="shared" si="0"/>
        <v>9.8082755534520435E-2</v>
      </c>
      <c r="S6" s="149">
        <f t="shared" si="0"/>
        <v>0.11510739602383153</v>
      </c>
      <c r="T6" s="149">
        <f t="shared" si="0"/>
        <v>0.13318634883457836</v>
      </c>
      <c r="U6" s="149">
        <f t="shared" si="0"/>
        <v>0.13781068808379218</v>
      </c>
      <c r="V6" s="149">
        <f t="shared" si="0"/>
        <v>0.10167224208084931</v>
      </c>
      <c r="W6" s="149">
        <f t="shared" si="0"/>
        <v>0.1094100658505409</v>
      </c>
      <c r="X6" s="149">
        <f t="shared" si="0"/>
        <v>0.13232865739531025</v>
      </c>
      <c r="Y6" s="149">
        <f t="shared" si="0"/>
        <v>0.14606217564092991</v>
      </c>
      <c r="Z6" s="149">
        <f t="shared" si="0"/>
        <v>0.10888293191158835</v>
      </c>
      <c r="AA6" s="149">
        <f t="shared" si="0"/>
        <v>0.11908119469992599</v>
      </c>
      <c r="AB6" s="149">
        <f t="shared" si="0"/>
        <v>0.12821984246586438</v>
      </c>
      <c r="AC6" s="149">
        <f t="shared" si="0"/>
        <v>0.1538718133043176</v>
      </c>
      <c r="AD6" s="149">
        <f t="shared" si="0"/>
        <v>9.4514360083681484E-2</v>
      </c>
      <c r="AE6" s="149">
        <f t="shared" si="0"/>
        <v>9.6325048247399986E-2</v>
      </c>
      <c r="AF6" s="149">
        <f t="shared" si="0"/>
        <v>0.10467555221570191</v>
      </c>
      <c r="AG6" s="149">
        <f t="shared" si="0"/>
        <v>0.12411534838086317</v>
      </c>
      <c r="AH6" s="149">
        <f t="shared" si="0"/>
        <v>5.988407468734766E-2</v>
      </c>
      <c r="AI6" s="149">
        <f t="shared" si="0"/>
        <v>6.7363061477457187E-2</v>
      </c>
      <c r="AJ6" s="149">
        <f t="shared" si="0"/>
        <v>7.5574293719046545E-2</v>
      </c>
      <c r="AK6" s="149">
        <f t="shared" si="0"/>
        <v>0.10170322291434622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11</vt:i4>
      </vt:variant>
    </vt:vector>
  </HeadingPairs>
  <TitlesOfParts>
    <vt:vector size="21" baseType="lpstr">
      <vt:lpstr>Servicios Deuda Anual</vt:lpstr>
      <vt:lpstr>Perfil Amort Mensual</vt:lpstr>
      <vt:lpstr>Perfil Int Mensual</vt:lpstr>
      <vt:lpstr>Gráficos</vt:lpstr>
      <vt:lpstr>Base Graf</vt:lpstr>
      <vt:lpstr>Ratios 2023</vt:lpstr>
      <vt:lpstr>Avales</vt:lpstr>
      <vt:lpstr>Evolución Deuda Total</vt:lpstr>
      <vt:lpstr>PBG</vt:lpstr>
      <vt:lpstr>IPC</vt:lpstr>
      <vt:lpstr>Acreedor_pesos</vt:lpstr>
      <vt:lpstr>Acreedor_USD</vt:lpstr>
      <vt:lpstr>Acreedor_UVA</vt:lpstr>
      <vt:lpstr>Por_moneda</vt:lpstr>
      <vt:lpstr>Por_tasa_int</vt:lpstr>
      <vt:lpstr>Servicio_pesos</vt:lpstr>
      <vt:lpstr>Servicio_USD</vt:lpstr>
      <vt:lpstr>Servicio_UVA</vt:lpstr>
      <vt:lpstr>Vto_en_pesos</vt:lpstr>
      <vt:lpstr>Vto_en_USD</vt:lpstr>
      <vt:lpstr>Vto_en_UVA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Alvaro Chaves</cp:lastModifiedBy>
  <dcterms:created xsi:type="dcterms:W3CDTF">2020-03-11T14:25:05Z</dcterms:created>
  <dcterms:modified xsi:type="dcterms:W3CDTF">2023-11-06T13:08:54Z</dcterms:modified>
</cp:coreProperties>
</file>