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Y:\AAA TABLERO DEUDA\NUEVO TABLERO\ACH\Informe trimestral de deuda\2023 - 12\"/>
    </mc:Choice>
  </mc:AlternateContent>
  <xr:revisionPtr revIDLastSave="0" documentId="13_ncr:1_{792BB6CE-9901-426E-85FE-0A2111E13234}" xr6:coauthVersionLast="47" xr6:coauthVersionMax="47" xr10:uidLastSave="{00000000-0000-0000-0000-000000000000}"/>
  <bookViews>
    <workbookView xWindow="-120" yWindow="-120" windowWidth="24240" windowHeight="13020" tabRatio="753" xr2:uid="{00000000-000D-0000-FFFF-FFFF00000000}"/>
  </bookViews>
  <sheets>
    <sheet name="Servicios Deuda Anual" sheetId="4" r:id="rId1"/>
    <sheet name="Perfil Amort Mensual" sheetId="2" r:id="rId2"/>
    <sheet name="Perfil Int Mensual" sheetId="3" r:id="rId3"/>
    <sheet name="Gráficos_2" sheetId="9" state="hidden" r:id="rId4"/>
    <sheet name="Gráficos" sheetId="13" r:id="rId5"/>
    <sheet name="Ratios 2023" sheetId="5" r:id="rId6"/>
    <sheet name="Avales" sheetId="12" r:id="rId7"/>
    <sheet name="Evolución Deuda Total" sheetId="6" r:id="rId8"/>
    <sheet name="IPC" sheetId="10" state="hidden" r:id="rId9"/>
    <sheet name="PBG" sheetId="11" state="hidden" r:id="rId10"/>
    <sheet name="Base Graf" sheetId="7" state="hidden" r:id="rId11"/>
  </sheets>
  <externalReferences>
    <externalReference r:id="rId12"/>
  </externalReferences>
  <definedNames>
    <definedName name="_Fill" localSheetId="7" hidden="1">#REF!</definedName>
    <definedName name="_Fill" localSheetId="2" hidden="1">#REF!</definedName>
    <definedName name="_Fill" localSheetId="5" hidden="1">#REF!</definedName>
    <definedName name="_Fill" hidden="1">#REF!</definedName>
    <definedName name="_xlnm._FilterDatabase" localSheetId="0" hidden="1">'Servicios Deuda Anual'!$A$10:$CT$18</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CHOOSE(Gráficos_2!$K$64,Acreedor_pesos,Acreedor_USD,Acreedor_UVA)</definedName>
    <definedName name="grafcomp">CHOOSE(Gráficos_2!$K$6,Por_tasa_int,Por_moneda)</definedName>
    <definedName name="grafserv">CHOOSE(Gráficos_2!$K$44,Servicio_pesos,Servicio_USD,Servicio_UVA)</definedName>
    <definedName name="grafvto">CHOOSE(Gráficos_2!$K$25,Vto_en_pesos,Vto_en_USD,Vto_en_UVA)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6" i="6" l="1"/>
  <c r="BG96" i="7"/>
  <c r="BG97" i="7" s="1"/>
  <c r="BG98" i="7" s="1"/>
  <c r="BG99" i="7" s="1"/>
  <c r="BG100" i="7" s="1"/>
  <c r="BG101" i="7" s="1"/>
  <c r="BI59" i="7"/>
  <c r="BI60" i="7" s="1"/>
  <c r="BI61" i="7" s="1"/>
  <c r="BI62" i="7" s="1"/>
  <c r="BI63" i="7" s="1"/>
  <c r="BI64" i="7" s="1"/>
  <c r="AQ24" i="7" l="1"/>
  <c r="D121" i="10" l="1"/>
  <c r="D122" i="10"/>
  <c r="D123" i="10"/>
  <c r="AN7" i="6"/>
  <c r="AN13" i="6" s="1"/>
  <c r="AN9" i="6" l="1"/>
  <c r="AN11" i="6"/>
  <c r="F14" i="5"/>
  <c r="E11" i="5"/>
  <c r="E8" i="5"/>
  <c r="S35" i="3"/>
  <c r="S6" i="3"/>
  <c r="AE46" i="4"/>
  <c r="AD46" i="4"/>
  <c r="AC46" i="4"/>
  <c r="AB46" i="4"/>
  <c r="AA46" i="4"/>
  <c r="Z46" i="4"/>
  <c r="Y46" i="4"/>
  <c r="X46" i="4"/>
  <c r="W46" i="4"/>
  <c r="V46" i="4"/>
  <c r="U46" i="4"/>
  <c r="T46" i="4"/>
  <c r="S46" i="4"/>
  <c r="R46" i="4"/>
  <c r="Q46" i="4"/>
  <c r="P46" i="4"/>
  <c r="AE45" i="4"/>
  <c r="AD45" i="4"/>
  <c r="AC45" i="4"/>
  <c r="AB45" i="4"/>
  <c r="AA45" i="4"/>
  <c r="Z45" i="4"/>
  <c r="Y45" i="4"/>
  <c r="X45" i="4"/>
  <c r="W45" i="4"/>
  <c r="V45" i="4"/>
  <c r="U45" i="4"/>
  <c r="T45" i="4"/>
  <c r="S45" i="4"/>
  <c r="R45" i="4"/>
  <c r="Q45" i="4"/>
  <c r="P45" i="4"/>
  <c r="AE44" i="4"/>
  <c r="AD44" i="4"/>
  <c r="AC44" i="4"/>
  <c r="AB44" i="4"/>
  <c r="AA44" i="4"/>
  <c r="Z44" i="4"/>
  <c r="Y44" i="4"/>
  <c r="X44" i="4"/>
  <c r="W44" i="4"/>
  <c r="V44" i="4"/>
  <c r="U44" i="4"/>
  <c r="T44" i="4"/>
  <c r="S44" i="4"/>
  <c r="R44" i="4"/>
  <c r="Q44" i="4"/>
  <c r="P44" i="4"/>
  <c r="AE43" i="4"/>
  <c r="AD43" i="4"/>
  <c r="AC43" i="4"/>
  <c r="AB43" i="4"/>
  <c r="AA43" i="4"/>
  <c r="Z43" i="4"/>
  <c r="Y43" i="4"/>
  <c r="X43" i="4"/>
  <c r="W43" i="4"/>
  <c r="V43" i="4"/>
  <c r="U43" i="4"/>
  <c r="T43" i="4"/>
  <c r="S43" i="4"/>
  <c r="R43" i="4"/>
  <c r="Q43" i="4"/>
  <c r="P43" i="4"/>
  <c r="AE42" i="4"/>
  <c r="AD42" i="4"/>
  <c r="AC42" i="4"/>
  <c r="AB42" i="4"/>
  <c r="AA42" i="4"/>
  <c r="Z42" i="4"/>
  <c r="Y42" i="4"/>
  <c r="X42" i="4"/>
  <c r="W42" i="4"/>
  <c r="V42" i="4"/>
  <c r="U42" i="4"/>
  <c r="T42" i="4"/>
  <c r="S42" i="4"/>
  <c r="R42" i="4"/>
  <c r="Q42" i="4"/>
  <c r="P42" i="4"/>
  <c r="AE41" i="4"/>
  <c r="AD41" i="4"/>
  <c r="AC41" i="4"/>
  <c r="AB41" i="4"/>
  <c r="AA41" i="4"/>
  <c r="Z41" i="4"/>
  <c r="Y41" i="4"/>
  <c r="X41" i="4"/>
  <c r="W41" i="4"/>
  <c r="V41" i="4"/>
  <c r="U41" i="4"/>
  <c r="T41" i="4"/>
  <c r="S41" i="4"/>
  <c r="R41" i="4"/>
  <c r="Q41" i="4"/>
  <c r="P41" i="4"/>
  <c r="AE40" i="4"/>
  <c r="AD40" i="4"/>
  <c r="AC40" i="4"/>
  <c r="AB40" i="4"/>
  <c r="AA40" i="4"/>
  <c r="Z40" i="4"/>
  <c r="Y40" i="4"/>
  <c r="X40" i="4"/>
  <c r="W40" i="4"/>
  <c r="V40" i="4"/>
  <c r="U40" i="4"/>
  <c r="T40" i="4"/>
  <c r="S40" i="4"/>
  <c r="R40" i="4"/>
  <c r="Q40" i="4"/>
  <c r="P40" i="4"/>
  <c r="AE39" i="4"/>
  <c r="AD39" i="4"/>
  <c r="AC39" i="4"/>
  <c r="AB39" i="4"/>
  <c r="AA39" i="4"/>
  <c r="Z39" i="4"/>
  <c r="Y39" i="4"/>
  <c r="X39" i="4"/>
  <c r="W39" i="4"/>
  <c r="V39" i="4"/>
  <c r="U39" i="4"/>
  <c r="T39" i="4"/>
  <c r="S39" i="4"/>
  <c r="R39" i="4"/>
  <c r="Q39" i="4"/>
  <c r="AE37" i="4"/>
  <c r="AD37" i="4"/>
  <c r="AB37" i="4"/>
  <c r="Z37" i="4"/>
  <c r="X37" i="4"/>
  <c r="V37" i="4"/>
  <c r="T37" i="4"/>
  <c r="R37" i="4"/>
  <c r="Q37" i="4"/>
  <c r="P37" i="4"/>
  <c r="AE36" i="4"/>
  <c r="AD36" i="4"/>
  <c r="AB36" i="4"/>
  <c r="Z36" i="4"/>
  <c r="X36" i="4"/>
  <c r="V36" i="4"/>
  <c r="T36" i="4"/>
  <c r="R36" i="4"/>
  <c r="Q36" i="4"/>
  <c r="P36" i="4"/>
  <c r="AE35" i="4"/>
  <c r="AD35" i="4"/>
  <c r="AB35" i="4"/>
  <c r="Z35" i="4"/>
  <c r="X35" i="4"/>
  <c r="V35" i="4"/>
  <c r="T35" i="4"/>
  <c r="R35" i="4"/>
  <c r="Q35" i="4"/>
  <c r="AE33" i="4"/>
  <c r="AD33" i="4"/>
  <c r="AC33" i="4"/>
  <c r="AB33" i="4"/>
  <c r="AA33" i="4"/>
  <c r="Z33" i="4"/>
  <c r="Y33" i="4"/>
  <c r="X33" i="4"/>
  <c r="W33" i="4"/>
  <c r="V33" i="4"/>
  <c r="U33" i="4"/>
  <c r="T33" i="4"/>
  <c r="S33" i="4"/>
  <c r="R33" i="4"/>
  <c r="Q33" i="4"/>
  <c r="P33" i="4"/>
  <c r="AE32" i="4"/>
  <c r="AD32" i="4"/>
  <c r="AC32" i="4"/>
  <c r="AB32" i="4"/>
  <c r="AA32" i="4"/>
  <c r="Z32" i="4"/>
  <c r="Y32" i="4"/>
  <c r="X32" i="4"/>
  <c r="W32" i="4"/>
  <c r="V32" i="4"/>
  <c r="U32" i="4"/>
  <c r="T32" i="4"/>
  <c r="R32" i="4"/>
  <c r="P32" i="4"/>
  <c r="AE31" i="4"/>
  <c r="AD31" i="4"/>
  <c r="AC31" i="4"/>
  <c r="AB31" i="4"/>
  <c r="AA31" i="4"/>
  <c r="Z31" i="4"/>
  <c r="Y31" i="4"/>
  <c r="X31" i="4"/>
  <c r="W31" i="4"/>
  <c r="V31" i="4"/>
  <c r="U31" i="4"/>
  <c r="T31" i="4"/>
  <c r="S31" i="4"/>
  <c r="R31" i="4"/>
  <c r="Q31" i="4"/>
  <c r="P31" i="4"/>
  <c r="AE30" i="4"/>
  <c r="AD30" i="4"/>
  <c r="AB30" i="4"/>
  <c r="Z30" i="4"/>
  <c r="X30" i="4"/>
  <c r="W30" i="4"/>
  <c r="V30" i="4"/>
  <c r="T30" i="4"/>
  <c r="R30" i="4"/>
  <c r="P30" i="4"/>
  <c r="AE29" i="4"/>
  <c r="AD29" i="4"/>
  <c r="AB29" i="4"/>
  <c r="Z29" i="4"/>
  <c r="X29" i="4"/>
  <c r="V29" i="4"/>
  <c r="T29" i="4"/>
  <c r="R29" i="4"/>
  <c r="Q29" i="4"/>
  <c r="P29" i="4"/>
  <c r="AE28" i="4"/>
  <c r="AD28" i="4"/>
  <c r="AC28" i="4"/>
  <c r="AB28" i="4"/>
  <c r="AA28" i="4"/>
  <c r="Z28" i="4"/>
  <c r="Y28" i="4"/>
  <c r="X28" i="4"/>
  <c r="W28" i="4"/>
  <c r="V28" i="4"/>
  <c r="T28" i="4"/>
  <c r="R28" i="4"/>
  <c r="P28" i="4"/>
  <c r="AE27" i="4"/>
  <c r="AD27" i="4"/>
  <c r="AB27" i="4"/>
  <c r="Z27" i="4"/>
  <c r="X27" i="4"/>
  <c r="V27" i="4"/>
  <c r="T27" i="4"/>
  <c r="R27" i="4"/>
  <c r="P27" i="4"/>
  <c r="AE26" i="4"/>
  <c r="AD26" i="4"/>
  <c r="AB26" i="4"/>
  <c r="Z26" i="4"/>
  <c r="X26" i="4"/>
  <c r="V26" i="4"/>
  <c r="T26" i="4"/>
  <c r="R26" i="4"/>
  <c r="P26" i="4"/>
  <c r="AE25" i="4"/>
  <c r="AD25" i="4"/>
  <c r="AC25" i="4"/>
  <c r="AB25" i="4"/>
  <c r="AA25" i="4"/>
  <c r="Z25" i="4"/>
  <c r="Y25" i="4"/>
  <c r="X25" i="4"/>
  <c r="W25" i="4"/>
  <c r="V25" i="4"/>
  <c r="U25" i="4"/>
  <c r="T25" i="4"/>
  <c r="S25" i="4"/>
  <c r="R25" i="4"/>
  <c r="Q25" i="4"/>
  <c r="P25" i="4"/>
  <c r="AE24" i="4"/>
  <c r="AD24" i="4"/>
  <c r="AC24" i="4"/>
  <c r="AB24" i="4"/>
  <c r="AA24" i="4"/>
  <c r="Z24" i="4"/>
  <c r="Y24" i="4"/>
  <c r="X24" i="4"/>
  <c r="W24" i="4"/>
  <c r="V24" i="4"/>
  <c r="U24" i="4"/>
  <c r="T24" i="4"/>
  <c r="S24" i="4"/>
  <c r="R24" i="4"/>
  <c r="Q24" i="4"/>
  <c r="P24" i="4"/>
  <c r="AE23" i="4"/>
  <c r="AD23" i="4"/>
  <c r="AC23" i="4"/>
  <c r="AB23" i="4"/>
  <c r="AA23" i="4"/>
  <c r="Z23" i="4"/>
  <c r="Y23" i="4"/>
  <c r="X23" i="4"/>
  <c r="W23" i="4"/>
  <c r="V23" i="4"/>
  <c r="U23" i="4"/>
  <c r="T23" i="4"/>
  <c r="S23" i="4"/>
  <c r="R23" i="4"/>
  <c r="Q23" i="4"/>
  <c r="AE18" i="4"/>
  <c r="AD18" i="4"/>
  <c r="AC18" i="4"/>
  <c r="AB18" i="4"/>
  <c r="AA18" i="4"/>
  <c r="Z18" i="4"/>
  <c r="Y18" i="4"/>
  <c r="X18" i="4"/>
  <c r="W18" i="4"/>
  <c r="V18" i="4"/>
  <c r="U18" i="4"/>
  <c r="T18" i="4"/>
  <c r="S18" i="4"/>
  <c r="R18" i="4"/>
  <c r="Q18" i="4"/>
  <c r="P18" i="4"/>
  <c r="AE17" i="4"/>
  <c r="AD17" i="4"/>
  <c r="AC17" i="4"/>
  <c r="AB17" i="4"/>
  <c r="AA17" i="4"/>
  <c r="Z17" i="4"/>
  <c r="Y17" i="4"/>
  <c r="X17" i="4"/>
  <c r="W17" i="4"/>
  <c r="V17" i="4"/>
  <c r="U17" i="4"/>
  <c r="T17" i="4"/>
  <c r="S17" i="4"/>
  <c r="R17" i="4"/>
  <c r="Q17" i="4"/>
  <c r="P17" i="4"/>
  <c r="AE16" i="4"/>
  <c r="AD16" i="4"/>
  <c r="AC16" i="4"/>
  <c r="AB16" i="4"/>
  <c r="AA16" i="4"/>
  <c r="Z16" i="4"/>
  <c r="Y16" i="4"/>
  <c r="X16" i="4"/>
  <c r="W16" i="4"/>
  <c r="V16" i="4"/>
  <c r="U16" i="4"/>
  <c r="T16" i="4"/>
  <c r="S16" i="4"/>
  <c r="R16" i="4"/>
  <c r="Q16" i="4"/>
  <c r="P16" i="4"/>
  <c r="AE15" i="4"/>
  <c r="AD15" i="4"/>
  <c r="AC15" i="4"/>
  <c r="AB15" i="4"/>
  <c r="AA15" i="4"/>
  <c r="Z15" i="4"/>
  <c r="Y15" i="4"/>
  <c r="X15" i="4"/>
  <c r="W15" i="4"/>
  <c r="V15" i="4"/>
  <c r="U15" i="4"/>
  <c r="T15" i="4"/>
  <c r="S15" i="4"/>
  <c r="R15" i="4"/>
  <c r="Q15" i="4"/>
  <c r="P15" i="4"/>
  <c r="AE14" i="4"/>
  <c r="AD14" i="4"/>
  <c r="AC14" i="4"/>
  <c r="AB14" i="4"/>
  <c r="AA14" i="4"/>
  <c r="Z14" i="4"/>
  <c r="Y14" i="4"/>
  <c r="X14" i="4"/>
  <c r="W14" i="4"/>
  <c r="V14" i="4"/>
  <c r="U14" i="4"/>
  <c r="T14" i="4"/>
  <c r="S14" i="4"/>
  <c r="R14" i="4"/>
  <c r="Q14" i="4"/>
  <c r="P14" i="4"/>
  <c r="AE13" i="4"/>
  <c r="AD13" i="4"/>
  <c r="AC13" i="4"/>
  <c r="AB13" i="4"/>
  <c r="AA13" i="4"/>
  <c r="Z13" i="4"/>
  <c r="Y13" i="4"/>
  <c r="X13" i="4"/>
  <c r="W13" i="4"/>
  <c r="V13" i="4"/>
  <c r="U13" i="4"/>
  <c r="T13" i="4"/>
  <c r="S13" i="4"/>
  <c r="R13" i="4"/>
  <c r="Q13" i="4"/>
  <c r="P13" i="4"/>
  <c r="AE12" i="4"/>
  <c r="AD12" i="4"/>
  <c r="AC12" i="4"/>
  <c r="AB12" i="4"/>
  <c r="AA12" i="4"/>
  <c r="Z12" i="4"/>
  <c r="Y12" i="4"/>
  <c r="X12" i="4"/>
  <c r="W12" i="4"/>
  <c r="V12" i="4"/>
  <c r="U12" i="4"/>
  <c r="T12" i="4"/>
  <c r="S12" i="4"/>
  <c r="R12" i="4"/>
  <c r="Q12" i="4"/>
  <c r="P12" i="4"/>
  <c r="AE11" i="4"/>
  <c r="AD11" i="4"/>
  <c r="AC11" i="4"/>
  <c r="AB11" i="4"/>
  <c r="AA11" i="4"/>
  <c r="Z11" i="4"/>
  <c r="Y11" i="4"/>
  <c r="X11" i="4"/>
  <c r="W11" i="4"/>
  <c r="V11" i="4"/>
  <c r="U11" i="4"/>
  <c r="T11" i="4"/>
  <c r="S11" i="4"/>
  <c r="R11" i="4"/>
  <c r="Q11" i="4"/>
  <c r="P11" i="4"/>
  <c r="AE10" i="4"/>
  <c r="AD10" i="4"/>
  <c r="AC10" i="4"/>
  <c r="AB10" i="4"/>
  <c r="AA10" i="4"/>
  <c r="Z10" i="4"/>
  <c r="Y10" i="4"/>
  <c r="X10" i="4"/>
  <c r="W10" i="4"/>
  <c r="V10" i="4"/>
  <c r="U10" i="4"/>
  <c r="T10" i="4"/>
  <c r="S10" i="4"/>
  <c r="R10" i="4"/>
  <c r="Q10" i="4"/>
  <c r="P10" i="4"/>
  <c r="S34" i="2"/>
  <c r="S6" i="2"/>
  <c r="U37" i="4"/>
  <c r="S37" i="4"/>
  <c r="AC36" i="4"/>
  <c r="AA36" i="4"/>
  <c r="Y36" i="4"/>
  <c r="W36" i="4"/>
  <c r="U36" i="4"/>
  <c r="S36" i="4"/>
  <c r="AC35" i="4"/>
  <c r="AA35" i="4"/>
  <c r="Y35" i="4"/>
  <c r="W35" i="4"/>
  <c r="U35" i="4"/>
  <c r="S35" i="4"/>
  <c r="S32" i="4"/>
  <c r="Q32" i="4"/>
  <c r="AC30" i="4"/>
  <c r="AA30" i="4"/>
  <c r="Y30" i="4"/>
  <c r="U30" i="4"/>
  <c r="S30" i="4"/>
  <c r="Q30" i="4"/>
  <c r="AC29" i="4"/>
  <c r="AA29" i="4"/>
  <c r="Y29" i="4"/>
  <c r="W29" i="4"/>
  <c r="U29" i="4"/>
  <c r="S29" i="4"/>
  <c r="U28" i="4"/>
  <c r="S28" i="4"/>
  <c r="Q28" i="4"/>
  <c r="AC27" i="4"/>
  <c r="AA27" i="4"/>
  <c r="Y27" i="4"/>
  <c r="W27" i="4"/>
  <c r="U27" i="4"/>
  <c r="S27" i="4"/>
  <c r="Q27" i="4"/>
  <c r="AC26" i="4"/>
  <c r="AA26" i="4"/>
  <c r="Y26" i="4"/>
  <c r="W26" i="4"/>
  <c r="U26" i="4"/>
  <c r="S26" i="4"/>
  <c r="Q26" i="4"/>
  <c r="D134" i="4"/>
  <c r="T6" i="3" l="1"/>
  <c r="T34" i="2"/>
  <c r="T6" i="2"/>
  <c r="T35" i="3"/>
  <c r="R52" i="3"/>
  <c r="R51" i="2"/>
  <c r="S51" i="2"/>
  <c r="U6" i="3" l="1"/>
  <c r="U6" i="2"/>
  <c r="U34" i="2"/>
  <c r="S52" i="3"/>
  <c r="U35" i="3"/>
  <c r="W37" i="4" l="1"/>
  <c r="T51" i="2"/>
  <c r="T52" i="3"/>
  <c r="V34" i="2"/>
  <c r="V6" i="2"/>
  <c r="V35" i="3"/>
  <c r="V6" i="3"/>
  <c r="T25" i="3"/>
  <c r="U25" i="3"/>
  <c r="R25" i="3"/>
  <c r="S25" i="3"/>
  <c r="U52" i="3" l="1"/>
  <c r="U51" i="2"/>
  <c r="W35" i="3"/>
  <c r="V52" i="3"/>
  <c r="W34" i="2"/>
  <c r="W6" i="2"/>
  <c r="W6" i="3"/>
  <c r="S25" i="2"/>
  <c r="T25" i="2"/>
  <c r="U25" i="2"/>
  <c r="R25" i="2"/>
  <c r="V25" i="2"/>
  <c r="V25" i="3" l="1"/>
  <c r="V51" i="2"/>
  <c r="Y37" i="4"/>
  <c r="X34" i="2"/>
  <c r="X6" i="2"/>
  <c r="W25" i="2"/>
  <c r="X6" i="3"/>
  <c r="W25" i="3"/>
  <c r="X35" i="3"/>
  <c r="W51" i="2" l="1"/>
  <c r="Y6" i="3"/>
  <c r="W52" i="3"/>
  <c r="Y35" i="3"/>
  <c r="X52" i="3"/>
  <c r="Y6" i="2"/>
  <c r="Y34" i="2"/>
  <c r="F129" i="4"/>
  <c r="D121" i="4"/>
  <c r="D120" i="4"/>
  <c r="D119" i="4"/>
  <c r="D118" i="4"/>
  <c r="D117" i="4"/>
  <c r="X51" i="2" l="1"/>
  <c r="X25" i="2"/>
  <c r="AA37" i="4"/>
  <c r="X25" i="3"/>
  <c r="Z6" i="2"/>
  <c r="Y25" i="2"/>
  <c r="Z35" i="3"/>
  <c r="Z34" i="2"/>
  <c r="Z6" i="3"/>
  <c r="D86" i="4"/>
  <c r="D73" i="4"/>
  <c r="D72" i="4"/>
  <c r="D71" i="4"/>
  <c r="T68" i="4"/>
  <c r="D70" i="4"/>
  <c r="F43" i="4"/>
  <c r="F28" i="4"/>
  <c r="Y25" i="3" l="1"/>
  <c r="Y51" i="2"/>
  <c r="AA34" i="2"/>
  <c r="Z51" i="2"/>
  <c r="AA6" i="2"/>
  <c r="Y52" i="3"/>
  <c r="AA35" i="3"/>
  <c r="AA6" i="3"/>
  <c r="Z25" i="3"/>
  <c r="F68" i="4"/>
  <c r="Z25" i="2" l="1"/>
  <c r="Z52" i="3"/>
  <c r="AB35" i="3"/>
  <c r="AB6" i="2"/>
  <c r="AA25" i="2"/>
  <c r="AB6" i="3"/>
  <c r="AB34" i="2"/>
  <c r="P39" i="4"/>
  <c r="P35" i="4"/>
  <c r="P23" i="4"/>
  <c r="P20" i="4"/>
  <c r="AA51" i="2" l="1"/>
  <c r="AC37" i="4"/>
  <c r="AC6" i="3"/>
  <c r="AB25" i="3"/>
  <c r="AC6" i="2"/>
  <c r="AC34" i="2"/>
  <c r="AA25" i="3"/>
  <c r="AA52" i="3"/>
  <c r="AC35" i="3"/>
  <c r="AD9" i="4"/>
  <c r="AP14" i="7"/>
  <c r="AP13" i="7"/>
  <c r="AP12" i="7"/>
  <c r="AP11" i="7"/>
  <c r="AP10" i="7"/>
  <c r="AP9" i="7"/>
  <c r="AP8" i="7"/>
  <c r="AP7" i="7"/>
  <c r="AO14" i="7"/>
  <c r="AO13" i="7"/>
  <c r="AO12" i="7"/>
  <c r="AO11" i="7"/>
  <c r="AO10" i="7"/>
  <c r="AO9" i="7"/>
  <c r="AO8" i="7"/>
  <c r="AO7" i="7"/>
  <c r="AM14" i="7"/>
  <c r="AM13" i="7"/>
  <c r="AM12" i="7"/>
  <c r="AM11" i="7"/>
  <c r="AM10" i="7"/>
  <c r="AM9" i="7"/>
  <c r="AM8" i="7"/>
  <c r="AM7" i="7"/>
  <c r="AF14" i="7"/>
  <c r="AF13" i="7"/>
  <c r="AF12" i="7"/>
  <c r="AF11" i="7"/>
  <c r="AF10" i="7"/>
  <c r="AF9" i="7"/>
  <c r="AF8" i="7"/>
  <c r="AF7" i="7"/>
  <c r="AC24" i="7"/>
  <c r="AC14" i="7"/>
  <c r="AC13" i="7"/>
  <c r="AC12" i="7"/>
  <c r="AC11" i="7"/>
  <c r="AC10" i="7"/>
  <c r="AC9" i="7"/>
  <c r="AC8" i="7"/>
  <c r="AC7" i="7"/>
  <c r="AD24" i="7"/>
  <c r="AE24" i="7"/>
  <c r="AF24" i="7"/>
  <c r="AG24" i="7"/>
  <c r="AH24" i="7"/>
  <c r="AI24" i="7"/>
  <c r="AJ24" i="7"/>
  <c r="AK24" i="7"/>
  <c r="AL24" i="7"/>
  <c r="AM24" i="7"/>
  <c r="AN24" i="7"/>
  <c r="AO24" i="7"/>
  <c r="AP24" i="7"/>
  <c r="AR24" i="7"/>
  <c r="E14" i="5"/>
  <c r="AO10" i="6"/>
  <c r="K41" i="10"/>
  <c r="D120" i="10"/>
  <c r="D119" i="10"/>
  <c r="D118" i="10"/>
  <c r="AB51" i="2" l="1"/>
  <c r="AB25" i="2"/>
  <c r="AB52" i="3"/>
  <c r="F11" i="4"/>
  <c r="AC51" i="2" l="1"/>
  <c r="AC25" i="2"/>
  <c r="AC25" i="3"/>
  <c r="AC52" i="3"/>
  <c r="L14" i="7"/>
  <c r="K14" i="7"/>
  <c r="I14" i="7"/>
  <c r="H14" i="7"/>
  <c r="AE20" i="4"/>
  <c r="AD20" i="4"/>
  <c r="AC20" i="4"/>
  <c r="AB20" i="4"/>
  <c r="AA20" i="4"/>
  <c r="Z20" i="4"/>
  <c r="Y20" i="4"/>
  <c r="X20" i="4"/>
  <c r="W20" i="4"/>
  <c r="V20" i="4"/>
  <c r="U20" i="4"/>
  <c r="T20" i="4"/>
  <c r="S20" i="4"/>
  <c r="R20" i="4"/>
  <c r="Q20" i="4"/>
  <c r="K5" i="10" l="1"/>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3" i="10"/>
  <c r="G4" i="10"/>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4" i="10"/>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L7" i="6"/>
  <c r="E119" i="10" l="1"/>
  <c r="E120" i="10" s="1"/>
  <c r="H18" i="10"/>
  <c r="H12" i="10"/>
  <c r="H6" i="10"/>
  <c r="H8" i="10"/>
  <c r="H37" i="10"/>
  <c r="H13" i="10"/>
  <c r="H35" i="10"/>
  <c r="I35" i="10" s="1"/>
  <c r="H29" i="10"/>
  <c r="H17" i="10"/>
  <c r="H11" i="10"/>
  <c r="H5" i="10"/>
  <c r="H40" i="10"/>
  <c r="H34" i="10"/>
  <c r="H22" i="10"/>
  <c r="H16" i="10"/>
  <c r="H10" i="10"/>
  <c r="H4" i="10"/>
  <c r="I4" i="10" s="1"/>
  <c r="H39" i="10"/>
  <c r="H21" i="10"/>
  <c r="H15" i="10"/>
  <c r="H3" i="10"/>
  <c r="H26" i="10"/>
  <c r="H25" i="10"/>
  <c r="H9" i="10"/>
  <c r="H32" i="10"/>
  <c r="H20" i="10"/>
  <c r="H14" i="10"/>
  <c r="H31" i="10"/>
  <c r="H19" i="10"/>
  <c r="H7" i="10"/>
  <c r="I7" i="10" s="1"/>
  <c r="AL9" i="6"/>
  <c r="AL13" i="6"/>
  <c r="AL11" i="6"/>
  <c r="AL3" i="11"/>
  <c r="I9" i="10" l="1"/>
  <c r="H24" i="10"/>
  <c r="I26" i="10"/>
  <c r="H41" i="10"/>
  <c r="I10" i="10"/>
  <c r="I14" i="10"/>
  <c r="I20" i="10"/>
  <c r="I12" i="10"/>
  <c r="I32" i="10"/>
  <c r="I18" i="10"/>
  <c r="I40" i="10"/>
  <c r="H33" i="10"/>
  <c r="I33" i="10" s="1"/>
  <c r="E121" i="10"/>
  <c r="E122" i="10" s="1"/>
  <c r="E123" i="10" s="1"/>
  <c r="I16" i="10"/>
  <c r="I19" i="10"/>
  <c r="I21" i="10"/>
  <c r="I22" i="10"/>
  <c r="I17" i="10"/>
  <c r="I8" i="10"/>
  <c r="H30" i="10"/>
  <c r="I30" i="10" s="1"/>
  <c r="I5" i="10"/>
  <c r="I13" i="10"/>
  <c r="I15" i="10"/>
  <c r="I11" i="10"/>
  <c r="H27" i="10"/>
  <c r="I27" i="10" s="1"/>
  <c r="H28" i="10"/>
  <c r="H23" i="10"/>
  <c r="I23" i="10" s="1"/>
  <c r="H38" i="10"/>
  <c r="I38" i="10" s="1"/>
  <c r="H36" i="10"/>
  <c r="I36" i="10" s="1"/>
  <c r="I41" i="10"/>
  <c r="I25" i="10"/>
  <c r="I39" i="10"/>
  <c r="I29" i="10"/>
  <c r="I6" i="10"/>
  <c r="D14" i="5"/>
  <c r="AT14" i="7"/>
  <c r="AT13" i="7"/>
  <c r="AT12" i="7"/>
  <c r="AT11" i="7"/>
  <c r="AT10" i="7"/>
  <c r="AT9" i="7"/>
  <c r="AT8" i="7"/>
  <c r="AT7" i="7"/>
  <c r="AT6" i="7"/>
  <c r="AT5" i="7"/>
  <c r="AT4" i="7"/>
  <c r="AS14" i="7"/>
  <c r="AS13" i="7"/>
  <c r="AS12" i="7"/>
  <c r="AS11" i="7"/>
  <c r="AS10" i="7"/>
  <c r="AS9" i="7"/>
  <c r="AS8" i="7"/>
  <c r="AS7" i="7"/>
  <c r="AS6" i="7"/>
  <c r="AS5" i="7"/>
  <c r="AS4" i="7"/>
  <c r="AR14" i="7"/>
  <c r="AR13" i="7"/>
  <c r="AR12" i="7"/>
  <c r="AR11" i="7"/>
  <c r="AR10" i="7"/>
  <c r="AR9" i="7"/>
  <c r="AR8" i="7"/>
  <c r="AR7" i="7"/>
  <c r="AR6" i="7"/>
  <c r="AR5" i="7"/>
  <c r="AU5" i="7" s="1"/>
  <c r="AR4" i="7"/>
  <c r="N4" i="7"/>
  <c r="T4" i="7" s="1"/>
  <c r="O4" i="7"/>
  <c r="R4" i="7" s="1"/>
  <c r="P4" i="7"/>
  <c r="V4" i="7" s="1"/>
  <c r="N5" i="7"/>
  <c r="T5" i="7" s="1"/>
  <c r="O5" i="7"/>
  <c r="U5" i="7" s="1"/>
  <c r="P5" i="7"/>
  <c r="S5" i="7" s="1"/>
  <c r="N6" i="7"/>
  <c r="Q6" i="7" s="1"/>
  <c r="O6" i="7"/>
  <c r="U6" i="7" s="1"/>
  <c r="P6" i="7"/>
  <c r="V6" i="7" s="1"/>
  <c r="P7" i="7"/>
  <c r="P8" i="7"/>
  <c r="P9" i="7"/>
  <c r="P10" i="7"/>
  <c r="P11" i="7"/>
  <c r="P12" i="7"/>
  <c r="P13" i="7"/>
  <c r="N14" i="7"/>
  <c r="T14" i="7" s="1"/>
  <c r="O14" i="7"/>
  <c r="R14" i="7" s="1"/>
  <c r="P14" i="7"/>
  <c r="M30" i="10" l="1"/>
  <c r="M4" i="10"/>
  <c r="M36" i="10"/>
  <c r="M33" i="10"/>
  <c r="M27" i="10"/>
  <c r="M18" i="10"/>
  <c r="M14" i="10"/>
  <c r="M11" i="10"/>
  <c r="M8" i="10"/>
  <c r="M6" i="10"/>
  <c r="M13" i="10"/>
  <c r="M22" i="10"/>
  <c r="M31" i="10"/>
  <c r="M41" i="10"/>
  <c r="M24" i="10"/>
  <c r="M9" i="10"/>
  <c r="M37" i="10"/>
  <c r="M34" i="10"/>
  <c r="M29" i="10"/>
  <c r="M35" i="10"/>
  <c r="M32" i="10"/>
  <c r="M17" i="10"/>
  <c r="M10" i="10"/>
  <c r="M7" i="10"/>
  <c r="M39" i="10"/>
  <c r="M16" i="10"/>
  <c r="M5" i="10"/>
  <c r="M21" i="10"/>
  <c r="M38" i="10"/>
  <c r="M12" i="10"/>
  <c r="M23" i="10"/>
  <c r="M3" i="10"/>
  <c r="M20" i="10"/>
  <c r="M26" i="10"/>
  <c r="M40" i="10"/>
  <c r="M15" i="10"/>
  <c r="M25" i="10"/>
  <c r="M19" i="10"/>
  <c r="M42" i="10"/>
  <c r="M28" i="10"/>
  <c r="AU11" i="7"/>
  <c r="AU9" i="7"/>
  <c r="Q5" i="7"/>
  <c r="I34" i="10"/>
  <c r="I31" i="10"/>
  <c r="AU6" i="7"/>
  <c r="AU13" i="7"/>
  <c r="Q4" i="7"/>
  <c r="AU8" i="7"/>
  <c r="AU14" i="7"/>
  <c r="AU12" i="7"/>
  <c r="AU7" i="7"/>
  <c r="I24" i="10"/>
  <c r="I37" i="10"/>
  <c r="AU4" i="7"/>
  <c r="AU10" i="7"/>
  <c r="I28" i="10"/>
  <c r="T6" i="7"/>
  <c r="R6" i="7"/>
  <c r="S4" i="7"/>
  <c r="V5" i="7"/>
  <c r="U4" i="7"/>
  <c r="S6" i="7"/>
  <c r="R5" i="7"/>
  <c r="Q14" i="7"/>
  <c r="U14" i="7"/>
  <c r="AC9" i="4"/>
  <c r="AB9" i="4"/>
  <c r="AA9" i="4"/>
  <c r="Z9" i="4"/>
  <c r="Y9" i="4"/>
  <c r="X9" i="4"/>
  <c r="W9" i="4"/>
  <c r="V9" i="4"/>
  <c r="U9" i="4"/>
  <c r="T9" i="4"/>
  <c r="S9" i="4"/>
  <c r="R9" i="4"/>
  <c r="Q9" i="4"/>
  <c r="P9" i="4"/>
  <c r="AE9" i="4"/>
  <c r="AE19" i="4"/>
  <c r="AD19" i="4"/>
  <c r="AC19" i="4"/>
  <c r="AB19" i="4"/>
  <c r="AA19" i="4"/>
  <c r="Z19" i="4"/>
  <c r="Y19" i="4"/>
  <c r="X19" i="4"/>
  <c r="W19" i="4"/>
  <c r="V19" i="4"/>
  <c r="U19" i="4"/>
  <c r="T19" i="4"/>
  <c r="S19" i="4"/>
  <c r="R19" i="4"/>
  <c r="Q19" i="4"/>
  <c r="P19" i="4"/>
  <c r="AD22" i="4"/>
  <c r="AC22" i="4"/>
  <c r="AB22" i="4"/>
  <c r="AA22" i="4"/>
  <c r="Z22" i="4"/>
  <c r="Y22" i="4"/>
  <c r="X22" i="4"/>
  <c r="W22" i="4"/>
  <c r="V22" i="4"/>
  <c r="U22" i="4"/>
  <c r="T22" i="4"/>
  <c r="S22" i="4"/>
  <c r="R22" i="4"/>
  <c r="Q22" i="4"/>
  <c r="P22" i="4"/>
  <c r="AD34" i="4"/>
  <c r="AC34" i="4"/>
  <c r="AB34" i="4"/>
  <c r="AA34" i="4"/>
  <c r="Z34" i="4"/>
  <c r="Y34" i="4"/>
  <c r="X34" i="4"/>
  <c r="W34" i="4"/>
  <c r="V34" i="4"/>
  <c r="U34" i="4"/>
  <c r="T34" i="4"/>
  <c r="S34" i="4"/>
  <c r="R34" i="4"/>
  <c r="Q34" i="4"/>
  <c r="Q38" i="4"/>
  <c r="R38" i="4"/>
  <c r="S38" i="4"/>
  <c r="T38" i="4"/>
  <c r="U38" i="4"/>
  <c r="V38" i="4"/>
  <c r="W38" i="4"/>
  <c r="X38" i="4"/>
  <c r="Y38" i="4"/>
  <c r="Z38" i="4"/>
  <c r="AA38" i="4"/>
  <c r="AB38" i="4"/>
  <c r="AC38" i="4"/>
  <c r="AD38" i="4"/>
  <c r="AE38" i="4"/>
  <c r="P38" i="4"/>
  <c r="P34" i="4" s="1"/>
  <c r="W21" i="4" l="1"/>
  <c r="AA21" i="4"/>
  <c r="AE34" i="4"/>
  <c r="P21" i="4"/>
  <c r="X21" i="4"/>
  <c r="AE22" i="4"/>
  <c r="R21" i="4"/>
  <c r="V21" i="4"/>
  <c r="Z21" i="4"/>
  <c r="AD21" i="4"/>
  <c r="S21" i="4"/>
  <c r="T21" i="4"/>
  <c r="AB21" i="4"/>
  <c r="Q21" i="4"/>
  <c r="U21" i="4"/>
  <c r="Y21" i="4"/>
  <c r="AC21" i="4"/>
  <c r="AE21" i="4" l="1"/>
  <c r="G129" i="4"/>
  <c r="H129" i="4"/>
  <c r="I129" i="4"/>
  <c r="J129" i="4"/>
  <c r="K129" i="4"/>
  <c r="L129" i="4"/>
  <c r="M129" i="4"/>
  <c r="N129" i="4"/>
  <c r="O129" i="4"/>
  <c r="P129" i="4"/>
  <c r="Q129" i="4"/>
  <c r="R129" i="4"/>
  <c r="S129" i="4"/>
  <c r="T129" i="4"/>
  <c r="U129" i="4"/>
  <c r="F141" i="4"/>
  <c r="G141" i="4"/>
  <c r="H141" i="4"/>
  <c r="I141" i="4"/>
  <c r="J141" i="4"/>
  <c r="K141" i="4"/>
  <c r="L141" i="4"/>
  <c r="M141" i="4"/>
  <c r="N141" i="4"/>
  <c r="O141" i="4"/>
  <c r="P141" i="4"/>
  <c r="Q141" i="4"/>
  <c r="R141" i="4"/>
  <c r="S141" i="4"/>
  <c r="T141" i="4"/>
  <c r="U141" i="4"/>
  <c r="G145" i="4"/>
  <c r="H145" i="4"/>
  <c r="I145" i="4"/>
  <c r="J145" i="4"/>
  <c r="K145" i="4"/>
  <c r="L145" i="4"/>
  <c r="M145" i="4"/>
  <c r="N145" i="4"/>
  <c r="O145" i="4"/>
  <c r="P145" i="4"/>
  <c r="Q145" i="4"/>
  <c r="R145" i="4"/>
  <c r="S145" i="4"/>
  <c r="T145" i="4"/>
  <c r="U145" i="4"/>
  <c r="F145" i="4"/>
  <c r="G93" i="4"/>
  <c r="H93" i="4"/>
  <c r="I93" i="4"/>
  <c r="J93" i="4"/>
  <c r="K93" i="4"/>
  <c r="L93" i="4"/>
  <c r="M93" i="4"/>
  <c r="N93" i="4"/>
  <c r="O93" i="4"/>
  <c r="P93" i="4"/>
  <c r="Q93" i="4"/>
  <c r="R93" i="4"/>
  <c r="S93" i="4"/>
  <c r="T93" i="4"/>
  <c r="U93" i="4"/>
  <c r="F93" i="4"/>
  <c r="G81" i="4"/>
  <c r="G80" i="4" s="1"/>
  <c r="H81" i="4"/>
  <c r="H80" i="4" s="1"/>
  <c r="I81" i="4"/>
  <c r="J81" i="4"/>
  <c r="K81" i="4"/>
  <c r="L81" i="4"/>
  <c r="M81" i="4"/>
  <c r="N81" i="4"/>
  <c r="O81" i="4"/>
  <c r="P81" i="4"/>
  <c r="Q81" i="4"/>
  <c r="R81" i="4"/>
  <c r="S81" i="4"/>
  <c r="T81" i="4"/>
  <c r="T80" i="4" s="1"/>
  <c r="U81" i="4"/>
  <c r="F81" i="4"/>
  <c r="G97" i="4"/>
  <c r="H97" i="4"/>
  <c r="I97" i="4"/>
  <c r="J97" i="4"/>
  <c r="K97" i="4"/>
  <c r="L97" i="4"/>
  <c r="M97" i="4"/>
  <c r="N97" i="4"/>
  <c r="O97" i="4"/>
  <c r="P97" i="4"/>
  <c r="Q97" i="4"/>
  <c r="R97" i="4"/>
  <c r="S97" i="4"/>
  <c r="T97" i="4"/>
  <c r="U97" i="4"/>
  <c r="F97" i="4"/>
  <c r="S80" i="4" l="1"/>
  <c r="K80" i="4"/>
  <c r="F80" i="4"/>
  <c r="P80" i="4"/>
  <c r="J80" i="4"/>
  <c r="I80" i="4"/>
  <c r="R80" i="4"/>
  <c r="N80" i="4"/>
  <c r="L80" i="4"/>
  <c r="Q80" i="4"/>
  <c r="O80" i="4"/>
  <c r="M80" i="4"/>
  <c r="U80" i="4"/>
  <c r="U128" i="4"/>
  <c r="Q128" i="4"/>
  <c r="M128" i="4"/>
  <c r="I128" i="4"/>
  <c r="T128" i="4"/>
  <c r="P128" i="4"/>
  <c r="L128" i="4"/>
  <c r="H128" i="4"/>
  <c r="S128" i="4"/>
  <c r="O128" i="4"/>
  <c r="K128" i="4"/>
  <c r="G128" i="4"/>
  <c r="F128" i="4"/>
  <c r="R128" i="4"/>
  <c r="N128" i="4"/>
  <c r="J128" i="4"/>
  <c r="U126" i="4" l="1"/>
  <c r="T126" i="4"/>
  <c r="S126" i="4"/>
  <c r="R126" i="4"/>
  <c r="Q126" i="4"/>
  <c r="P126" i="4"/>
  <c r="O126" i="4"/>
  <c r="N126" i="4"/>
  <c r="M126" i="4"/>
  <c r="L126" i="4"/>
  <c r="K126" i="4"/>
  <c r="J126" i="4"/>
  <c r="I126" i="4"/>
  <c r="H126" i="4"/>
  <c r="G126" i="4"/>
  <c r="F126" i="4"/>
  <c r="S116" i="4"/>
  <c r="O116" i="4"/>
  <c r="K116" i="4"/>
  <c r="G116" i="4"/>
  <c r="U78" i="4"/>
  <c r="T78" i="4"/>
  <c r="S78" i="4"/>
  <c r="R78" i="4"/>
  <c r="Q78" i="4"/>
  <c r="P78" i="4"/>
  <c r="O78" i="4"/>
  <c r="N78" i="4"/>
  <c r="M78" i="4"/>
  <c r="L78" i="4"/>
  <c r="K78" i="4"/>
  <c r="J78" i="4"/>
  <c r="I78" i="4"/>
  <c r="H78" i="4"/>
  <c r="G78" i="4"/>
  <c r="F78" i="4"/>
  <c r="R68" i="4"/>
  <c r="N68" i="4"/>
  <c r="J68" i="4"/>
  <c r="R116" i="4"/>
  <c r="R155" i="4" s="1"/>
  <c r="Q116" i="4"/>
  <c r="Q155" i="4" s="1"/>
  <c r="P116" i="4"/>
  <c r="P155" i="4" s="1"/>
  <c r="N116" i="4"/>
  <c r="M116" i="4"/>
  <c r="L116" i="4"/>
  <c r="J116" i="4"/>
  <c r="I116" i="4"/>
  <c r="H116" i="4"/>
  <c r="H155" i="4" s="1"/>
  <c r="U116" i="4"/>
  <c r="U155" i="4" s="1"/>
  <c r="T116" i="4"/>
  <c r="T155" i="4" s="1"/>
  <c r="U68" i="4"/>
  <c r="S68" i="4"/>
  <c r="Q68" i="4"/>
  <c r="P68" i="4"/>
  <c r="O68" i="4"/>
  <c r="M68" i="4"/>
  <c r="L68" i="4"/>
  <c r="K68" i="4"/>
  <c r="I68" i="4"/>
  <c r="H68" i="4"/>
  <c r="G68" i="4"/>
  <c r="F116" i="4"/>
  <c r="F36" i="4"/>
  <c r="K155" i="4" l="1"/>
  <c r="M155" i="4"/>
  <c r="I155" i="4"/>
  <c r="L155" i="4"/>
  <c r="F155" i="4"/>
  <c r="N155" i="4"/>
  <c r="J155" i="4"/>
  <c r="O155" i="4"/>
  <c r="S155" i="4"/>
  <c r="G155" i="4"/>
  <c r="G107" i="4"/>
  <c r="K107" i="4"/>
  <c r="O107" i="4"/>
  <c r="S107" i="4"/>
  <c r="H107" i="4"/>
  <c r="L107" i="4"/>
  <c r="P107" i="4"/>
  <c r="T107" i="4"/>
  <c r="I107" i="4"/>
  <c r="M107" i="4"/>
  <c r="Q107" i="4"/>
  <c r="U107" i="4"/>
  <c r="F107" i="4"/>
  <c r="J107" i="4"/>
  <c r="N107" i="4"/>
  <c r="R107" i="4"/>
  <c r="F42" i="4"/>
  <c r="P48" i="4" l="1"/>
  <c r="AD48" i="4"/>
  <c r="S48" i="4"/>
  <c r="AE48" i="4"/>
  <c r="T48" i="4"/>
  <c r="X48" i="4"/>
  <c r="AB48" i="4"/>
  <c r="Q48" i="4"/>
  <c r="U48" i="4"/>
  <c r="Y48" i="4"/>
  <c r="AC48" i="4"/>
  <c r="R48" i="4"/>
  <c r="V48" i="4"/>
  <c r="Z48" i="4"/>
  <c r="W48" i="4"/>
  <c r="AA48" i="4"/>
  <c r="F15" i="4"/>
  <c r="D92" i="4"/>
  <c r="AI12" i="6" l="1"/>
  <c r="F29" i="4" l="1"/>
  <c r="D79" i="4" l="1"/>
  <c r="D127" i="4" l="1"/>
  <c r="AG7" i="6" l="1"/>
  <c r="AF7" i="6"/>
  <c r="AE7" i="6"/>
  <c r="AD7" i="6"/>
  <c r="AC7" i="6"/>
  <c r="AB7" i="6"/>
  <c r="AA7" i="6"/>
  <c r="Z7" i="6"/>
  <c r="Y7" i="6"/>
  <c r="X7" i="6"/>
  <c r="W7" i="6"/>
  <c r="V7" i="6"/>
  <c r="U7" i="6"/>
  <c r="T7" i="6"/>
  <c r="S7" i="6"/>
  <c r="R7" i="6"/>
  <c r="Q7" i="6"/>
  <c r="P7" i="6"/>
  <c r="O7" i="6"/>
  <c r="N7" i="6"/>
  <c r="M7" i="6"/>
  <c r="L7" i="6"/>
  <c r="K7" i="6"/>
  <c r="J7" i="6"/>
  <c r="I7" i="6"/>
  <c r="H7" i="6"/>
  <c r="G7" i="6"/>
  <c r="F7" i="6"/>
  <c r="E7" i="6"/>
  <c r="D7" i="6"/>
  <c r="C7" i="6"/>
  <c r="B7" i="6"/>
  <c r="I13" i="6" l="1"/>
  <c r="U13" i="6"/>
  <c r="AG13" i="6"/>
  <c r="J13" i="6"/>
  <c r="V13" i="6"/>
  <c r="K13" i="6"/>
  <c r="W13" i="6"/>
  <c r="F13" i="6"/>
  <c r="R13" i="6"/>
  <c r="M13" i="6"/>
  <c r="AE13" i="6"/>
  <c r="C13" i="6"/>
  <c r="O13" i="6"/>
  <c r="AA13" i="6"/>
  <c r="D13" i="6"/>
  <c r="P13" i="6"/>
  <c r="AB13" i="6"/>
  <c r="E13" i="6"/>
  <c r="Q13" i="6"/>
  <c r="AC13" i="6"/>
  <c r="L13" i="6"/>
  <c r="X13" i="6"/>
  <c r="AD13" i="6"/>
  <c r="G13" i="6"/>
  <c r="S13" i="6"/>
  <c r="Y13" i="6"/>
  <c r="B13" i="6"/>
  <c r="H13" i="6"/>
  <c r="N13" i="6"/>
  <c r="T13" i="6"/>
  <c r="Z13" i="6"/>
  <c r="AF13" i="6"/>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O3" i="11"/>
  <c r="AG3" i="11"/>
  <c r="AE3" i="11"/>
  <c r="L3" i="11"/>
  <c r="F3" i="11"/>
  <c r="AF3" i="11"/>
  <c r="M3" i="11"/>
  <c r="E3" i="11"/>
  <c r="V3" i="11"/>
  <c r="D3" i="11"/>
  <c r="S3" i="11"/>
  <c r="AC3" i="11"/>
  <c r="U3" i="11"/>
  <c r="C3" i="11"/>
  <c r="X3" i="11"/>
  <c r="R3" i="11"/>
  <c r="Z3" i="11"/>
  <c r="K3" i="11"/>
  <c r="T3" i="11"/>
  <c r="AD3" i="11"/>
  <c r="N3" i="11"/>
  <c r="W3" i="11"/>
  <c r="AB3" i="11"/>
  <c r="B3" i="11"/>
  <c r="Y3" i="11"/>
  <c r="J3" i="11"/>
  <c r="AA3" i="11"/>
  <c r="G3" i="11"/>
  <c r="I3" i="11"/>
  <c r="Q3" i="11"/>
  <c r="H3" i="11"/>
  <c r="P3" i="11"/>
  <c r="T6" i="11" l="1"/>
  <c r="G6" i="11"/>
  <c r="X6" i="11"/>
  <c r="E6" i="11"/>
  <c r="P6" i="11"/>
  <c r="AA6" i="11"/>
  <c r="C6" i="11"/>
  <c r="M6" i="11"/>
  <c r="K6" i="11"/>
  <c r="J6" i="11"/>
  <c r="U6" i="11"/>
  <c r="AF6" i="11"/>
  <c r="H6" i="11"/>
  <c r="Y6" i="11"/>
  <c r="AC6" i="11"/>
  <c r="F6" i="11"/>
  <c r="Z6" i="11"/>
  <c r="B6" i="11"/>
  <c r="S6" i="11"/>
  <c r="L6" i="11"/>
  <c r="Q6" i="11"/>
  <c r="AB6" i="11"/>
  <c r="D6" i="11"/>
  <c r="AE6" i="11"/>
  <c r="R6" i="11"/>
  <c r="W6" i="11"/>
  <c r="V6" i="11"/>
  <c r="AG6" i="11"/>
  <c r="I6" i="11"/>
  <c r="N6" i="11"/>
  <c r="AD6" i="11"/>
  <c r="O6" i="11"/>
  <c r="D147" i="4"/>
  <c r="D99" i="4"/>
  <c r="C17" i="5" l="1"/>
  <c r="C14" i="5"/>
  <c r="C11" i="5"/>
  <c r="C8" i="5"/>
  <c r="C5" i="5"/>
  <c r="F20" i="4" l="1"/>
  <c r="F19" i="4" s="1"/>
  <c r="F46" i="4"/>
  <c r="F41" i="4"/>
  <c r="F39" i="4"/>
  <c r="BG5" i="7" s="1"/>
  <c r="D146" i="4"/>
  <c r="D98" i="4"/>
  <c r="F35" i="4"/>
  <c r="D142" i="4"/>
  <c r="D94" i="4"/>
  <c r="D131" i="4"/>
  <c r="D83" i="4"/>
  <c r="D138" i="4"/>
  <c r="D90" i="4"/>
  <c r="D77" i="4"/>
  <c r="D125" i="4"/>
  <c r="D139" i="4"/>
  <c r="D91" i="4"/>
  <c r="F44" i="4"/>
  <c r="D130" i="4"/>
  <c r="D82" i="4"/>
  <c r="D140" i="4"/>
  <c r="F45" i="4"/>
  <c r="D132" i="4"/>
  <c r="D84" i="4"/>
  <c r="D133" i="4"/>
  <c r="D85" i="4"/>
  <c r="F26" i="4" l="1"/>
  <c r="F32" i="4" l="1"/>
  <c r="F27" i="4"/>
  <c r="F30" i="4"/>
  <c r="F23" i="4"/>
  <c r="F25" i="4"/>
  <c r="F24" i="4"/>
  <c r="F14" i="4"/>
  <c r="F12" i="4"/>
  <c r="F10" i="4"/>
  <c r="F16" i="4"/>
  <c r="F18" i="4"/>
  <c r="F17" i="4"/>
  <c r="F8" i="4" l="1"/>
  <c r="AB5" i="7" l="1"/>
  <c r="AB6" i="7" s="1"/>
  <c r="AB7" i="7" s="1"/>
  <c r="AB8" i="7" s="1"/>
  <c r="AB9" i="7" s="1"/>
  <c r="AB10" i="7" s="1"/>
  <c r="AB11" i="7" s="1"/>
  <c r="AB12" i="7" s="1"/>
  <c r="AB13" i="7" s="1"/>
  <c r="G5" i="7"/>
  <c r="A5" i="7"/>
  <c r="G6" i="7" l="1"/>
  <c r="A6" i="7"/>
  <c r="G7" i="7" l="1"/>
  <c r="H7" i="7" s="1"/>
  <c r="A7" i="7"/>
  <c r="L7" i="7" l="1"/>
  <c r="K7" i="7"/>
  <c r="I7" i="7"/>
  <c r="G8" i="7"/>
  <c r="A8" i="7"/>
  <c r="N7" i="7" l="1"/>
  <c r="T7" i="7" s="1"/>
  <c r="O7" i="7"/>
  <c r="U7" i="7" s="1"/>
  <c r="Q7" i="7"/>
  <c r="R7" i="7"/>
  <c r="K8" i="7"/>
  <c r="L8" i="7"/>
  <c r="I8" i="7"/>
  <c r="H8" i="7"/>
  <c r="G9" i="7"/>
  <c r="A9" i="7"/>
  <c r="N8" i="7" l="1"/>
  <c r="T8" i="7" s="1"/>
  <c r="Q8" i="7"/>
  <c r="O8" i="7"/>
  <c r="U8" i="7" s="1"/>
  <c r="K9" i="7"/>
  <c r="I9" i="7"/>
  <c r="H9" i="7"/>
  <c r="L9" i="7"/>
  <c r="G10" i="7"/>
  <c r="A10" i="7"/>
  <c r="R8" i="7" l="1"/>
  <c r="O9" i="7"/>
  <c r="R9" i="7" s="1"/>
  <c r="L10" i="7"/>
  <c r="H10" i="7"/>
  <c r="I10" i="7"/>
  <c r="K10" i="7"/>
  <c r="N9" i="7"/>
  <c r="T9" i="7" s="1"/>
  <c r="G11" i="7"/>
  <c r="A11" i="7"/>
  <c r="U9" i="7" l="1"/>
  <c r="N10" i="7"/>
  <c r="T10" i="7" s="1"/>
  <c r="O10" i="7"/>
  <c r="R10" i="7" s="1"/>
  <c r="U10" i="7"/>
  <c r="Q9" i="7"/>
  <c r="L11" i="7"/>
  <c r="K11" i="7"/>
  <c r="I11" i="7"/>
  <c r="H11" i="7"/>
  <c r="Q10" i="7"/>
  <c r="G12" i="7"/>
  <c r="A12" i="7"/>
  <c r="O11" i="7" l="1"/>
  <c r="U11" i="7" s="1"/>
  <c r="R11" i="7"/>
  <c r="K12" i="7"/>
  <c r="L12" i="7"/>
  <c r="I12" i="7"/>
  <c r="H12" i="7"/>
  <c r="N11" i="7"/>
  <c r="T11" i="7" s="1"/>
  <c r="G13" i="7"/>
  <c r="A13" i="7"/>
  <c r="N12" i="7" l="1"/>
  <c r="T12" i="7" s="1"/>
  <c r="O12" i="7"/>
  <c r="U12" i="7" s="1"/>
  <c r="K13" i="7"/>
  <c r="I13" i="7"/>
  <c r="H13" i="7"/>
  <c r="L13" i="7"/>
  <c r="Q12" i="7"/>
  <c r="Q11" i="7"/>
  <c r="G35" i="3"/>
  <c r="G6" i="3"/>
  <c r="R12" i="7" l="1"/>
  <c r="O13" i="7"/>
  <c r="U13" i="7" s="1"/>
  <c r="N13" i="7"/>
  <c r="T13" i="7" s="1"/>
  <c r="H6" i="3"/>
  <c r="H35" i="3"/>
  <c r="G34" i="2"/>
  <c r="G6" i="2"/>
  <c r="R13" i="7" l="1"/>
  <c r="Q13" i="7"/>
  <c r="I35" i="3"/>
  <c r="I6" i="3"/>
  <c r="H6" i="2"/>
  <c r="H34" i="2"/>
  <c r="G51" i="2" l="1"/>
  <c r="J6" i="3"/>
  <c r="J35" i="3"/>
  <c r="K35" i="3" s="1"/>
  <c r="K6" i="3"/>
  <c r="I34" i="2"/>
  <c r="I6" i="2"/>
  <c r="H51" i="2" l="1"/>
  <c r="L35" i="3"/>
  <c r="L6" i="3"/>
  <c r="J6" i="2"/>
  <c r="J34" i="2"/>
  <c r="I51" i="2" l="1"/>
  <c r="M6" i="3"/>
  <c r="M35" i="3"/>
  <c r="K34" i="2"/>
  <c r="K6" i="2"/>
  <c r="J51" i="2" l="1"/>
  <c r="N35" i="3"/>
  <c r="N6" i="3"/>
  <c r="L6" i="2"/>
  <c r="L34" i="2"/>
  <c r="K51" i="2" l="1"/>
  <c r="O6" i="3"/>
  <c r="O35" i="3"/>
  <c r="M34" i="2"/>
  <c r="M6" i="2"/>
  <c r="L51" i="2" l="1"/>
  <c r="P6" i="3"/>
  <c r="P35" i="3"/>
  <c r="N34" i="2"/>
  <c r="N6" i="2"/>
  <c r="M51" i="2" l="1"/>
  <c r="N51" i="2"/>
  <c r="Q6" i="3"/>
  <c r="Q35" i="3"/>
  <c r="O6" i="2"/>
  <c r="O34" i="2"/>
  <c r="P6" i="2" l="1"/>
  <c r="P34" i="2"/>
  <c r="O51" i="2" l="1"/>
  <c r="O25" i="2"/>
  <c r="Q6" i="2"/>
  <c r="Q34" i="2"/>
  <c r="P51" i="2" l="1"/>
  <c r="F33" i="4"/>
  <c r="Q51" i="2" l="1"/>
  <c r="F31" i="4"/>
  <c r="F22" i="4" s="1"/>
  <c r="F13" i="4" l="1"/>
  <c r="BH5" i="7" s="1"/>
  <c r="F9" i="4" l="1"/>
  <c r="AH7" i="6" l="1"/>
  <c r="AH3" i="11"/>
  <c r="F11" i="5" l="1"/>
  <c r="AH6" i="11"/>
  <c r="AH9" i="6"/>
  <c r="AH13" i="6"/>
  <c r="AH11" i="6"/>
  <c r="F17" i="5" l="1"/>
  <c r="F8" i="5"/>
  <c r="F5" i="5"/>
  <c r="AI7" i="6"/>
  <c r="AI3" i="11"/>
  <c r="AI6" i="11" l="1"/>
  <c r="AI9" i="6"/>
  <c r="AI13" i="6"/>
  <c r="AI11" i="6"/>
  <c r="F37" i="4" l="1"/>
  <c r="F34" i="4" l="1"/>
  <c r="F21" i="4" l="1"/>
  <c r="BI5" i="7"/>
  <c r="AY5" i="7"/>
  <c r="G52" i="3"/>
  <c r="M52" i="3"/>
  <c r="L52" i="3"/>
  <c r="O52" i="3"/>
  <c r="J52" i="3"/>
  <c r="N52" i="3"/>
  <c r="P52" i="3"/>
  <c r="Q52" i="3"/>
  <c r="F52" i="3"/>
  <c r="I52" i="3"/>
  <c r="H52" i="3"/>
  <c r="K52" i="3"/>
  <c r="F51" i="2"/>
  <c r="AJ7" i="6" l="1"/>
  <c r="AJ3" i="11"/>
  <c r="AJ6" i="11" l="1"/>
  <c r="AJ13" i="6"/>
  <c r="AJ11" i="6"/>
  <c r="AJ9" i="6"/>
  <c r="AK7" i="6" l="1"/>
  <c r="AK3" i="11"/>
  <c r="AK6" i="11" l="1"/>
  <c r="AK13" i="6"/>
  <c r="AK11" i="6"/>
  <c r="AK9" i="6"/>
  <c r="F40" i="4"/>
  <c r="BE5" i="7" s="1"/>
  <c r="BK5" i="7" l="1"/>
  <c r="AX5" i="7"/>
  <c r="F38" i="4"/>
  <c r="F48" i="4" s="1"/>
  <c r="AN3" i="11"/>
  <c r="BE4" i="7" l="1"/>
  <c r="BK7" i="7"/>
  <c r="AO5" i="6"/>
  <c r="AO7" i="6" s="1"/>
  <c r="AO13" i="6" s="1"/>
  <c r="BA5" i="7"/>
  <c r="AX4" i="7" s="1"/>
  <c r="BK4" i="7"/>
  <c r="BJ4" i="7"/>
  <c r="BH4" i="7"/>
  <c r="BF4" i="7"/>
  <c r="BG4" i="7"/>
  <c r="BI4" i="7"/>
  <c r="G38" i="4"/>
  <c r="AO11" i="6" l="1"/>
  <c r="AO9" i="6"/>
  <c r="AO3" i="11"/>
  <c r="AY4" i="7"/>
  <c r="BA4" i="7"/>
  <c r="AZ4" i="7"/>
  <c r="AM7" i="6"/>
  <c r="G19" i="4"/>
  <c r="G9" i="4"/>
  <c r="G21" i="4"/>
  <c r="BA7" i="7"/>
  <c r="AM13" i="6" l="1"/>
  <c r="AM9" i="6"/>
  <c r="AM11" i="6"/>
  <c r="AM3" i="11"/>
  <c r="F25" i="3" l="1"/>
  <c r="H25" i="2" l="1"/>
  <c r="H25" i="3"/>
  <c r="J25" i="2"/>
  <c r="J25" i="3"/>
  <c r="N25" i="2"/>
  <c r="N25" i="3"/>
  <c r="K25" i="2"/>
  <c r="K25" i="3"/>
  <c r="O25" i="3"/>
  <c r="Q25" i="2"/>
  <c r="Q25" i="3"/>
  <c r="M25" i="2"/>
  <c r="M25" i="3"/>
  <c r="G25" i="2"/>
  <c r="G25" i="3"/>
  <c r="I25" i="2"/>
  <c r="I25" i="3"/>
  <c r="P25" i="2"/>
  <c r="P25" i="3"/>
  <c r="L25" i="2"/>
  <c r="L25" i="3"/>
  <c r="F25" i="2" l="1"/>
  <c r="D11" i="5" l="1"/>
  <c r="D5" i="5"/>
  <c r="D17" i="5"/>
  <c r="D8" i="5" l="1"/>
  <c r="E17" i="5" l="1"/>
  <c r="E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As_Gabinete_Oeste1</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O6" authorId="1" shapeId="0" xr:uid="{C3946839-15E8-46E7-8B29-6F790C33C1C5}">
      <text>
        <r>
          <rPr>
            <b/>
            <sz val="9"/>
            <color indexed="81"/>
            <rFont val="Tahoma"/>
            <family val="2"/>
          </rPr>
          <t>Neto de Portezuelo del Viento.</t>
        </r>
      </text>
    </comment>
    <comment ref="A12" authorId="0" shapeId="0" xr:uid="{00000000-0006-0000-0600-000003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<sst xmlns="http://schemas.openxmlformats.org/spreadsheetml/2006/main" count="1026" uniqueCount="267">
  <si>
    <t>Acreedor/Creditor</t>
  </si>
  <si>
    <t>ID</t>
  </si>
  <si>
    <t>Pesos</t>
  </si>
  <si>
    <t>Refinanciación 2019 FFDP</t>
  </si>
  <si>
    <t>FFDPO23</t>
  </si>
  <si>
    <t>ANSES 3% 2019</t>
  </si>
  <si>
    <t>ANSE23</t>
  </si>
  <si>
    <t>FFFIR Ley 8530</t>
  </si>
  <si>
    <t>FFFIRO24</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</si>
  <si>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</si>
  <si>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</si>
  <si>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</si>
  <si>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</si>
  <si>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</si>
  <si>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</si>
  <si>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</si>
  <si>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</si>
  <si>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</si>
  <si>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</si>
  <si>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</si>
  <si>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</si>
  <si>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</si>
  <si>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</si>
  <si>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</si>
  <si>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</si>
  <si>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</si>
  <si>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</si>
  <si>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</si>
  <si>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</si>
  <si>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</si>
  <si>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</si>
  <si>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</si>
  <si>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</si>
  <si>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</si>
  <si>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</si>
  <si>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</si>
  <si>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</si>
  <si>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</si>
  <si>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</si>
  <si>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</si>
  <si>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</si>
  <si>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</si>
  <si>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</si>
  <si>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</si>
  <si>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</si>
  <si>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</si>
  <si>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</si>
  <si>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</si>
  <si>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</si>
  <si>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</si>
  <si>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</si>
  <si>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</si>
  <si>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</si>
  <si>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</si>
  <si>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</si>
  <si>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</si>
  <si>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</si>
  <si>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</si>
  <si>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</si>
  <si>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</si>
  <si>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</si>
  <si>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</si>
  <si>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</si>
  <si>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</si>
  <si>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</si>
  <si>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</si>
  <si>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</si>
  <si>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</si>
  <si>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</si>
  <si>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</si>
  <si>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</si>
  <si>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</si>
  <si>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</si>
  <si>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</si>
  <si>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</si>
  <si>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</si>
  <si>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</si>
  <si>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</si>
  <si>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</si>
  <si>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</si>
  <si>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</si>
  <si>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</si>
  <si>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</si>
  <si>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</si>
  <si>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</si>
  <si>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</si>
  <si>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</si>
  <si>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</si>
  <si>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</si>
  <si>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</si>
  <si>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</si>
  <si>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</si>
  <si>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</si>
  <si>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</si>
  <si>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</si>
  <si>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</si>
  <si>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</si>
  <si>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</si>
  <si>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</si>
  <si>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</si>
  <si>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</si>
  <si>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</si>
  <si>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</si>
  <si>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</si>
  <si>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</si>
  <si>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</si>
  <si>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</si>
  <si>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</si>
  <si>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</si>
  <si>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</si>
  <si>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</si>
  <si>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</si>
  <si>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</si>
  <si>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</si>
  <si>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</si>
  <si>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</si>
  <si>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</si>
  <si>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</si>
  <si>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</si>
  <si>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</si>
  <si>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</si>
  <si>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</si>
  <si>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</si>
  <si>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</si>
  <si>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Programa para la Emergencia Financiera Provincial</t>
  </si>
  <si>
    <t>GOBD23</t>
  </si>
  <si>
    <t>TOTAL INTERESES EN PESOS</t>
  </si>
  <si>
    <t>TOTAL INTERESES EN USD</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</si>
  <si>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</si>
  <si>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</si>
  <si>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</si>
  <si>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</si>
  <si>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</si>
  <si>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</si>
  <si>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</si>
  <si>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</si>
  <si>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</si>
  <si>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</si>
  <si>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t>(1) Se incluye Endeudamiento con el Fondo Fiduciario Federal de Infraestructura Regional (FFFIR) ajustable por el Costo de la Construcción (ICC) con un tope máximo de 17% para 2020 y 2021</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</si>
  <si>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</si>
  <si>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</si>
  <si>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</si>
  <si>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r>
      <t xml:space="preserve">BONO MENDOZA 2029 </t>
    </r>
    <r>
      <rPr>
        <vertAlign val="superscript"/>
        <sz val="11"/>
        <rFont val="Arial Narrow"/>
        <family val="2"/>
      </rPr>
      <t>(2)</t>
    </r>
  </si>
  <si>
    <t>BONO MENDOZA 2024 - Inversión en Infraestructura Pública</t>
  </si>
  <si>
    <t>PMD24</t>
  </si>
  <si>
    <t>BONO MENDOZA 2023</t>
  </si>
  <si>
    <t>PMJ23</t>
  </si>
  <si>
    <t>Bono de Conversión ANSES</t>
  </si>
  <si>
    <t>PMM31</t>
  </si>
  <si>
    <r>
      <rPr>
        <vertAlign val="superscript"/>
        <sz val="9"/>
        <color theme="1"/>
        <rFont val="Arial Narrow"/>
        <family val="2"/>
      </rPr>
      <t xml:space="preserve">(2)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</si>
  <si>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</si>
  <si>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</si>
  <si>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</si>
  <si>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</si>
  <si>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</si>
  <si>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</si>
  <si>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</si>
  <si>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</si>
  <si>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BIDJ37</t>
  </si>
  <si>
    <t>8867 BIRF - GIRSAR</t>
  </si>
  <si>
    <t>BIRE50</t>
  </si>
  <si>
    <t>Coparticipación Federal de Impuestos</t>
  </si>
  <si>
    <t>Mensual</t>
  </si>
  <si>
    <t>Automático</t>
  </si>
  <si>
    <t>CER + 0,1%</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</si>
  <si>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</si>
  <si>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</si>
  <si>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</si>
  <si>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</si>
  <si>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</si>
  <si>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</si>
  <si>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</si>
  <si>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</si>
  <si>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</si>
  <si>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CER + 4,25%</t>
  </si>
  <si>
    <t>BADLAR Bancos Privados + 8,5%</t>
  </si>
  <si>
    <t>BADLAR Bcos Priv</t>
  </si>
  <si>
    <t>BADLAR Bancos Privados + 4%</t>
  </si>
  <si>
    <t>BADLAR Bancos Privados</t>
  </si>
  <si>
    <t>-</t>
  </si>
  <si>
    <t>Títulos de Deuda SVS</t>
  </si>
  <si>
    <t>Títulos de Deuda 2024</t>
  </si>
  <si>
    <t>PMJ25</t>
  </si>
  <si>
    <t>PM2D4</t>
  </si>
  <si>
    <t>BADLAR Bancos Privados + 5,90%</t>
  </si>
  <si>
    <t>BADLAR Bancos Privados + 5,75%</t>
  </si>
  <si>
    <t>8712 BIRF - Proyecto Integral Hábitat y Vivienda</t>
  </si>
  <si>
    <t>BIRF34</t>
  </si>
  <si>
    <t>Promedio        2030-2050</t>
  </si>
  <si>
    <t>TÍTULOS DE DEUDA SVS</t>
  </si>
  <si>
    <t>TÍTULOS DE DEUDA 2024</t>
  </si>
  <si>
    <t>Prom Resto 2030-2050</t>
  </si>
  <si>
    <t>C</t>
  </si>
  <si>
    <t>GF</t>
  </si>
  <si>
    <t>BNA</t>
  </si>
  <si>
    <t>BI</t>
  </si>
  <si>
    <t>BN</t>
  </si>
  <si>
    <t>TB</t>
  </si>
  <si>
    <t>2do Trimestre</t>
  </si>
  <si>
    <r>
      <rPr>
        <vertAlign val="superscript"/>
        <sz val="9"/>
        <color theme="1"/>
        <rFont val="Arial Narrow"/>
        <family val="2"/>
      </rPr>
      <t>(3)</t>
    </r>
    <r>
      <rPr>
        <sz val="9"/>
        <color theme="1"/>
        <rFont val="Arial Narrow"/>
        <family val="2"/>
      </rPr>
      <t xml:space="preserve"> En el marco de la Emisión de los Títulos de Deuda 2023, que se emitieron el día 17 de diciembre de 2021, se suscribieron $387,9197 millones con "Letras de Tesorería Serie I 2021".</t>
    </r>
  </si>
  <si>
    <r>
      <t xml:space="preserve">BONO MENDOZA 2023 </t>
    </r>
    <r>
      <rPr>
        <vertAlign val="superscript"/>
        <sz val="11"/>
        <rFont val="Arial Narrow"/>
        <family val="2"/>
      </rPr>
      <t>(3)</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</si>
  <si>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t>
    </r>
  </si>
  <si>
    <r>
      <t xml:space="preserve">Títulos de Deuda 2024 </t>
    </r>
    <r>
      <rPr>
        <vertAlign val="superscript"/>
        <sz val="11"/>
        <rFont val="Arial Narrow"/>
        <family val="2"/>
      </rPr>
      <t>(4)</t>
    </r>
  </si>
  <si>
    <r>
      <rPr>
        <vertAlign val="superscript"/>
        <sz val="9"/>
        <color theme="1"/>
        <rFont val="Arial Narrow"/>
        <family val="2"/>
      </rPr>
      <t>(4)</t>
    </r>
    <r>
      <rPr>
        <sz val="9"/>
        <color theme="1"/>
        <rFont val="Arial Narrow"/>
        <family val="2"/>
      </rPr>
      <t xml:space="preserve"> La totalidad del stock informado corresponde a la refinanciación del BONO MENDOZA 2023, con fecha el 21/06/2023.</t>
    </r>
  </si>
  <si>
    <r>
      <rPr>
        <vertAlign val="superscript"/>
        <sz val="12"/>
        <color theme="1"/>
        <rFont val="Arial Narrow"/>
        <family val="2"/>
      </rPr>
      <t>(1)</t>
    </r>
    <r>
      <rPr>
        <sz val="12"/>
        <color theme="1"/>
        <rFont val="Arial Narrow"/>
        <family val="2"/>
      </rPr>
      <t xml:space="preserve"> Se incluye Endeudamiento con el Fondo Fiduciario Federal de Infraestructura Regional (FFFIR) ajustable por el Costo de la Construcción (ICC) con un tope máximo de 17%.</t>
    </r>
  </si>
  <si>
    <r>
      <rPr>
        <vertAlign val="superscript"/>
        <sz val="12"/>
        <color theme="1"/>
        <rFont val="Arial Narrow"/>
        <family val="2"/>
      </rPr>
      <t>(2)</t>
    </r>
    <r>
      <rPr>
        <sz val="12"/>
        <color theme="1"/>
        <rFont val="Arial Narrow"/>
        <family val="2"/>
      </rPr>
      <t xml:space="preserve"> En el marco del Programa de Letras de Tesorería 2021, que se licitaron el día 01 de junio de 2021, se suscribieron $2.901,947 millones con bono PMJ21. El saldo remanente del "BONO PESOS 2021 - Clase 1" se canceló en su fecha de vencimiento.</t>
    </r>
  </si>
  <si>
    <t>Fecha</t>
  </si>
  <si>
    <t>IPC INDEC</t>
  </si>
  <si>
    <t>IPC SL</t>
  </si>
  <si>
    <t>VAR SL</t>
  </si>
  <si>
    <t>INDEX</t>
  </si>
  <si>
    <t>IPC</t>
  </si>
  <si>
    <t>CER (Fin de Período)</t>
  </si>
  <si>
    <r>
      <rPr>
        <vertAlign val="superscript"/>
        <sz val="9"/>
        <color theme="1"/>
        <rFont val="Arial Narrow"/>
        <family val="2"/>
      </rPr>
      <t>(5)</t>
    </r>
    <r>
      <rPr>
        <sz val="9"/>
        <color theme="1"/>
        <rFont val="Arial Narrow"/>
        <family val="2"/>
      </rPr>
      <t xml:space="preserve"> La administración y gestión de los fondos provenientes del Préstamo es realizada por el IPV</t>
    </r>
  </si>
  <si>
    <r>
      <t>8867 BIRF - GIRSAR</t>
    </r>
    <r>
      <rPr>
        <vertAlign val="superscript"/>
        <sz val="11"/>
        <rFont val="Arial Narrow"/>
        <family val="2"/>
      </rPr>
      <t xml:space="preserve"> </t>
    </r>
  </si>
  <si>
    <r>
      <t xml:space="preserve">8712 BIRF - Proyecto Integral Hábitat y Vivienda </t>
    </r>
    <r>
      <rPr>
        <vertAlign val="superscript"/>
        <sz val="11"/>
        <rFont val="Arial Narrow"/>
        <family val="2"/>
      </rPr>
      <t>(5)</t>
    </r>
  </si>
  <si>
    <t>FFFIRE33</t>
  </si>
  <si>
    <t>FFFIR Cloacas Tunuyán - Tupungato</t>
  </si>
  <si>
    <t>Deuda</t>
  </si>
  <si>
    <t>PBG</t>
  </si>
  <si>
    <t>En millones de ARS corrientes</t>
  </si>
  <si>
    <t>Ratio</t>
  </si>
  <si>
    <t>3er Trimestre</t>
  </si>
  <si>
    <t>Cap</t>
  </si>
  <si>
    <t>Int</t>
  </si>
  <si>
    <t>I</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</si>
  <si>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</si>
  <si>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</si>
  <si>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</si>
  <si>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</si>
  <si>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</si>
  <si>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</si>
  <si>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</si>
  <si>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</si>
  <si>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</si>
  <si>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</si>
  <si>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</si>
  <si>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</si>
  <si>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</si>
  <si>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</si>
  <si>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</si>
  <si>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</si>
  <si>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</si>
  <si>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BIDE34</t>
  </si>
  <si>
    <t>BIDE37</t>
  </si>
  <si>
    <t>4to Trimestre</t>
  </si>
  <si>
    <t>Acumulada trimestre</t>
  </si>
  <si>
    <t xml:space="preserve"> (A) (IPC Diciembre 2023) /(IPC Periodo) </t>
  </si>
  <si>
    <t>(3) x (A) = Deuda TOTAL ADMINISTRACIÓN CENTRAL medida en PESOS de Diciembre de 2023</t>
  </si>
  <si>
    <t>(3+4) x (A)= Deuda TOTAL medida en PESOS de Diciembre de 2023</t>
  </si>
  <si>
    <t>Total</t>
  </si>
  <si>
    <t>2030-2050</t>
  </si>
  <si>
    <t>GRÁFICOS</t>
  </si>
  <si>
    <t>COMPOSICIÓN DE LA DEUDA PÚBLICA POR TASA DE INTERÉS</t>
  </si>
  <si>
    <t>COMPOSICIÓN DE LA DEUDA PÚBLICA POR MONEDA</t>
  </si>
  <si>
    <t>% del Total</t>
  </si>
  <si>
    <t xml:space="preserve"> % del Total</t>
  </si>
  <si>
    <t>PERFIL DE VENCIMIENTO DEUDA PÚBLICA EN PESOS</t>
  </si>
  <si>
    <t>PERFIL DE VENCIMIENTO DEUDA PÚBLICA EN DÓLARES</t>
  </si>
  <si>
    <t>Millones de USD</t>
  </si>
  <si>
    <t>Millones de $</t>
  </si>
  <si>
    <t>PERFIL DE VENCIMIENTOS DEUDA PÚBLICA EN DÓLARES POR TIPO DE SERVICIO</t>
  </si>
  <si>
    <t>Millones de USD. Capital e Interés como % del servicio total</t>
  </si>
  <si>
    <t>Millones de $. Capital e Interés como % del servicio total</t>
  </si>
  <si>
    <t>PERFIL DE VENCIMIENTOS DEUDA PÚBLICA EN PESOS POR TIPO DE SERVICIO</t>
  </si>
  <si>
    <t>PERFIL DE VENCIMIENTO DEUDA PÚBLICA EN PESOS POR ACREEDOR</t>
  </si>
  <si>
    <t>PERFIL DE VENCIMIENTO DEUDA PÚBLICA EN DÓLARES POR ACREEDOR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</si>
</sst>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_ * #,##0.0_ ;_ * \-#,##0.0_ ;_ * &quot;-&quot;??_ ;_ @_ "/>
    <numFmt numFmtId="178" formatCode="[$USD]\ #,##0.000000"/>
    <numFmt numFmtId="179" formatCode="_ * #,##0.00000000_ ;_ * \-#,##0.00000000_ ;_ * &quot;-&quot;??_ ;_ @_ "/>
    <numFmt numFmtId="180" formatCode="0.0"/>
    <numFmt numFmtId="181" formatCode="#,##0.00_ ;[Red]\-#,##0.00\ "/>
    <numFmt numFmtId="182" formatCode="mmmm\-yy"/>
    <numFmt numFmtId="183" formatCode="#,##0.000000000000000"/>
  </numFmts>
  <fonts count="56"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sz val="12"/>
      <color theme="0"/>
      <name val="Arial Narrow"/>
      <family val="2"/>
    </font>
    <font>
      <sz val="12"/>
      <color rgb="FF000099"/>
      <name val="Arial Narrow"/>
      <family val="2"/>
    </font>
    <font>
      <sz val="12"/>
      <color theme="1"/>
      <name val="Calibri"/>
      <family val="2"/>
      <scheme val="minor"/>
    </font>
    <font>
      <vertAlign val="superscript"/>
      <sz val="12"/>
      <color theme="1"/>
      <name val="Arial Narrow"/>
      <family val="2"/>
    </font>
    <font>
      <b/>
      <sz val="8"/>
      <color indexed="30"/>
      <name val="Arial"/>
      <family val="2"/>
    </font>
    <font>
      <sz val="11"/>
      <color theme="5"/>
      <name val="Calibri"/>
      <family val="2"/>
      <scheme val="minor"/>
    </font>
    <font>
      <b/>
      <sz val="14"/>
      <color theme="1"/>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
      <sz val="10"/>
      <color theme="1"/>
      <name val="Arial"/>
      <family val="2"/>
    </font>
    <font>
      <sz val="10"/>
      <color indexed="8"/>
      <name val="Arial"/>
      <family val="2"/>
    </font>
    <font>
      <b/>
      <sz val="16"/>
      <color theme="1"/>
      <name val="Calibri"/>
      <family val="2"/>
      <scheme val="minor"/>
    </font>
    <font>
      <b/>
      <sz val="14"/>
      <color rgb="FF000000"/>
      <name val="Arial Narrow"/>
      <family val="2"/>
    </font>
    <font>
      <b/>
      <sz val="9"/>
      <color indexed="81"/>
      <name val="Tahoma"/>
      <family val="2"/>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1" fillId="0" borderId="0"/>
    <xf numFmtId="181" fontId="52" fillId="0" borderId="0" applyFont="0" applyFill="0" applyBorder="0" applyAlignment="0" applyProtection="0"/>
  </cellStyleXfs>
  <cellXfs count="261">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6" fontId="5"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1" fontId="22" fillId="0" borderId="2" xfId="0" applyNumberFormat="1" applyFont="1" applyBorder="1" applyAlignment="1">
      <alignment horizontal="center" vertical="center"/>
    </xf>
    <xf numFmtId="10" fontId="22" fillId="6" borderId="2" xfId="2" applyNumberFormat="1" applyFont="1" applyFill="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0"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1" fontId="9" fillId="0" borderId="2" xfId="0" applyNumberFormat="1" applyFont="1" applyBorder="1" applyAlignment="1">
      <alignment horizontal="center"/>
    </xf>
    <xf numFmtId="176"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2" fontId="13" fillId="4" borderId="2" xfId="1" applyNumberFormat="1" applyFont="1" applyFill="1" applyBorder="1" applyAlignment="1">
      <alignment horizontal="center" vertical="center"/>
    </xf>
    <xf numFmtId="172" fontId="8" fillId="4" borderId="2" xfId="0"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2" fillId="0" borderId="2" xfId="0" applyNumberFormat="1" applyFont="1" applyBorder="1" applyAlignment="1">
      <alignment horizontal="center" vertical="center"/>
    </xf>
    <xf numFmtId="172" fontId="9" fillId="2" borderId="2" xfId="1" applyNumberFormat="1" applyFont="1" applyFill="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6" fillId="2" borderId="2" xfId="0" applyNumberFormat="1" applyFont="1" applyFill="1" applyBorder="1" applyAlignment="1">
      <alignment horizontal="center" vertical="center"/>
    </xf>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7" fontId="4" fillId="0" borderId="0" xfId="0" applyNumberFormat="1" applyFont="1"/>
    <xf numFmtId="0" fontId="36" fillId="0" borderId="0" xfId="0" applyFont="1"/>
    <xf numFmtId="166" fontId="36" fillId="0" borderId="0" xfId="1" applyFont="1"/>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179" fontId="17" fillId="0" borderId="0" xfId="1" applyNumberFormat="1" applyFont="1" applyBorder="1" applyAlignment="1">
      <alignment horizontal="left"/>
    </xf>
    <xf numFmtId="166" fontId="31" fillId="0" borderId="0" xfId="1" applyFont="1" applyAlignment="1">
      <alignment horizontal="center" vertical="center"/>
    </xf>
    <xf numFmtId="165" fontId="17" fillId="0" borderId="0" xfId="0" applyNumberFormat="1" applyFont="1" applyAlignment="1">
      <alignment horizontal="left"/>
    </xf>
    <xf numFmtId="172" fontId="23" fillId="0" borderId="0" xfId="0" applyNumberFormat="1" applyFont="1"/>
    <xf numFmtId="168" fontId="0" fillId="0" borderId="0" xfId="2" applyNumberFormat="1" applyFont="1"/>
    <xf numFmtId="177" fontId="0" fillId="0" borderId="0" xfId="1" applyNumberFormat="1" applyFont="1"/>
    <xf numFmtId="0" fontId="38" fillId="0" borderId="0" xfId="0" applyFont="1"/>
    <xf numFmtId="0" fontId="5" fillId="0" borderId="0" xfId="0" applyFont="1"/>
    <xf numFmtId="164" fontId="39" fillId="0" borderId="0" xfId="0" applyNumberFormat="1" applyFont="1" applyAlignment="1">
      <alignment vertical="center"/>
    </xf>
    <xf numFmtId="177" fontId="5" fillId="0" borderId="0" xfId="0" applyNumberFormat="1" applyFont="1"/>
    <xf numFmtId="0" fontId="6" fillId="5" borderId="0" xfId="0" applyFont="1" applyFill="1" applyAlignment="1">
      <alignment horizontal="center"/>
    </xf>
    <xf numFmtId="164" fontId="7" fillId="0" borderId="2" xfId="0" applyNumberFormat="1" applyFont="1" applyBorder="1" applyAlignment="1">
      <alignment vertical="center"/>
    </xf>
    <xf numFmtId="43" fontId="5" fillId="0" borderId="0" xfId="0" applyNumberFormat="1" applyFont="1"/>
    <xf numFmtId="43" fontId="5" fillId="0" borderId="0" xfId="1" applyNumberFormat="1" applyFont="1" applyBorder="1" applyAlignment="1">
      <alignment horizontal="center"/>
    </xf>
    <xf numFmtId="0" fontId="40" fillId="0" borderId="0" xfId="0" applyFont="1"/>
    <xf numFmtId="166" fontId="6" fillId="4" borderId="0" xfId="0" applyNumberFormat="1" applyFont="1" applyFill="1" applyAlignment="1">
      <alignment horizontal="center" vertical="center"/>
    </xf>
    <xf numFmtId="0" fontId="5" fillId="0" borderId="0" xfId="0" applyFont="1" applyAlignment="1">
      <alignment horizontal="left" vertical="center" wrapText="1"/>
    </xf>
    <xf numFmtId="178" fontId="5" fillId="0" borderId="0" xfId="0" applyNumberFormat="1" applyFont="1"/>
    <xf numFmtId="164" fontId="7" fillId="3" borderId="0" xfId="0" applyNumberFormat="1" applyFont="1" applyFill="1" applyAlignment="1">
      <alignment vertical="center"/>
    </xf>
    <xf numFmtId="43" fontId="5" fillId="0" borderId="0" xfId="0" applyNumberFormat="1" applyFont="1" applyAlignment="1">
      <alignment vertical="center"/>
    </xf>
    <xf numFmtId="17" fontId="0" fillId="0" borderId="0" xfId="0" applyNumberFormat="1"/>
    <xf numFmtId="9" fontId="0" fillId="0" borderId="0" xfId="2" applyFont="1"/>
    <xf numFmtId="2" fontId="42" fillId="0" borderId="13" xfId="0" applyNumberFormat="1" applyFont="1" applyBorder="1" applyAlignment="1">
      <alignment horizontal="center"/>
    </xf>
    <xf numFmtId="4" fontId="42" fillId="0" borderId="13" xfId="0" applyNumberFormat="1" applyFont="1" applyBorder="1" applyAlignment="1">
      <alignment horizontal="center"/>
    </xf>
    <xf numFmtId="4" fontId="42" fillId="0" borderId="0" xfId="0" applyNumberFormat="1" applyFont="1" applyAlignment="1">
      <alignment horizontal="center"/>
    </xf>
    <xf numFmtId="2" fontId="0" fillId="0" borderId="0" xfId="0" applyNumberFormat="1"/>
    <xf numFmtId="172" fontId="43" fillId="0" borderId="2" xfId="0" applyNumberFormat="1" applyFont="1" applyBorder="1" applyAlignment="1">
      <alignment horizontal="center" vertical="center"/>
    </xf>
    <xf numFmtId="172" fontId="43" fillId="0" borderId="2" xfId="0" applyNumberFormat="1" applyFont="1" applyBorder="1" applyAlignment="1">
      <alignment horizontal="center"/>
    </xf>
    <xf numFmtId="180" fontId="0" fillId="0" borderId="0" xfId="0" applyNumberFormat="1"/>
    <xf numFmtId="165" fontId="10" fillId="0" borderId="0" xfId="0" applyNumberFormat="1" applyFont="1" applyAlignment="1">
      <alignment horizontal="left" vertical="center"/>
    </xf>
    <xf numFmtId="165" fontId="5" fillId="0" borderId="0" xfId="0" applyNumberFormat="1" applyFont="1" applyAlignment="1">
      <alignment vertical="center"/>
    </xf>
    <xf numFmtId="165" fontId="12" fillId="0" borderId="0" xfId="0" applyNumberFormat="1" applyFont="1" applyAlignment="1">
      <alignment vertical="center"/>
    </xf>
    <xf numFmtId="165" fontId="0" fillId="0" borderId="0" xfId="0" applyNumberFormat="1"/>
    <xf numFmtId="165" fontId="8" fillId="5" borderId="2" xfId="0" applyNumberFormat="1" applyFont="1" applyFill="1" applyBorder="1" applyAlignment="1">
      <alignment horizontal="center" vertical="center"/>
    </xf>
    <xf numFmtId="165" fontId="35" fillId="0" borderId="7" xfId="1" applyNumberFormat="1" applyFont="1" applyBorder="1" applyAlignment="1">
      <alignment horizontal="center"/>
    </xf>
    <xf numFmtId="165" fontId="17" fillId="0" borderId="0" xfId="0" applyNumberFormat="1" applyFont="1"/>
    <xf numFmtId="177" fontId="0" fillId="0" borderId="0" xfId="1" applyNumberFormat="1" applyFont="1" applyAlignment="1">
      <alignment horizontal="center"/>
    </xf>
    <xf numFmtId="177" fontId="31" fillId="0" borderId="0" xfId="1" applyNumberFormat="1" applyFont="1" applyAlignment="1">
      <alignment horizontal="center" vertical="center"/>
    </xf>
    <xf numFmtId="177" fontId="32" fillId="0" borderId="0" xfId="1" applyNumberFormat="1" applyFont="1" applyAlignment="1">
      <alignment horizontal="center" vertical="center"/>
    </xf>
    <xf numFmtId="177" fontId="32" fillId="0" borderId="0" xfId="1" applyNumberFormat="1" applyFont="1" applyBorder="1" applyAlignment="1">
      <alignment horizontal="center" vertical="center"/>
    </xf>
    <xf numFmtId="9" fontId="1" fillId="0" borderId="0" xfId="2" applyFont="1"/>
    <xf numFmtId="0" fontId="45" fillId="0" borderId="0" xfId="0" applyFont="1"/>
    <xf numFmtId="0" fontId="49" fillId="0" borderId="18" xfId="0" applyFont="1" applyBorder="1"/>
    <xf numFmtId="181" fontId="49" fillId="0" borderId="2" xfId="0" applyNumberFormat="1" applyFont="1" applyBorder="1" applyAlignment="1">
      <alignment horizontal="right"/>
    </xf>
    <xf numFmtId="181" fontId="49" fillId="0" borderId="2" xfId="0" applyNumberFormat="1" applyFont="1" applyBorder="1"/>
    <xf numFmtId="0" fontId="50" fillId="0" borderId="2" xfId="0" applyFont="1" applyBorder="1" applyAlignment="1">
      <alignment horizontal="center"/>
    </xf>
    <xf numFmtId="182" fontId="50" fillId="0" borderId="2" xfId="0" applyNumberFormat="1" applyFont="1" applyBorder="1" applyAlignment="1">
      <alignment horizontal="center"/>
    </xf>
    <xf numFmtId="0" fontId="50" fillId="0" borderId="21" xfId="0" applyFont="1" applyBorder="1" applyAlignment="1">
      <alignment horizontal="center"/>
    </xf>
    <xf numFmtId="0" fontId="50" fillId="0" borderId="22" xfId="0" applyFont="1" applyBorder="1"/>
    <xf numFmtId="181" fontId="50" fillId="0" borderId="23" xfId="0" applyNumberFormat="1" applyFont="1" applyBorder="1"/>
    <xf numFmtId="4" fontId="50" fillId="0" borderId="23" xfId="0" applyNumberFormat="1" applyFont="1" applyBorder="1"/>
    <xf numFmtId="0" fontId="50" fillId="0" borderId="23" xfId="0" applyFont="1" applyBorder="1" applyAlignment="1">
      <alignment horizontal="center"/>
    </xf>
    <xf numFmtId="182" fontId="50" fillId="0" borderId="23" xfId="0" applyNumberFormat="1" applyFont="1" applyBorder="1" applyAlignment="1">
      <alignment horizontal="center"/>
    </xf>
    <xf numFmtId="1" fontId="50" fillId="0" borderId="23" xfId="0" applyNumberFormat="1" applyFont="1" applyBorder="1" applyAlignment="1">
      <alignment horizontal="center"/>
    </xf>
    <xf numFmtId="0" fontId="50" fillId="0" borderId="24" xfId="0" applyFont="1" applyBorder="1" applyAlignment="1">
      <alignment horizontal="center"/>
    </xf>
    <xf numFmtId="164" fontId="12" fillId="3" borderId="2" xfId="0" applyNumberFormat="1" applyFont="1" applyFill="1" applyBorder="1" applyAlignment="1">
      <alignment horizontal="center" vertical="center"/>
    </xf>
    <xf numFmtId="165" fontId="12" fillId="3" borderId="2" xfId="0" applyNumberFormat="1" applyFont="1" applyFill="1" applyBorder="1" applyAlignment="1">
      <alignment horizontal="center" vertical="center"/>
    </xf>
    <xf numFmtId="164" fontId="12" fillId="3" borderId="2" xfId="0" applyNumberFormat="1" applyFont="1" applyFill="1" applyBorder="1" applyAlignment="1">
      <alignment vertical="center"/>
    </xf>
    <xf numFmtId="166" fontId="5" fillId="3" borderId="2" xfId="1" applyFont="1" applyFill="1" applyBorder="1" applyAlignment="1">
      <alignment horizontal="center" vertical="center"/>
    </xf>
    <xf numFmtId="183" fontId="12" fillId="0" borderId="0" xfId="0" applyNumberFormat="1" applyFont="1" applyAlignment="1">
      <alignment horizontal="center" vertical="center"/>
    </xf>
    <xf numFmtId="172" fontId="12" fillId="3" borderId="2" xfId="0" applyNumberFormat="1" applyFont="1" applyFill="1" applyBorder="1" applyAlignment="1">
      <alignment horizontal="center" vertical="center"/>
    </xf>
    <xf numFmtId="166" fontId="5" fillId="3" borderId="2" xfId="1" applyFont="1" applyFill="1" applyBorder="1" applyAlignment="1">
      <alignment vertical="center"/>
    </xf>
    <xf numFmtId="0" fontId="8" fillId="4" borderId="0" xfId="0" applyFont="1" applyFill="1" applyAlignment="1">
      <alignment horizontal="center" vertical="center" wrapText="1"/>
    </xf>
    <xf numFmtId="9" fontId="1" fillId="0" borderId="0" xfId="0" applyNumberFormat="1" applyFont="1"/>
    <xf numFmtId="166" fontId="0" fillId="8" borderId="0" xfId="1" applyFont="1" applyFill="1"/>
    <xf numFmtId="0" fontId="0" fillId="8" borderId="0" xfId="0" applyFill="1"/>
    <xf numFmtId="0" fontId="53" fillId="0" borderId="0" xfId="0" applyFont="1"/>
    <xf numFmtId="0" fontId="54" fillId="0" borderId="0" xfId="0" applyFont="1" applyAlignment="1">
      <alignment horizontal="left" vertical="center" indent="1" readingOrder="1"/>
    </xf>
    <xf numFmtId="0" fontId="39" fillId="0" borderId="0" xfId="0" applyFont="1" applyAlignment="1">
      <alignment horizontal="left" vertical="center" indent="1" readingOrder="1"/>
    </xf>
    <xf numFmtId="176" fontId="37" fillId="0" borderId="0" xfId="2" applyNumberFormat="1" applyFont="1" applyAlignment="1">
      <alignment horizontal="left" vertical="center" wrapText="1"/>
    </xf>
    <xf numFmtId="168" fontId="9" fillId="0" borderId="0" xfId="2" applyNumberFormat="1" applyFont="1" applyFill="1" applyBorder="1" applyAlignment="1">
      <alignment horizontal="left" vertical="center" wrapText="1"/>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5" fontId="8" fillId="5" borderId="1" xfId="0" applyNumberFormat="1" applyFont="1" applyFill="1" applyBorder="1" applyAlignment="1">
      <alignment horizontal="center" vertical="center" wrapText="1"/>
    </xf>
    <xf numFmtId="165" fontId="8" fillId="5" borderId="3" xfId="0" applyNumberFormat="1"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17" fillId="0" borderId="0" xfId="0" applyFont="1" applyAlignment="1">
      <alignment horizontal="left"/>
    </xf>
    <xf numFmtId="0" fontId="6" fillId="4" borderId="0" xfId="0" applyFont="1" applyFill="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5" fillId="0" borderId="0" xfId="0" applyFont="1" applyAlignment="1">
      <alignment horizontal="left" vertical="center" wrapText="1"/>
    </xf>
    <xf numFmtId="164" fontId="21" fillId="0" borderId="0" xfId="0" applyNumberFormat="1" applyFont="1" applyAlignment="1">
      <alignment horizontal="left" vertical="center"/>
    </xf>
    <xf numFmtId="164" fontId="6" fillId="4" borderId="6"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8" fillId="4" borderId="0" xfId="0" applyFont="1" applyFill="1" applyAlignment="1">
      <alignment horizontal="center" vertical="center"/>
    </xf>
    <xf numFmtId="0" fontId="17" fillId="0" borderId="0" xfId="0" applyFont="1" applyAlignment="1">
      <alignment horizontal="left" vertical="center" wrapText="1"/>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164" fontId="44" fillId="0" borderId="0" xfId="0" applyNumberFormat="1" applyFont="1" applyAlignment="1">
      <alignment horizontal="left" vertical="center"/>
    </xf>
    <xf numFmtId="0" fontId="46" fillId="7" borderId="14" xfId="0" applyFont="1" applyFill="1" applyBorder="1" applyAlignment="1">
      <alignment horizontal="center" vertical="center"/>
    </xf>
    <xf numFmtId="0" fontId="46" fillId="7" borderId="18" xfId="0" applyFont="1" applyFill="1" applyBorder="1" applyAlignment="1">
      <alignment horizontal="center" vertical="center"/>
    </xf>
    <xf numFmtId="0" fontId="47" fillId="7" borderId="15" xfId="0" applyFont="1" applyFill="1" applyBorder="1" applyAlignment="1">
      <alignment horizontal="center" vertical="center" wrapText="1"/>
    </xf>
    <xf numFmtId="0" fontId="47" fillId="7" borderId="2" xfId="0" applyFont="1" applyFill="1" applyBorder="1" applyAlignment="1">
      <alignment horizontal="center" vertical="center" wrapText="1"/>
    </xf>
    <xf numFmtId="0" fontId="47" fillId="7" borderId="16" xfId="0" applyFont="1" applyFill="1" applyBorder="1" applyAlignment="1">
      <alignment horizontal="center" vertical="center" wrapText="1"/>
    </xf>
    <xf numFmtId="0" fontId="48" fillId="7" borderId="3"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47" fillId="7" borderId="3" xfId="0" applyFont="1" applyFill="1" applyBorder="1" applyAlignment="1">
      <alignment horizontal="center" vertical="center" wrapText="1"/>
    </xf>
    <xf numFmtId="0" fontId="47" fillId="7" borderId="5"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8" fillId="7" borderId="17" xfId="0" applyFont="1" applyFill="1" applyBorder="1" applyAlignment="1">
      <alignment horizontal="center" vertical="center" wrapText="1"/>
    </xf>
    <xf numFmtId="0" fontId="47" fillId="7" borderId="1" xfId="0" applyFont="1" applyFill="1" applyBorder="1" applyAlignment="1">
      <alignment horizontal="center" vertical="center" wrapText="1"/>
    </xf>
    <xf numFmtId="0" fontId="47" fillId="7" borderId="19" xfId="0" applyFont="1" applyFill="1" applyBorder="1" applyAlignment="1">
      <alignment horizontal="center" vertical="center" wrapText="1"/>
    </xf>
    <xf numFmtId="0" fontId="48" fillId="7" borderId="20" xfId="0" applyFont="1" applyFill="1" applyBorder="1" applyAlignment="1">
      <alignment horizontal="center" vertical="center" wrapText="1"/>
    </xf>
    <xf numFmtId="0" fontId="21" fillId="0" borderId="0" xfId="0" applyFont="1" applyAlignment="1">
      <alignment horizontal="left" vertical="center" wrapText="1"/>
    </xf>
    <xf numFmtId="0" fontId="24" fillId="0" borderId="0" xfId="0" applyFont="1" applyAlignment="1">
      <alignment horizontal="center" vertical="center"/>
    </xf>
  </cellXfs>
  <cellStyles count="6">
    <cellStyle name="Millares" xfId="1" builtinId="3"/>
    <cellStyle name="Millares 10" xfId="3" xr:uid="{00000000-0005-0000-0000-000001000000}"/>
    <cellStyle name="Millares 8" xfId="5" xr:uid="{00000000-0005-0000-0000-000002000000}"/>
    <cellStyle name="Normal" xfId="0" builtinId="0"/>
    <cellStyle name="Normal 3" xfId="4" xr:uid="{00000000-0005-0000-0000-000004000000}"/>
    <cellStyle name="Porcentaje" xfId="2" builtinId="5"/>
  </cellStyles>
  <dxfs count="0"/>
  <tableStyles count="0" defaultTableStyle="TableStyleMedium2" defaultPivotStyle="PivotStyleLight16"/>
  <colors>
    <mruColors>
      <color rgb="FFBC2400"/>
      <color rgb="FFFFFFFF"/>
      <color rgb="FF000099"/>
      <color rgb="FF0B1C3A"/>
      <color rgb="FF375818"/>
      <color rgb="FF031434"/>
      <color rgb="FF910050"/>
      <color rgb="FF132C5A"/>
      <color rgb="FF649438"/>
      <color rgb="FF91C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Dic-23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Dic-23</c:v>
          </c:tx>
          <c:spPr>
            <a:ln w="19050" cap="rnd">
              <a:solidFill>
                <a:srgbClr val="000099"/>
              </a:solidFill>
              <a:round/>
            </a:ln>
            <a:effectLst/>
          </c:spPr>
          <c:marker>
            <c:symbol val="none"/>
          </c:marker>
          <c:cat>
            <c:numRef>
              <c:f>'Evolución Deuda Total'!$B$4:$AO$4</c:f>
              <c:numCache>
                <c:formatCode>mmm\-yy</c:formatCode>
                <c:ptCount val="40"/>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numCache>
            </c:numRef>
          </c:cat>
          <c:val>
            <c:numRef>
              <c:f>'Evolución Deuda Total'!$B$9:$AO$9</c:f>
              <c:numCache>
                <c:formatCode>#,##0.00</c:formatCode>
                <c:ptCount val="40"/>
                <c:pt idx="0">
                  <c:v>722446.37667125033</c:v>
                </c:pt>
                <c:pt idx="1">
                  <c:v>695429.89756656054</c:v>
                </c:pt>
                <c:pt idx="2">
                  <c:v>668029.25360729755</c:v>
                </c:pt>
                <c:pt idx="3">
                  <c:v>694145.86581110524</c:v>
                </c:pt>
                <c:pt idx="4">
                  <c:v>598309.39802118717</c:v>
                </c:pt>
                <c:pt idx="5">
                  <c:v>643364.52439999836</c:v>
                </c:pt>
                <c:pt idx="6">
                  <c:v>638741.73249888665</c:v>
                </c:pt>
                <c:pt idx="7">
                  <c:v>946655.58845921827</c:v>
                </c:pt>
                <c:pt idx="8">
                  <c:v>743077.3667437596</c:v>
                </c:pt>
                <c:pt idx="9">
                  <c:v>974262.6118506135</c:v>
                </c:pt>
                <c:pt idx="10">
                  <c:v>1000144.2163665812</c:v>
                </c:pt>
                <c:pt idx="11">
                  <c:v>1017817.9335004751</c:v>
                </c:pt>
                <c:pt idx="12">
                  <c:v>923540.84612613788</c:v>
                </c:pt>
                <c:pt idx="13">
                  <c:v>1094010.4384861104</c:v>
                </c:pt>
                <c:pt idx="14">
                  <c:v>1053747.0097380599</c:v>
                </c:pt>
                <c:pt idx="15">
                  <c:v>1020581.9801948717</c:v>
                </c:pt>
                <c:pt idx="16">
                  <c:v>1017783.0787787454</c:v>
                </c:pt>
                <c:pt idx="17">
                  <c:v>1098476.7142489329</c:v>
                </c:pt>
                <c:pt idx="18">
                  <c:v>1114098.3177547622</c:v>
                </c:pt>
                <c:pt idx="19">
                  <c:v>1032949.3752478076</c:v>
                </c:pt>
                <c:pt idx="20">
                  <c:v>983015.06726933469</c:v>
                </c:pt>
                <c:pt idx="21">
                  <c:v>966196.37914082338</c:v>
                </c:pt>
                <c:pt idx="22">
                  <c:v>1038201.9426121925</c:v>
                </c:pt>
                <c:pt idx="23">
                  <c:v>1025657.3815822088</c:v>
                </c:pt>
                <c:pt idx="24">
                  <c:v>929112.62568408274</c:v>
                </c:pt>
                <c:pt idx="25">
                  <c:v>965092.09391215187</c:v>
                </c:pt>
                <c:pt idx="26">
                  <c:v>965924.25460695068</c:v>
                </c:pt>
                <c:pt idx="27">
                  <c:v>1040486.6543046758</c:v>
                </c:pt>
                <c:pt idx="28">
                  <c:v>891974.86566371995</c:v>
                </c:pt>
                <c:pt idx="29">
                  <c:v>819149.7546325376</c:v>
                </c:pt>
                <c:pt idx="30">
                  <c:v>814644.05230514077</c:v>
                </c:pt>
                <c:pt idx="31">
                  <c:v>877175.61968540039</c:v>
                </c:pt>
                <c:pt idx="32">
                  <c:v>690741.26641868323</c:v>
                </c:pt>
                <c:pt idx="33">
                  <c:v>662352.10853020498</c:v>
                </c:pt>
                <c:pt idx="34">
                  <c:v>608875.6806181767</c:v>
                </c:pt>
                <c:pt idx="35">
                  <c:v>699161.93848506198</c:v>
                </c:pt>
                <c:pt idx="36">
                  <c:v>511802.36496556096</c:v>
                </c:pt>
                <c:pt idx="37">
                  <c:v>503674.14186281589</c:v>
                </c:pt>
                <c:pt idx="38">
                  <c:v>504188.92981092283</c:v>
                </c:pt>
                <c:pt idx="39">
                  <c:v>624321.19893288298</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303967920"/>
        <c:axId val="-303969008"/>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Total'!$B$4:$AO$4</c:f>
              <c:numCache>
                <c:formatCode>mmm\-yy</c:formatCode>
                <c:ptCount val="40"/>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numCache>
            </c:numRef>
          </c:cat>
          <c:val>
            <c:numRef>
              <c:f>'Evolución Deuda Total'!$B$11:$AO$11</c:f>
              <c:numCache>
                <c:formatCode>#,##0.00</c:formatCode>
                <c:ptCount val="40"/>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pt idx="37">
                  <c:v>950.52011217489417</c:v>
                </c:pt>
                <c:pt idx="38">
                  <c:v>939.57982004744997</c:v>
                </c:pt>
                <c:pt idx="39">
                  <c:v>772.21285700382805</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303978800"/>
        <c:axId val="-303979888"/>
      </c:lineChart>
      <c:dateAx>
        <c:axId val="-30396792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9008"/>
        <c:crosses val="autoZero"/>
        <c:auto val="1"/>
        <c:lblOffset val="100"/>
        <c:baseTimeUnit val="months"/>
        <c:majorUnit val="3"/>
        <c:majorTimeUnit val="months"/>
      </c:dateAx>
      <c:valAx>
        <c:axId val="-3039690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Dic 23</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7920"/>
        <c:crosses val="autoZero"/>
        <c:crossBetween val="between"/>
      </c:valAx>
      <c:valAx>
        <c:axId val="-303979888"/>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8800"/>
        <c:crosses val="max"/>
        <c:crossBetween val="between"/>
      </c:valAx>
      <c:dateAx>
        <c:axId val="-303978800"/>
        <c:scaling>
          <c:orientation val="minMax"/>
        </c:scaling>
        <c:delete val="1"/>
        <c:axPos val="b"/>
        <c:numFmt formatCode="mmm\-yy" sourceLinked="1"/>
        <c:majorTickMark val="out"/>
        <c:minorTickMark val="none"/>
        <c:tickLblPos val="nextTo"/>
        <c:crossAx val="-303979888"/>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5"/>
          <c:dPt>
            <c:idx val="0"/>
            <c:bubble3D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2"/>
            <c:bubble3D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3"/>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73BB-4687-BC56-9A014E704E90}"/>
              </c:ext>
            </c:extLst>
          </c:dPt>
          <c:dLbls>
            <c:dLbl>
              <c:idx val="0"/>
              <c:layout>
                <c:manualLayout>
                  <c:x val="6.8500539374325778E-3"/>
                  <c:y val="-7.2996055622409411E-3"/>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Arial Narrow" panose="020B0606020202030204" pitchFamily="34" charset="0"/>
                        <a:ea typeface="+mn-ea"/>
                        <a:cs typeface="+mn-cs"/>
                      </a:defRPr>
                    </a:pPr>
                    <a:fld id="{4E46B538-1FCA-4B85-B2DE-7CE25F2F62EC}" type="VALUE">
                      <a:rPr lang="en-US">
                        <a:solidFill>
                          <a:schemeClr val="tx1"/>
                        </a:solidFill>
                      </a:rPr>
                      <a:pPr>
                        <a:defRPr sz="1100" b="1">
                          <a:solidFill>
                            <a:schemeClr val="bg1"/>
                          </a:solidFill>
                          <a:latin typeface="Arial Narrow" panose="020B0606020202030204" pitchFamily="34" charset="0"/>
                        </a:defRPr>
                      </a:pPr>
                      <a:t>[VALOR]</a:t>
                    </a:fld>
                    <a:endParaRPr lang="es-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0"/>
              <c:showCatName val="0"/>
              <c:showSerName val="0"/>
              <c:showPercent val="0"/>
              <c:showBubbleSize val="0"/>
              <c:extLst>
                <c:ext xmlns:c15="http://schemas.microsoft.com/office/drawing/2012/chart" uri="{CE6537A1-D6FC-4f65-9D91-7224C49458BB}">
                  <c15:layout>
                    <c:manualLayout>
                      <c:w val="7.5921431139877746E-2"/>
                      <c:h val="6.749565449926459E-2"/>
                    </c:manualLayout>
                  </c15:layout>
                  <c15:dlblFieldTable/>
                  <c15:showDataLabelsRange val="1"/>
                </c:ext>
                <c:ext xmlns:c16="http://schemas.microsoft.com/office/drawing/2014/chart" uri="{C3380CC4-5D6E-409C-BE32-E72D297353CC}">
                  <c16:uniqueId val="{00000007-F207-4623-86FE-0AAFEFA05F3F}"/>
                </c:ext>
              </c:extLst>
            </c:dLbl>
            <c:dLbl>
              <c:idx val="1"/>
              <c:layout>
                <c:manualLayout>
                  <c:x val="-0.18600827040632867"/>
                  <c:y val="-0.17329291336170236"/>
                </c:manualLayout>
              </c:layout>
              <c:tx>
                <c:rich>
                  <a:bodyPr/>
                  <a:lstStyle/>
                  <a:p>
                    <a:fld id="{25B896BD-FDD5-4BD7-96DB-10144156B70E}" type="CELLRANGE">
                      <a:rPr lang="en-US"/>
                      <a:pPr/>
                      <a:t>[CELLRANGE]</a:t>
                    </a:fld>
                    <a:endParaRPr lang="es-AR"/>
                  </a:p>
                </c:rich>
              </c:tx>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207-4623-86FE-0AAFEFA05F3F}"/>
                </c:ext>
              </c:extLst>
            </c:dLbl>
            <c:dLbl>
              <c:idx val="2"/>
              <c:layout>
                <c:manualLayout>
                  <c:x val="0.11933477166486871"/>
                  <c:y val="-0.15295327104048687"/>
                </c:manualLayout>
              </c:layout>
              <c:tx>
                <c:rich>
                  <a:bodyPr/>
                  <a:lstStyle/>
                  <a:p>
                    <a:fld id="{1608AF9C-7051-4E2C-990F-F7DC8461B852}" type="CELLRANGE">
                      <a:rPr lang="en-US"/>
                      <a:pPr/>
                      <a:t>[CELLRANGE]</a:t>
                    </a:fld>
                    <a:endParaRPr lang="es-AR"/>
                  </a:p>
                </c:rich>
              </c:tx>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207-4623-86FE-0AAFEFA05F3F}"/>
                </c:ext>
              </c:extLst>
            </c:dLbl>
            <c:dLbl>
              <c:idx val="3"/>
              <c:tx>
                <c:rich>
                  <a:bodyPr/>
                  <a:lstStyle/>
                  <a:p>
                    <a:fld id="{A756A049-E2E9-4032-9468-5DD442601F8E}" type="CELLRANGE">
                      <a:rPr lang="en-US"/>
                      <a:pPr/>
                      <a:t>[CELLRANGE]</a:t>
                    </a:fld>
                    <a:endParaRPr lang="es-AR"/>
                  </a:p>
                </c:rich>
              </c:tx>
              <c:dLblPos val="bestFi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3BB-4687-BC56-9A014E704E9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extLst>
                <c:ext xmlns:c15="http://schemas.microsoft.com/office/drawing/2012/chart" uri="{02D57815-91ED-43cb-92C2-25804820EDAC}">
                  <c15:fullRef>
                    <c15:sqref>'Base Graf'!$BE$3:$BJ$3</c15:sqref>
                  </c15:fullRef>
                </c:ext>
              </c:extLst>
              <c:f>('Base Graf'!$BE$3,'Base Graf'!$BG$3:$BI$3)</c:f>
              <c:strCache>
                <c:ptCount val="4"/>
                <c:pt idx="0">
                  <c:v>FIJA $</c:v>
                </c:pt>
                <c:pt idx="1">
                  <c:v>FIJA USD</c:v>
                </c:pt>
                <c:pt idx="2">
                  <c:v>BADLAR</c:v>
                </c:pt>
                <c:pt idx="3">
                  <c:v>LIBOR</c:v>
                </c:pt>
              </c:strCache>
            </c:strRef>
          </c:cat>
          <c:val>
            <c:numRef>
              <c:extLst>
                <c:ext xmlns:c15="http://schemas.microsoft.com/office/drawing/2012/chart" uri="{02D57815-91ED-43cb-92C2-25804820EDAC}">
                  <c15:fullRef>
                    <c15:sqref>'Base Graf'!$BE$4:$BJ$4</c15:sqref>
                  </c15:fullRef>
                </c:ext>
              </c:extLst>
              <c:f>('Base Graf'!$BE$4,'Base Graf'!$BG$4:$BI$4)</c:f>
              <c:numCache>
                <c:formatCode>0.0%</c:formatCode>
                <c:ptCount val="4"/>
                <c:pt idx="0">
                  <c:v>1.6288309999370754E-2</c:v>
                </c:pt>
                <c:pt idx="1">
                  <c:v>0.64112828891953888</c:v>
                </c:pt>
                <c:pt idx="2">
                  <c:v>4.7578048642819684E-2</c:v>
                </c:pt>
                <c:pt idx="3">
                  <c:v>0.29500535243827064</c:v>
                </c:pt>
              </c:numCache>
            </c:numRef>
          </c:val>
          <c:extLst>
            <c:ext xmlns:c15="http://schemas.microsoft.com/office/drawing/2012/chart" uri="{02D57815-91ED-43cb-92C2-25804820EDAC}">
              <c15:datalabelsRange>
                <c15:f>'Base Graf'!$BE$4:$BJ$4</c15:f>
                <c15:dlblRangeCache>
                  <c:ptCount val="6"/>
                  <c:pt idx="0">
                    <c:v>1,6%</c:v>
                  </c:pt>
                  <c:pt idx="1">
                    <c:v>0,0%</c:v>
                  </c:pt>
                  <c:pt idx="2">
                    <c:v>64,1%</c:v>
                  </c:pt>
                  <c:pt idx="3">
                    <c:v>4,8%</c:v>
                  </c:pt>
                  <c:pt idx="4">
                    <c:v>29,5%</c:v>
                  </c:pt>
                  <c:pt idx="5">
                    <c:v>0,0%</c:v>
                  </c:pt>
                </c15:dlblRangeCache>
              </c15:datalabelsRange>
            </c:ext>
            <c:ext xmlns:c15="http://schemas.microsoft.com/office/drawing/2012/chart" uri="{02D57815-91ED-43cb-92C2-25804820EDAC}">
              <c15:categoryFilterExceptions>
                <c15:categoryFilterException>
                  <c15:sqref>'Base Graf'!$BF$4</c15:sqref>
                  <c15:spPr xmlns:c15="http://schemas.microsoft.com/office/drawing/2012/chart">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15:spPr>
                  <c15:bubble3D val="0"/>
                  <c15:dLbl>
                    <c:idx val="0"/>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9-B769-43D7-83F6-AF35BA3EF01C}"/>
                      </c:ext>
                    </c:extLst>
                  </c15:dLbl>
                </c15:categoryFilterException>
                <c15:categoryFilterException>
                  <c15:sqref>'Base Graf'!$BJ$4</c15:sqref>
                  <c15:spPr xmlns:c15="http://schemas.microsoft.com/office/drawing/2012/chart">
                    <a:solidFill>
                      <a:srgbClr val="FFC000"/>
                    </a:solidFill>
                    <a:ln w="25400">
                      <a:noFill/>
                    </a:ln>
                    <a:effectLst>
                      <a:outerShdw blurRad="50800" dist="38100" dir="5400000" algn="t" rotWithShape="0">
                        <a:prstClr val="black">
                          <a:alpha val="40000"/>
                        </a:prstClr>
                      </a:outerShdw>
                    </a:effectLst>
                    <a:sp3d/>
                  </c15:spPr>
                  <c15:bubble3D val="0"/>
                  <c15:dLbl>
                    <c:idx val="3"/>
                    <c:layout>
                      <c:manualLayout>
                        <c:x val="-3.1054117224020135E-2"/>
                        <c:y val="-1.444845567589249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B769-43D7-83F6-AF35BA3EF01C}"/>
                      </c:ext>
                    </c:extLst>
                  </c15:dLbl>
                </c15:categoryFilterException>
              </c15:categoryFilterExceptions>
            </c:ex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7269525350593312"/>
          <c:y val="0.85836780664485146"/>
          <c:w val="0.70940992448759443"/>
          <c:h val="0.1136650186525536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tx>
                <c:rich>
                  <a:bodyPr/>
                  <a:lstStyle/>
                  <a:p>
                    <a:fld id="{9180D0B5-E484-460F-8A80-E204ACB0D69B}" type="CELLRANGE">
                      <a:rPr lang="en-US"/>
                      <a:pPr/>
                      <a:t>[CELLRANGE]</a:t>
                    </a:fld>
                    <a:endParaRPr lang="es-AR"/>
                  </a:p>
                </c:rich>
              </c:tx>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9C4-4F8D-9C1B-802D74C24EF0}"/>
                </c:ext>
              </c:extLst>
            </c:dLbl>
            <c:dLbl>
              <c:idx val="1"/>
              <c:tx>
                <c:rich>
                  <a:bodyPr/>
                  <a:lstStyle/>
                  <a:p>
                    <a:fld id="{90F445E0-4A3A-4785-8FE9-D4C489BA2F32}" type="CELLRANGE">
                      <a:rPr lang="en-US"/>
                      <a:pPr/>
                      <a:t>[CELLRANGE]</a:t>
                    </a:fld>
                    <a:endParaRPr lang="es-AR"/>
                  </a:p>
                </c:rich>
              </c:tx>
              <c:dLblPos val="bestFi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'Base Graf'!$AX$3:$AZ$3</c:f>
              <c:strCache>
                <c:ptCount val="3"/>
                <c:pt idx="0">
                  <c:v>Pesos</c:v>
                </c:pt>
                <c:pt idx="1">
                  <c:v>USD</c:v>
                </c:pt>
                <c:pt idx="2">
                  <c:v>UVA</c:v>
                </c:pt>
              </c:strCache>
            </c:strRef>
          </c:cat>
          <c:val>
            <c:numRef>
              <c:f>'Base Graf'!$AX$4:$AZ$4</c:f>
              <c:numCache>
                <c:formatCode>0.0%</c:formatCode>
                <c:ptCount val="3"/>
                <c:pt idx="0">
                  <c:v>6.6273723069952356E-2</c:v>
                </c:pt>
                <c:pt idx="1">
                  <c:v>0.93372627693004773</c:v>
                </c:pt>
                <c:pt idx="2">
                  <c:v>0</c:v>
                </c:pt>
              </c:numCache>
            </c:numRef>
          </c:val>
          <c:extLst>
            <c:ext xmlns:c15="http://schemas.microsoft.com/office/drawing/2012/chart" uri="{02D57815-91ED-43cb-92C2-25804820EDAC}">
              <c15:datalabelsRange>
                <c15:f>'Base Graf'!$AX$4:$AZ$4</c15:f>
                <c15:dlblRangeCache>
                  <c:ptCount val="3"/>
                  <c:pt idx="0">
                    <c:v>6,6%</c:v>
                  </c:pt>
                  <c:pt idx="1">
                    <c:v>93,4%</c:v>
                  </c:pt>
                  <c:pt idx="2">
                    <c:v>0,0%</c:v>
                  </c:pt>
                </c15:dlblRangeCache>
              </c15:datalabelsRange>
            </c:ext>
            <c:ext xmlns:c16="http://schemas.microsoft.com/office/drawing/2014/chart" uri="{C3380CC4-5D6E-409C-BE32-E72D297353CC}">
              <c16:uniqueId val="{0000000C-E9C4-4F8D-9C1B-802D74C24EF0}"/>
            </c:ext>
          </c:extLst>
        </c:ser>
        <c:dLbls>
          <c:dLblPos val="bestFit"/>
          <c:showLegendKey val="0"/>
          <c:showVal val="1"/>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tx>
                <c:rich>
                  <a:bodyPr/>
                  <a:lstStyle/>
                  <a:p>
                    <a:fld id="{D0D3D63A-7D4C-4088-84D2-6BD0CA040F19}" type="CELLRANGE">
                      <a:rPr lang="en-US"/>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51C-4B65-8868-D98EA4DEDC88}"/>
                </c:ext>
              </c:extLst>
            </c:dLbl>
            <c:dLbl>
              <c:idx val="1"/>
              <c:tx>
                <c:rich>
                  <a:bodyPr/>
                  <a:lstStyle/>
                  <a:p>
                    <a:fld id="{2DDFFC7E-73DF-4581-A314-51C5E9470008}"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51C-4B65-8868-D98EA4DEDC88}"/>
                </c:ext>
              </c:extLst>
            </c:dLbl>
            <c:dLbl>
              <c:idx val="2"/>
              <c:tx>
                <c:rich>
                  <a:bodyPr/>
                  <a:lstStyle/>
                  <a:p>
                    <a:fld id="{DA25480D-5543-4A0E-9B45-3D92BC93D9C5}"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51C-4B65-8868-D98EA4DEDC88}"/>
                </c:ext>
              </c:extLst>
            </c:dLbl>
            <c:dLbl>
              <c:idx val="3"/>
              <c:tx>
                <c:rich>
                  <a:bodyPr/>
                  <a:lstStyle/>
                  <a:p>
                    <a:fld id="{98F4D7B2-9771-4B59-A890-411E13945455}"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51C-4B65-8868-D98EA4DEDC88}"/>
                </c:ext>
              </c:extLst>
            </c:dLbl>
            <c:dLbl>
              <c:idx val="4"/>
              <c:tx>
                <c:rich>
                  <a:bodyPr/>
                  <a:lstStyle/>
                  <a:p>
                    <a:fld id="{2245A60D-D00E-4F72-A302-3CD992D0B66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51C-4B65-8868-D98EA4DEDC88}"/>
                </c:ext>
              </c:extLst>
            </c:dLbl>
            <c:dLbl>
              <c:idx val="5"/>
              <c:tx>
                <c:rich>
                  <a:bodyPr/>
                  <a:lstStyle/>
                  <a:p>
                    <a:fld id="{516BD7F0-AB11-4965-B9E1-C52CADDD46B2}"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51C-4B65-8868-D98EA4DEDC88}"/>
                </c:ext>
              </c:extLst>
            </c:dLbl>
            <c:dLbl>
              <c:idx val="6"/>
              <c:tx>
                <c:rich>
                  <a:bodyPr/>
                  <a:lstStyle/>
                  <a:p>
                    <a:fld id="{2B1C29E1-7793-4C9C-874B-CFE3A229ED50}"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51C-4B65-8868-D98EA4DEDC88}"/>
                </c:ext>
              </c:extLst>
            </c:dLbl>
            <c:dLbl>
              <c:idx val="7"/>
              <c:tx>
                <c:rich>
                  <a:bodyPr/>
                  <a:lstStyle/>
                  <a:p>
                    <a:fld id="{350E5C56-CE1D-4490-B541-7D0A0B4AE939}"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51C-4B65-8868-D98EA4DEDC8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2030-2050</c:v>
                </c:pt>
              </c:strCache>
            </c:strRef>
          </c:cat>
          <c:val>
            <c:numRef>
              <c:f>'Base Graf'!$B$7:$B$14</c:f>
              <c:numCache>
                <c:formatCode>#,##0.0</c:formatCode>
                <c:ptCount val="8"/>
                <c:pt idx="0">
                  <c:v>57379.118437812736</c:v>
                </c:pt>
                <c:pt idx="1">
                  <c:v>42330.872264007121</c:v>
                </c:pt>
                <c:pt idx="2">
                  <c:v>14619.238973267578</c:v>
                </c:pt>
                <c:pt idx="3">
                  <c:v>7799.2472993371366</c:v>
                </c:pt>
                <c:pt idx="4">
                  <c:v>3265.4622990341522</c:v>
                </c:pt>
                <c:pt idx="5">
                  <c:v>1002.1265108420055</c:v>
                </c:pt>
                <c:pt idx="6">
                  <c:v>947.72595574570119</c:v>
                </c:pt>
                <c:pt idx="7">
                  <c:v>685.02799124584237</c:v>
                </c:pt>
              </c:numCache>
            </c:numRef>
          </c:val>
          <c:extLst>
            <c:ext xmlns:c15="http://schemas.microsoft.com/office/drawing/2012/chart" uri="{02D57815-91ED-43cb-92C2-25804820EDAC}">
              <c15:datalabelsRange>
                <c15:f>'Base Graf'!$BJ$58:$BJ$65</c15:f>
                <c15:dlblRangeCache>
                  <c:ptCount val="8"/>
                  <c:pt idx="0">
                    <c:v>57.379,1</c:v>
                  </c:pt>
                  <c:pt idx="1">
                    <c:v>42.330,9</c:v>
                  </c:pt>
                  <c:pt idx="2">
                    <c:v>14.619,2</c:v>
                  </c:pt>
                  <c:pt idx="3">
                    <c:v>7.799,2</c:v>
                  </c:pt>
                  <c:pt idx="4">
                    <c:v>3.265,5</c:v>
                  </c:pt>
                  <c:pt idx="5">
                    <c:v>1.002,1</c:v>
                  </c:pt>
                  <c:pt idx="6">
                    <c:v>947,7</c:v>
                  </c:pt>
                  <c:pt idx="7">
                    <c:v>685,0</c:v>
                  </c:pt>
                </c15:dlblRangeCache>
              </c15:datalabelsRange>
            </c:ex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303978256"/>
        <c:axId val="-303972272"/>
      </c:barChart>
      <c:catAx>
        <c:axId val="-303978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2272"/>
        <c:crosses val="autoZero"/>
        <c:auto val="1"/>
        <c:lblAlgn val="ctr"/>
        <c:lblOffset val="100"/>
        <c:noMultiLvlLbl val="0"/>
      </c:catAx>
      <c:valAx>
        <c:axId val="-303972272"/>
        <c:scaling>
          <c:orientation val="minMax"/>
        </c:scaling>
        <c:delete val="1"/>
        <c:axPos val="l"/>
        <c:numFmt formatCode="#,##0.0" sourceLinked="1"/>
        <c:majorTickMark val="none"/>
        <c:minorTickMark val="none"/>
        <c:tickLblPos val="nextTo"/>
        <c:crossAx val="-303978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tx>
                <c:rich>
                  <a:bodyPr/>
                  <a:lstStyle/>
                  <a:p>
                    <a:fld id="{C8FB6D5D-F53B-4F93-A9EE-D1042600BC38}" type="CELLRANGE">
                      <a:rPr lang="en-US"/>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C0B-4228-9EEA-87911CF39C82}"/>
                </c:ext>
              </c:extLst>
            </c:dLbl>
            <c:dLbl>
              <c:idx val="1"/>
              <c:tx>
                <c:rich>
                  <a:bodyPr/>
                  <a:lstStyle/>
                  <a:p>
                    <a:fld id="{DF76C293-0B13-4FBF-ADB9-085A7100A97F}"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C0B-4228-9EEA-87911CF39C82}"/>
                </c:ext>
              </c:extLst>
            </c:dLbl>
            <c:dLbl>
              <c:idx val="2"/>
              <c:tx>
                <c:rich>
                  <a:bodyPr/>
                  <a:lstStyle/>
                  <a:p>
                    <a:fld id="{867AD86D-59C2-492E-8D84-D8C633DB60B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C0B-4228-9EEA-87911CF39C82}"/>
                </c:ext>
              </c:extLst>
            </c:dLbl>
            <c:dLbl>
              <c:idx val="3"/>
              <c:tx>
                <c:rich>
                  <a:bodyPr/>
                  <a:lstStyle/>
                  <a:p>
                    <a:fld id="{D562D62B-983F-43C8-A436-79D3010E93CE}"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C0B-4228-9EEA-87911CF39C82}"/>
                </c:ext>
              </c:extLst>
            </c:dLbl>
            <c:dLbl>
              <c:idx val="4"/>
              <c:tx>
                <c:rich>
                  <a:bodyPr/>
                  <a:lstStyle/>
                  <a:p>
                    <a:fld id="{16FE8EAA-18F0-470E-BF44-311FEA16C14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C0B-4228-9EEA-87911CF39C82}"/>
                </c:ext>
              </c:extLst>
            </c:dLbl>
            <c:dLbl>
              <c:idx val="5"/>
              <c:tx>
                <c:rich>
                  <a:bodyPr/>
                  <a:lstStyle/>
                  <a:p>
                    <a:fld id="{4D37A535-1670-4F11-9C6A-F2047BF284CD}"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C0B-4228-9EEA-87911CF39C82}"/>
                </c:ext>
              </c:extLst>
            </c:dLbl>
            <c:dLbl>
              <c:idx val="6"/>
              <c:tx>
                <c:rich>
                  <a:bodyPr/>
                  <a:lstStyle/>
                  <a:p>
                    <a:fld id="{7E40C983-6CAA-4C46-A83F-FBB1F2D5D8D5}"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C0B-4228-9EEA-87911CF39C82}"/>
                </c:ext>
              </c:extLst>
            </c:dLbl>
            <c:dLbl>
              <c:idx val="7"/>
              <c:tx>
                <c:rich>
                  <a:bodyPr/>
                  <a:lstStyle/>
                  <a:p>
                    <a:fld id="{38E0B756-6C35-497E-8380-2D2ECE47416C}"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C0B-4228-9EEA-87911CF39C8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2030-2050</c:v>
                </c:pt>
              </c:strCache>
            </c:strRef>
          </c:cat>
          <c:val>
            <c:numRef>
              <c:f>'Base Graf'!$C$7:$C$14</c:f>
              <c:numCache>
                <c:formatCode>#,##0.0</c:formatCode>
                <c:ptCount val="8"/>
                <c:pt idx="0">
                  <c:v>130.1440193267137</c:v>
                </c:pt>
                <c:pt idx="1">
                  <c:v>133.06696466155492</c:v>
                </c:pt>
                <c:pt idx="2">
                  <c:v>127.77483497182544</c:v>
                </c:pt>
                <c:pt idx="3">
                  <c:v>116.13318092050437</c:v>
                </c:pt>
                <c:pt idx="4">
                  <c:v>109.85935202190797</c:v>
                </c:pt>
                <c:pt idx="5">
                  <c:v>103.87035506579824</c:v>
                </c:pt>
                <c:pt idx="6">
                  <c:v>58.654321187669218</c:v>
                </c:pt>
                <c:pt idx="7">
                  <c:v>15.091423273376698</c:v>
                </c:pt>
              </c:numCache>
            </c:numRef>
          </c:val>
          <c:extLst>
            <c:ext xmlns:c15="http://schemas.microsoft.com/office/drawing/2012/chart" uri="{02D57815-91ED-43cb-92C2-25804820EDAC}">
              <c15:datalabelsRange>
                <c15:f>'Base Graf'!$BK$58:$BK$65</c15:f>
                <c15:dlblRangeCache>
                  <c:ptCount val="8"/>
                  <c:pt idx="0">
                    <c:v>130,1</c:v>
                  </c:pt>
                  <c:pt idx="1">
                    <c:v>133,1</c:v>
                  </c:pt>
                  <c:pt idx="2">
                    <c:v>127,8</c:v>
                  </c:pt>
                  <c:pt idx="3">
                    <c:v>116,1</c:v>
                  </c:pt>
                  <c:pt idx="4">
                    <c:v>109,9</c:v>
                  </c:pt>
                  <c:pt idx="5">
                    <c:v>103,9</c:v>
                  </c:pt>
                  <c:pt idx="6">
                    <c:v>58,7</c:v>
                  </c:pt>
                  <c:pt idx="7">
                    <c:v>15,1</c:v>
                  </c:pt>
                </c15:dlblRangeCache>
              </c15:datalabelsRange>
            </c:ex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303975536"/>
        <c:axId val="-303977712"/>
      </c:barChart>
      <c:catAx>
        <c:axId val="-303975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7712"/>
        <c:crosses val="autoZero"/>
        <c:auto val="1"/>
        <c:lblAlgn val="ctr"/>
        <c:lblOffset val="100"/>
        <c:noMultiLvlLbl val="0"/>
      </c:catAx>
      <c:valAx>
        <c:axId val="-303977712"/>
        <c:scaling>
          <c:orientation val="minMax"/>
        </c:scaling>
        <c:delete val="1"/>
        <c:axPos val="l"/>
        <c:numFmt formatCode="#,##0.0" sourceLinked="1"/>
        <c:majorTickMark val="none"/>
        <c:minorTickMark val="none"/>
        <c:tickLblPos val="nextTo"/>
        <c:crossAx val="-303975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Lbl>
              <c:idx val="0"/>
              <c:tx>
                <c:rich>
                  <a:bodyPr/>
                  <a:lstStyle/>
                  <a:p>
                    <a:fld id="{8F4DDAB1-B257-4C74-B5FA-AB4ED3E3BC18}"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005-4C07-9E4C-E647D2CBD2CC}"/>
                </c:ext>
              </c:extLst>
            </c:dLbl>
            <c:dLbl>
              <c:idx val="1"/>
              <c:tx>
                <c:rich>
                  <a:bodyPr/>
                  <a:lstStyle/>
                  <a:p>
                    <a:fld id="{9B9210FB-F790-4E25-AF2F-C61761F25A53}"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005-4C07-9E4C-E647D2CBD2CC}"/>
                </c:ext>
              </c:extLst>
            </c:dLbl>
            <c:dLbl>
              <c:idx val="2"/>
              <c:tx>
                <c:rich>
                  <a:bodyPr/>
                  <a:lstStyle/>
                  <a:p>
                    <a:fld id="{E9F79646-5A52-4448-966C-08B629250FD0}"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05-4C07-9E4C-E647D2CBD2CC}"/>
                </c:ext>
              </c:extLst>
            </c:dLbl>
            <c:dLbl>
              <c:idx val="3"/>
              <c:tx>
                <c:rich>
                  <a:bodyPr/>
                  <a:lstStyle/>
                  <a:p>
                    <a:fld id="{A197369F-0BFF-40FA-B5F5-53EA9D6B01BF}"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05-4C07-9E4C-E647D2CBD2CC}"/>
                </c:ext>
              </c:extLst>
            </c:dLbl>
            <c:dLbl>
              <c:idx val="4"/>
              <c:layout>
                <c:manualLayout>
                  <c:x val="-2.2833513124776096E-3"/>
                  <c:y val="-4.6697419441101749E-2"/>
                </c:manualLayout>
              </c:layout>
              <c:tx>
                <c:rich>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fld id="{57C2B98B-5F15-4E3A-B20B-E3FF0B01DC2E}" type="CELLRANGE">
                      <a:rPr lang="en-US"/>
                      <a:pPr>
                        <a:defRPr sz="1000">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005-4C07-9E4C-E647D2CBD2CC}"/>
                </c:ext>
              </c:extLst>
            </c:dLbl>
            <c:dLbl>
              <c:idx val="5"/>
              <c:layout>
                <c:manualLayout>
                  <c:x val="4.5667026249549686E-3"/>
                  <c:y val="-5.0942639390292817E-2"/>
                </c:manualLayout>
              </c:layout>
              <c:tx>
                <c:rich>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fld id="{B1C749D1-FD64-4E41-8361-7FF990672247}" type="CELLRANGE">
                      <a:rPr lang="en-US"/>
                      <a:pPr>
                        <a:defRPr sz="1000">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005-4C07-9E4C-E647D2CBD2CC}"/>
                </c:ext>
              </c:extLst>
            </c:dLbl>
            <c:dLbl>
              <c:idx val="6"/>
              <c:layout>
                <c:manualLayout>
                  <c:x val="-2.2833513124776933E-3"/>
                  <c:y val="-5.0942639390292817E-2"/>
                </c:manualLayout>
              </c:layout>
              <c:tx>
                <c:rich>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fld id="{85A8615D-CAFF-4C77-95FD-4E60E27744FF}" type="CELLRANGE">
                      <a:rPr lang="en-US"/>
                      <a:pPr>
                        <a:defRPr sz="1000">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005-4C07-9E4C-E647D2CBD2CC}"/>
                </c:ext>
              </c:extLst>
            </c:dLbl>
            <c:dLbl>
              <c:idx val="7"/>
              <c:layout>
                <c:manualLayout>
                  <c:x val="4.5667026249550519E-3"/>
                  <c:y val="-5.5187859339484044E-2"/>
                </c:manualLayout>
              </c:layout>
              <c:tx>
                <c:rich>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fld id="{40023611-A5A1-4541-844A-93BE31D89A17}" type="CELLRANGE">
                      <a:rPr lang="en-US"/>
                      <a:pPr>
                        <a:defRPr sz="1000">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Graf'!$H$7:$H$14</c:f>
              <c:numCache>
                <c:formatCode>#,##0.0</c:formatCode>
                <c:ptCount val="8"/>
                <c:pt idx="0">
                  <c:v>28597.187327013424</c:v>
                </c:pt>
                <c:pt idx="1">
                  <c:v>19328.71382253947</c:v>
                </c:pt>
                <c:pt idx="2">
                  <c:v>6552.4074129166065</c:v>
                </c:pt>
                <c:pt idx="3">
                  <c:v>5194.4566586506835</c:v>
                </c:pt>
                <c:pt idx="4">
                  <c:v>2641.0499403842773</c:v>
                </c:pt>
                <c:pt idx="5">
                  <c:v>846.47430873427743</c:v>
                </c:pt>
                <c:pt idx="6">
                  <c:v>846.47430873427743</c:v>
                </c:pt>
                <c:pt idx="7">
                  <c:v>641.80684236340505</c:v>
                </c:pt>
              </c:numCache>
            </c:numRef>
          </c:val>
          <c:extLst>
            <c:ext xmlns:c15="http://schemas.microsoft.com/office/drawing/2012/chart" uri="{02D57815-91ED-43cb-92C2-25804820EDAC}">
              <c15:datalabelsRange>
                <c15:f>'Base Graf'!$BI$95:$BI$102</c15:f>
                <c15:dlblRangeCache>
                  <c:ptCount val="8"/>
                  <c:pt idx="0">
                    <c:v>49,8%</c:v>
                  </c:pt>
                  <c:pt idx="1">
                    <c:v>45,7%</c:v>
                  </c:pt>
                  <c:pt idx="2">
                    <c:v>44,8%</c:v>
                  </c:pt>
                  <c:pt idx="3">
                    <c:v>66,6%</c:v>
                  </c:pt>
                  <c:pt idx="4">
                    <c:v>80,9%</c:v>
                  </c:pt>
                  <c:pt idx="5">
                    <c:v>84,5%</c:v>
                  </c:pt>
                  <c:pt idx="6">
                    <c:v>89,3%</c:v>
                  </c:pt>
                  <c:pt idx="7">
                    <c:v>93,7%</c:v>
                  </c:pt>
                </c15:dlblRangeCache>
              </c15:datalabelsRange>
            </c:ex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8026690A-3F5B-46FE-85B6-4F1B14F1ECD5}" type="CELLRANGE">
                      <a:rPr lang="en-US"/>
                      <a:pPr>
                        <a:defRPr>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005-4C07-9E4C-E647D2CBD2CC}"/>
                </c:ext>
              </c:extLst>
            </c:dLbl>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B1943EA2-719D-4950-9C32-A7DBC2362883}" type="CELLRANGE">
                      <a:rPr lang="es-AR"/>
                      <a:pPr>
                        <a:defRPr>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005-4C07-9E4C-E647D2CBD2CC}"/>
                </c:ext>
              </c:extLst>
            </c:dLbl>
            <c:dLbl>
              <c:idx val="2"/>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E835EBD3-FF90-4EC0-8F44-D43D93F02856}" type="CELLRANGE">
                      <a:rPr lang="es-AR"/>
                      <a:pPr>
                        <a:defRPr>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005-4C07-9E4C-E647D2CBD2CC}"/>
                </c:ext>
              </c:extLst>
            </c:dLbl>
            <c:dLbl>
              <c:idx val="3"/>
              <c:layout>
                <c:manualLayout>
                  <c:x val="-8.3721914294811089E-17"/>
                  <c:y val="-5.5187859339483891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fld id="{0E7D5221-7C6E-4A73-B19A-DE8B7058C93A}" type="CELLRANGE">
                      <a:rPr lang="en-US"/>
                      <a:pPr>
                        <a:defRPr>
                          <a:solidFill>
                            <a:srgbClr val="BC2400"/>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005-4C07-9E4C-E647D2CBD2CC}"/>
                </c:ext>
              </c:extLst>
            </c:dLbl>
            <c:dLbl>
              <c:idx val="4"/>
              <c:layout>
                <c:manualLayout>
                  <c:x val="-4.5667026249550519E-3"/>
                  <c:y val="-9.7640058831394649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fld id="{EAAD4D97-0CBE-4831-82FC-8A2E54D7D9C9}" type="CELLRANGE">
                      <a:rPr lang="en-US"/>
                      <a:pPr>
                        <a:defRPr>
                          <a:solidFill>
                            <a:srgbClr val="BC2400"/>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005-4C07-9E4C-E647D2CBD2CC}"/>
                </c:ext>
              </c:extLst>
            </c:dLbl>
            <c:dLbl>
              <c:idx val="5"/>
              <c:layout>
                <c:manualLayout>
                  <c:x val="6.8500539374324945E-3"/>
                  <c:y val="-0.11462093862815885"/>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fld id="{A53B6BE7-07B8-41C6-B954-C11BF41D9FD1}" type="CELLRANGE">
                      <a:rPr lang="en-US"/>
                      <a:pPr>
                        <a:defRPr>
                          <a:solidFill>
                            <a:srgbClr val="BC2400"/>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005-4C07-9E4C-E647D2CBD2CC}"/>
                </c:ext>
              </c:extLst>
            </c:dLbl>
            <c:dLbl>
              <c:idx val="6"/>
              <c:layout>
                <c:manualLayout>
                  <c:x val="-6.8500539374325778E-3"/>
                  <c:y val="-0.11037571867896785"/>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fld id="{29E6ACE3-8279-4A4D-944F-C3D098DB831A}" type="CELLRANGE">
                      <a:rPr lang="en-US"/>
                      <a:pPr>
                        <a:defRPr>
                          <a:solidFill>
                            <a:srgbClr val="BC2400"/>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005-4C07-9E4C-E647D2CBD2CC}"/>
                </c:ext>
              </c:extLst>
            </c:dLbl>
            <c:dLbl>
              <c:idx val="7"/>
              <c:layout>
                <c:manualLayout>
                  <c:x val="-1.6744382858962218E-16"/>
                  <c:y val="-0.11462093862815885"/>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fld id="{46B4A337-0327-4520-89B7-DA75C8DD98EF}" type="CELLRANGE">
                      <a:rPr lang="en-US"/>
                      <a:pPr>
                        <a:defRPr>
                          <a:solidFill>
                            <a:srgbClr val="BC2400"/>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C2400"/>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005-4C07-9E4C-E647D2CBD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Graf'!$K$7:$K$14</c:f>
              <c:numCache>
                <c:formatCode>#,##0.0</c:formatCode>
                <c:ptCount val="8"/>
                <c:pt idx="0">
                  <c:v>28781.931110799313</c:v>
                </c:pt>
                <c:pt idx="1">
                  <c:v>23002.158441467654</c:v>
                </c:pt>
                <c:pt idx="2">
                  <c:v>8066.8315603509727</c:v>
                </c:pt>
                <c:pt idx="3">
                  <c:v>2604.7906406864531</c:v>
                </c:pt>
                <c:pt idx="4">
                  <c:v>624.41235864987516</c:v>
                </c:pt>
                <c:pt idx="5">
                  <c:v>155.6522021077281</c:v>
                </c:pt>
                <c:pt idx="6">
                  <c:v>101.2516470114237</c:v>
                </c:pt>
                <c:pt idx="7">
                  <c:v>43.221148882437241</c:v>
                </c:pt>
              </c:numCache>
            </c:numRef>
          </c:val>
          <c:extLst>
            <c:ext xmlns:c15="http://schemas.microsoft.com/office/drawing/2012/chart" uri="{02D57815-91ED-43cb-92C2-25804820EDAC}">
              <c15:datalabelsRange>
                <c15:f>'Base Graf'!$BJ$95:$BJ$102</c15:f>
                <c15:dlblRangeCache>
                  <c:ptCount val="8"/>
                  <c:pt idx="0">
                    <c:v>50,2%</c:v>
                  </c:pt>
                  <c:pt idx="1">
                    <c:v>54,3%</c:v>
                  </c:pt>
                  <c:pt idx="2">
                    <c:v>55,2%</c:v>
                  </c:pt>
                  <c:pt idx="3">
                    <c:v>33,4%</c:v>
                  </c:pt>
                  <c:pt idx="4">
                    <c:v>19,1%</c:v>
                  </c:pt>
                  <c:pt idx="5">
                    <c:v>15,5%</c:v>
                  </c:pt>
                  <c:pt idx="6">
                    <c:v>10,7%</c:v>
                  </c:pt>
                  <c:pt idx="7">
                    <c:v>6,3%</c:v>
                  </c:pt>
                </c15:dlblRangeCache>
              </c15:datalabelsRange>
            </c:ext>
            <c:ext xmlns:c16="http://schemas.microsoft.com/office/drawing/2014/chart" uri="{C3380CC4-5D6E-409C-BE32-E72D297353CC}">
              <c16:uniqueId val="{00000001-EC2A-4692-91BA-595E276D28C4}"/>
            </c:ext>
          </c:extLst>
        </c:ser>
        <c:dLbls>
          <c:showLegendKey val="0"/>
          <c:showVal val="0"/>
          <c:showCatName val="0"/>
          <c:showSerName val="0"/>
          <c:showPercent val="0"/>
          <c:showBubbleSize val="0"/>
        </c:dLbls>
        <c:gapWidth val="50"/>
        <c:overlap val="100"/>
        <c:axId val="-303976080"/>
        <c:axId val="-303974448"/>
      </c:barChart>
      <c:lineChart>
        <c:grouping val="standard"/>
        <c:varyColors val="0"/>
        <c:ser>
          <c:idx val="2"/>
          <c:order val="2"/>
          <c:spPr>
            <a:ln w="28575" cap="rnd">
              <a:solidFill>
                <a:srgbClr val="FFFFFF">
                  <a:alpha val="0"/>
                </a:srgbClr>
              </a:solidFill>
              <a:round/>
            </a:ln>
            <a:effectLst/>
          </c:spPr>
          <c:marker>
            <c:symbol val="none"/>
          </c:marker>
          <c:dLbls>
            <c:dLbl>
              <c:idx val="0"/>
              <c:tx>
                <c:rich>
                  <a:bodyPr/>
                  <a:lstStyle/>
                  <a:p>
                    <a:fld id="{E4CBB381-7A30-4727-8766-B1435DFF9DE2}" type="CELLRANGE">
                      <a:rPr lang="en-US"/>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005-4C07-9E4C-E647D2CBD2CC}"/>
                </c:ext>
              </c:extLst>
            </c:dLbl>
            <c:dLbl>
              <c:idx val="1"/>
              <c:tx>
                <c:rich>
                  <a:bodyPr/>
                  <a:lstStyle/>
                  <a:p>
                    <a:fld id="{E6B95130-C201-4578-AC84-170E85864731}"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005-4C07-9E4C-E647D2CBD2CC}"/>
                </c:ext>
              </c:extLst>
            </c:dLbl>
            <c:dLbl>
              <c:idx val="2"/>
              <c:tx>
                <c:rich>
                  <a:bodyPr/>
                  <a:lstStyle/>
                  <a:p>
                    <a:fld id="{E46F2E39-03A7-4921-A0B7-1F24330BF67B}"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005-4C07-9E4C-E647D2CBD2CC}"/>
                </c:ext>
              </c:extLst>
            </c:dLbl>
            <c:dLbl>
              <c:idx val="3"/>
              <c:layout>
                <c:manualLayout>
                  <c:x val="-5.2876663070837909E-2"/>
                  <c:y val="-0.13793789276641263"/>
                </c:manualLayout>
              </c:layout>
              <c:tx>
                <c:rich>
                  <a:bodyPr/>
                  <a:lstStyle/>
                  <a:p>
                    <a:fld id="{D48EDD42-EB3A-48E2-BF90-F41799C4CBD5}"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005-4C07-9E4C-E647D2CBD2CC}"/>
                </c:ext>
              </c:extLst>
            </c:dLbl>
            <c:dLbl>
              <c:idx val="4"/>
              <c:layout>
                <c:manualLayout>
                  <c:x val="-5.05933117583603E-2"/>
                  <c:y val="-0.18039009225832331"/>
                </c:manualLayout>
              </c:layout>
              <c:tx>
                <c:rich>
                  <a:bodyPr/>
                  <a:lstStyle/>
                  <a:p>
                    <a:fld id="{C85D187F-705F-47BD-B7D8-5589A03CE686}"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005-4C07-9E4C-E647D2CBD2CC}"/>
                </c:ext>
              </c:extLst>
            </c:dLbl>
            <c:dLbl>
              <c:idx val="5"/>
              <c:layout>
                <c:manualLayout>
                  <c:x val="-5.9726717008270487E-2"/>
                  <c:y val="-0.18463531220751436"/>
                </c:manualLayout>
              </c:layout>
              <c:tx>
                <c:rich>
                  <a:bodyPr/>
                  <a:lstStyle/>
                  <a:p>
                    <a:fld id="{B2C1A638-3952-428B-8FE1-D1EEEACB8D87}"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005-4C07-9E4C-E647D2CBD2CC}"/>
                </c:ext>
              </c:extLst>
            </c:dLbl>
            <c:dLbl>
              <c:idx val="6"/>
              <c:layout>
                <c:manualLayout>
                  <c:x val="-5.1929162171880622E-2"/>
                  <c:y val="-0.18888053215670553"/>
                </c:manualLayout>
              </c:layout>
              <c:tx>
                <c:rich>
                  <a:bodyPr/>
                  <a:lstStyle/>
                  <a:p>
                    <a:fld id="{2FDE9102-A741-46B5-900E-E2AAF5AABFA1}"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005-4C07-9E4C-E647D2CBD2CC}"/>
                </c:ext>
              </c:extLst>
            </c:dLbl>
            <c:dLbl>
              <c:idx val="7"/>
              <c:layout>
                <c:manualLayout>
                  <c:x val="-5.4212513484358148E-2"/>
                  <c:y val="-0.2058614119534698"/>
                </c:manualLayout>
              </c:layout>
              <c:tx>
                <c:rich>
                  <a:bodyPr/>
                  <a:lstStyle/>
                  <a:p>
                    <a:fld id="{9B8A046C-D452-4D04-A051-48E890410869}"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Graf'!$B$7:$B$14</c:f>
              <c:numCache>
                <c:formatCode>#,##0.0</c:formatCode>
                <c:ptCount val="8"/>
                <c:pt idx="0">
                  <c:v>57379.118437812736</c:v>
                </c:pt>
                <c:pt idx="1">
                  <c:v>42330.872264007121</c:v>
                </c:pt>
                <c:pt idx="2">
                  <c:v>14619.238973267578</c:v>
                </c:pt>
                <c:pt idx="3">
                  <c:v>7799.2472993371366</c:v>
                </c:pt>
                <c:pt idx="4">
                  <c:v>3265.4622990341522</c:v>
                </c:pt>
                <c:pt idx="5">
                  <c:v>1002.1265108420055</c:v>
                </c:pt>
                <c:pt idx="6">
                  <c:v>947.72595574570119</c:v>
                </c:pt>
                <c:pt idx="7">
                  <c:v>685.02799124584237</c:v>
                </c:pt>
              </c:numCache>
            </c:numRef>
          </c:val>
          <c:smooth val="0"/>
          <c:extLst>
            <c:ext xmlns:c15="http://schemas.microsoft.com/office/drawing/2012/chart" uri="{02D57815-91ED-43cb-92C2-25804820EDAC}">
              <c15:datalabelsRange>
                <c15:f>'Base Graf'!$BH$95:$BH$102</c15:f>
                <c15:dlblRangeCache>
                  <c:ptCount val="8"/>
                  <c:pt idx="0">
                    <c:v>57.379,1</c:v>
                  </c:pt>
                  <c:pt idx="1">
                    <c:v>42.330,9</c:v>
                  </c:pt>
                  <c:pt idx="2">
                    <c:v>14.619,2</c:v>
                  </c:pt>
                  <c:pt idx="3">
                    <c:v>7.799,2</c:v>
                  </c:pt>
                  <c:pt idx="4">
                    <c:v>3.265,5</c:v>
                  </c:pt>
                  <c:pt idx="5">
                    <c:v>1.002,1</c:v>
                  </c:pt>
                  <c:pt idx="6">
                    <c:v>947,7</c:v>
                  </c:pt>
                  <c:pt idx="7">
                    <c:v>685,0</c:v>
                  </c:pt>
                </c15:dlblRangeCache>
              </c15:datalabelsRange>
            </c:ex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marker val="1"/>
        <c:smooth val="0"/>
        <c:axId val="-303976080"/>
        <c:axId val="-303974448"/>
      </c:lineChart>
      <c:catAx>
        <c:axId val="-303976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4448"/>
        <c:crosses val="autoZero"/>
        <c:auto val="1"/>
        <c:lblAlgn val="ctr"/>
        <c:lblOffset val="100"/>
        <c:noMultiLvlLbl val="0"/>
      </c:catAx>
      <c:valAx>
        <c:axId val="-303974448"/>
        <c:scaling>
          <c:orientation val="minMax"/>
        </c:scaling>
        <c:delete val="1"/>
        <c:axPos val="l"/>
        <c:numFmt formatCode="#,##0.0" sourceLinked="1"/>
        <c:majorTickMark val="none"/>
        <c:minorTickMark val="none"/>
        <c:tickLblPos val="nextTo"/>
        <c:crossAx val="-303976080"/>
        <c:crosses val="autoZero"/>
        <c:crossBetween val="between"/>
      </c:valAx>
      <c:spPr>
        <a:noFill/>
        <a:ln w="25400">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Lbl>
              <c:idx val="0"/>
              <c:tx>
                <c:rich>
                  <a:bodyPr/>
                  <a:lstStyle/>
                  <a:p>
                    <a:fld id="{B86AECF4-163C-4064-AA71-6B48597834A1}" type="CELLRANGE">
                      <a:rPr lang="en-US"/>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140-4B30-B6B5-CD5039A72F85}"/>
                </c:ext>
              </c:extLst>
            </c:dLbl>
            <c:dLbl>
              <c:idx val="1"/>
              <c:tx>
                <c:rich>
                  <a:bodyPr/>
                  <a:lstStyle/>
                  <a:p>
                    <a:fld id="{ACA4B295-225B-48E2-8E5F-3031FA407CEA}"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140-4B30-B6B5-CD5039A72F85}"/>
                </c:ext>
              </c:extLst>
            </c:dLbl>
            <c:dLbl>
              <c:idx val="2"/>
              <c:tx>
                <c:rich>
                  <a:bodyPr/>
                  <a:lstStyle/>
                  <a:p>
                    <a:fld id="{636890EB-4B6E-4D92-81F2-7C79D9C5CA79}"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140-4B30-B6B5-CD5039A72F85}"/>
                </c:ext>
              </c:extLst>
            </c:dLbl>
            <c:dLbl>
              <c:idx val="3"/>
              <c:tx>
                <c:rich>
                  <a:bodyPr/>
                  <a:lstStyle/>
                  <a:p>
                    <a:fld id="{486AC677-F4C8-4F14-B749-0EC1D99BD59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140-4B30-B6B5-CD5039A72F85}"/>
                </c:ext>
              </c:extLst>
            </c:dLbl>
            <c:dLbl>
              <c:idx val="4"/>
              <c:tx>
                <c:rich>
                  <a:bodyPr/>
                  <a:lstStyle/>
                  <a:p>
                    <a:fld id="{864D4764-F256-46DE-9B5D-C0C410F84C8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140-4B30-B6B5-CD5039A72F85}"/>
                </c:ext>
              </c:extLst>
            </c:dLbl>
            <c:dLbl>
              <c:idx val="5"/>
              <c:tx>
                <c:rich>
                  <a:bodyPr/>
                  <a:lstStyle/>
                  <a:p>
                    <a:fld id="{30BD82C1-1C3B-4E0E-A5DA-4A382EDCD707}"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140-4B30-B6B5-CD5039A72F85}"/>
                </c:ext>
              </c:extLst>
            </c:dLbl>
            <c:dLbl>
              <c:idx val="6"/>
              <c:tx>
                <c:rich>
                  <a:bodyPr/>
                  <a:lstStyle/>
                  <a:p>
                    <a:fld id="{2BEE9C73-8A0F-4F79-A90E-DA2C111B7E2C}"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140-4B30-B6B5-CD5039A72F85}"/>
                </c:ext>
              </c:extLst>
            </c:dLbl>
            <c:dLbl>
              <c:idx val="7"/>
              <c:tx>
                <c:rich>
                  <a:bodyPr/>
                  <a:lstStyle/>
                  <a:p>
                    <a:fld id="{2A25101D-DB83-4B84-B947-9007CF9A9E6A}"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140-4B30-B6B5-CD5039A72F8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Graf'!$I$7:$I$14</c:f>
              <c:numCache>
                <c:formatCode>#,##0.0</c:formatCode>
                <c:ptCount val="8"/>
                <c:pt idx="0">
                  <c:v>96.00533608296891</c:v>
                </c:pt>
                <c:pt idx="1">
                  <c:v>96.03832640448644</c:v>
                </c:pt>
                <c:pt idx="2">
                  <c:v>97.751923101679324</c:v>
                </c:pt>
                <c:pt idx="3">
                  <c:v>93.149060435122124</c:v>
                </c:pt>
                <c:pt idx="4">
                  <c:v>93.14939251512213</c:v>
                </c:pt>
                <c:pt idx="5">
                  <c:v>93.149728565122132</c:v>
                </c:pt>
                <c:pt idx="6">
                  <c:v>53.302299394352872</c:v>
                </c:pt>
                <c:pt idx="7">
                  <c:v>13.154925352889226</c:v>
                </c:pt>
              </c:numCache>
            </c:numRef>
          </c:val>
          <c:extLst>
            <c:ext xmlns:c15="http://schemas.microsoft.com/office/drawing/2012/chart" uri="{02D57815-91ED-43cb-92C2-25804820EDAC}">
              <c15:datalabelsRange>
                <c15:f>'Base Graf'!$BP$114:$BP$121</c15:f>
                <c15:dlblRangeCache>
                  <c:ptCount val="8"/>
                  <c:pt idx="0">
                    <c:v>73,8%</c:v>
                  </c:pt>
                  <c:pt idx="1">
                    <c:v>72,2%</c:v>
                  </c:pt>
                  <c:pt idx="2">
                    <c:v>76,5%</c:v>
                  </c:pt>
                  <c:pt idx="3">
                    <c:v>80,2%</c:v>
                  </c:pt>
                  <c:pt idx="4">
                    <c:v>84,8%</c:v>
                  </c:pt>
                  <c:pt idx="5">
                    <c:v>89,7%</c:v>
                  </c:pt>
                  <c:pt idx="6">
                    <c:v>90,9%</c:v>
                  </c:pt>
                  <c:pt idx="7">
                    <c:v>87,2%</c:v>
                  </c:pt>
                </c15:dlblRangeCache>
              </c15:datalabelsRange>
            </c:ex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Lbl>
              <c:idx val="0"/>
              <c:tx>
                <c:rich>
                  <a:bodyPr/>
                  <a:lstStyle/>
                  <a:p>
                    <a:fld id="{65EA24FF-BFBA-4D0C-A360-983281EC5210}" type="CELLRANGE">
                      <a:rPr lang="en-US"/>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140-4B30-B6B5-CD5039A72F85}"/>
                </c:ext>
              </c:extLst>
            </c:dLbl>
            <c:dLbl>
              <c:idx val="1"/>
              <c:tx>
                <c:rich>
                  <a:bodyPr/>
                  <a:lstStyle/>
                  <a:p>
                    <a:fld id="{0ED0E47A-B0DD-4D07-BFBB-659FCD6F5CF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140-4B30-B6B5-CD5039A72F85}"/>
                </c:ext>
              </c:extLst>
            </c:dLbl>
            <c:dLbl>
              <c:idx val="2"/>
              <c:tx>
                <c:rich>
                  <a:bodyPr/>
                  <a:lstStyle/>
                  <a:p>
                    <a:fld id="{90CC75FB-286F-4167-8F05-8D6CDD6340A7}"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140-4B30-B6B5-CD5039A72F85}"/>
                </c:ext>
              </c:extLst>
            </c:dLbl>
            <c:dLbl>
              <c:idx val="3"/>
              <c:tx>
                <c:rich>
                  <a:bodyPr/>
                  <a:lstStyle/>
                  <a:p>
                    <a:fld id="{D031978A-0172-4F7E-862D-345DF87EFED7}"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140-4B30-B6B5-CD5039A72F85}"/>
                </c:ext>
              </c:extLst>
            </c:dLbl>
            <c:dLbl>
              <c:idx val="4"/>
              <c:tx>
                <c:rich>
                  <a:bodyPr/>
                  <a:lstStyle/>
                  <a:p>
                    <a:fld id="{52D8570F-7805-4B19-83C9-70EF20C975C1}"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140-4B30-B6B5-CD5039A72F85}"/>
                </c:ext>
              </c:extLst>
            </c:dLbl>
            <c:dLbl>
              <c:idx val="5"/>
              <c:tx>
                <c:rich>
                  <a:bodyPr/>
                  <a:lstStyle/>
                  <a:p>
                    <a:fld id="{EB28B46A-A1A8-4AFF-AA85-0F2A7CF1D68A}"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140-4B30-B6B5-CD5039A72F85}"/>
                </c:ext>
              </c:extLst>
            </c:dLbl>
            <c:dLbl>
              <c:idx val="6"/>
              <c:layout>
                <c:manualLayout>
                  <c:x val="-1.6744382858962218E-16"/>
                  <c:y val="-5.9433079288674959E-2"/>
                </c:manualLayout>
              </c:layout>
              <c:tx>
                <c:rich>
                  <a:bodyPr rot="0" spcFirstLastPara="1" vertOverflow="ellipsis" vert="horz" wrap="square" lIns="38100" tIns="19050" rIns="38100" bIns="19050" anchor="ctr" anchorCtr="1">
                    <a:spAutoFit/>
                  </a:bodyPr>
                  <a:lstStyle/>
                  <a:p>
                    <a:pPr>
                      <a:defRPr sz="1000" b="0" i="0" u="none" strike="noStrike" kern="1200" baseline="0">
                        <a:solidFill>
                          <a:srgbClr val="BC2400"/>
                        </a:solidFill>
                        <a:latin typeface="+mn-lt"/>
                        <a:ea typeface="+mn-ea"/>
                        <a:cs typeface="+mn-cs"/>
                      </a:defRPr>
                    </a:pPr>
                    <a:fld id="{4B296424-A66D-46CF-B25A-52446FD80D3D}" type="CELLRANGE">
                      <a:rPr lang="en-US"/>
                      <a:pPr>
                        <a:defRPr sz="1000">
                          <a:solidFill>
                            <a:srgbClr val="BC2400"/>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C2400"/>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140-4B30-B6B5-CD5039A72F85}"/>
                </c:ext>
              </c:extLst>
            </c:dLbl>
            <c:dLbl>
              <c:idx val="7"/>
              <c:layout>
                <c:manualLayout>
                  <c:x val="0"/>
                  <c:y val="-4.6697419441101673E-2"/>
                </c:manualLayout>
              </c:layout>
              <c:tx>
                <c:rich>
                  <a:bodyPr rot="0" spcFirstLastPara="1" vertOverflow="ellipsis" vert="horz" wrap="square" lIns="38100" tIns="19050" rIns="38100" bIns="19050" anchor="ctr" anchorCtr="1">
                    <a:spAutoFit/>
                  </a:bodyPr>
                  <a:lstStyle/>
                  <a:p>
                    <a:pPr>
                      <a:defRPr sz="1000" b="0" i="0" u="none" strike="noStrike" kern="1200" baseline="0">
                        <a:solidFill>
                          <a:srgbClr val="BC2400"/>
                        </a:solidFill>
                        <a:latin typeface="+mn-lt"/>
                        <a:ea typeface="+mn-ea"/>
                        <a:cs typeface="+mn-cs"/>
                      </a:defRPr>
                    </a:pPr>
                    <a:fld id="{559F06DD-AA75-4874-A5C8-80C6C67B8E36}" type="CELLRANGE">
                      <a:rPr lang="en-US"/>
                      <a:pPr>
                        <a:defRPr sz="1000">
                          <a:solidFill>
                            <a:srgbClr val="BC2400"/>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C2400"/>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140-4B30-B6B5-CD5039A72F8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Graf'!$L$7:$L$14</c:f>
              <c:numCache>
                <c:formatCode>#,##0.0</c:formatCode>
                <c:ptCount val="8"/>
                <c:pt idx="0">
                  <c:v>34.138683243744772</c:v>
                </c:pt>
                <c:pt idx="1">
                  <c:v>37.028638257068472</c:v>
                </c:pt>
                <c:pt idx="2">
                  <c:v>30.022911870146125</c:v>
                </c:pt>
                <c:pt idx="3">
                  <c:v>22.984120485382242</c:v>
                </c:pt>
                <c:pt idx="4">
                  <c:v>16.70995950678585</c:v>
                </c:pt>
                <c:pt idx="5">
                  <c:v>10.720626500676111</c:v>
                </c:pt>
                <c:pt idx="6">
                  <c:v>5.3520217933163465</c:v>
                </c:pt>
                <c:pt idx="7">
                  <c:v>1.9364979204874739</c:v>
                </c:pt>
              </c:numCache>
            </c:numRef>
          </c:val>
          <c:extLst>
            <c:ext xmlns:c15="http://schemas.microsoft.com/office/drawing/2012/chart" uri="{02D57815-91ED-43cb-92C2-25804820EDAC}">
              <c15:datalabelsRange>
                <c15:f>'Base Graf'!$BQ$114:$BQ$121</c15:f>
                <c15:dlblRangeCache>
                  <c:ptCount val="8"/>
                  <c:pt idx="0">
                    <c:v>26,2%</c:v>
                  </c:pt>
                  <c:pt idx="1">
                    <c:v>27,8%</c:v>
                  </c:pt>
                  <c:pt idx="2">
                    <c:v>23,5%</c:v>
                  </c:pt>
                  <c:pt idx="3">
                    <c:v>19,8%</c:v>
                  </c:pt>
                  <c:pt idx="4">
                    <c:v>15,2%</c:v>
                  </c:pt>
                  <c:pt idx="5">
                    <c:v>10,3%</c:v>
                  </c:pt>
                  <c:pt idx="6">
                    <c:v>9,1%</c:v>
                  </c:pt>
                  <c:pt idx="7">
                    <c:v>12,8%</c:v>
                  </c:pt>
                </c15:dlblRangeCache>
              </c15:datalabelsRange>
            </c:ext>
            <c:ext xmlns:c16="http://schemas.microsoft.com/office/drawing/2014/chart" uri="{C3380CC4-5D6E-409C-BE32-E72D297353CC}">
              <c16:uniqueId val="{0000000F-F070-4C4C-A8F3-25B5D6BC95A0}"/>
            </c:ext>
          </c:extLst>
        </c:ser>
        <c:dLbls>
          <c:dLblPos val="ctr"/>
          <c:showLegendKey val="0"/>
          <c:showVal val="1"/>
          <c:showCatName val="0"/>
          <c:showSerName val="0"/>
          <c:showPercent val="0"/>
          <c:showBubbleSize val="0"/>
        </c:dLbls>
        <c:gapWidth val="50"/>
        <c:overlap val="100"/>
        <c:axId val="-303972816"/>
        <c:axId val="-303973904"/>
      </c:barChart>
      <c:lineChart>
        <c:grouping val="standard"/>
        <c:varyColors val="0"/>
        <c:ser>
          <c:idx val="2"/>
          <c:order val="2"/>
          <c:spPr>
            <a:ln w="28575" cap="rnd">
              <a:solidFill>
                <a:schemeClr val="tx1">
                  <a:alpha val="0"/>
                </a:schemeClr>
              </a:solidFill>
              <a:round/>
            </a:ln>
            <a:effectLst/>
          </c:spPr>
          <c:marker>
            <c:symbol val="none"/>
          </c:marker>
          <c:dLbls>
            <c:dLbl>
              <c:idx val="0"/>
              <c:layout>
                <c:manualLayout>
                  <c:x val="-4.808737864077671E-2"/>
                  <c:y val="-4.7132638053215672E-2"/>
                </c:manualLayout>
              </c:layout>
              <c:tx>
                <c:rich>
                  <a:bodyPr/>
                  <a:lstStyle/>
                  <a:p>
                    <a:fld id="{6AF75128-6D2E-4799-9181-87C3D51880CF}"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F140-4B30-B6B5-CD5039A72F85}"/>
                </c:ext>
              </c:extLst>
            </c:dLbl>
            <c:dLbl>
              <c:idx val="1"/>
              <c:layout>
                <c:manualLayout>
                  <c:x val="-4.8087378640776696E-2"/>
                  <c:y val="-3.8642198154833496E-2"/>
                </c:manualLayout>
              </c:layout>
              <c:tx>
                <c:rich>
                  <a:bodyPr/>
                  <a:lstStyle/>
                  <a:p>
                    <a:fld id="{914DB524-12B0-4AE5-AA29-91729448A21F}"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140-4B30-B6B5-CD5039A72F85}"/>
                </c:ext>
              </c:extLst>
            </c:dLbl>
            <c:dLbl>
              <c:idx val="2"/>
              <c:layout>
                <c:manualLayout>
                  <c:x val="-4.8087378640776744E-2"/>
                  <c:y val="-4.2887418104024605E-2"/>
                </c:manualLayout>
              </c:layout>
              <c:tx>
                <c:rich>
                  <a:bodyPr/>
                  <a:lstStyle/>
                  <a:p>
                    <a:fld id="{6E5ECF03-2E4A-4B5B-BB16-1A6F0B771213}"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140-4B30-B6B5-CD5039A72F85}"/>
                </c:ext>
              </c:extLst>
            </c:dLbl>
            <c:dLbl>
              <c:idx val="3"/>
              <c:layout>
                <c:manualLayout>
                  <c:x val="-4.8087378640776696E-2"/>
                  <c:y val="-4.2887418104024605E-2"/>
                </c:manualLayout>
              </c:layout>
              <c:tx>
                <c:rich>
                  <a:bodyPr/>
                  <a:lstStyle/>
                  <a:p>
                    <a:fld id="{5969B276-3F5E-469A-9E1E-E7503807AA52}"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140-4B30-B6B5-CD5039A72F85}"/>
                </c:ext>
              </c:extLst>
            </c:dLbl>
            <c:dLbl>
              <c:idx val="4"/>
              <c:tx>
                <c:rich>
                  <a:bodyPr/>
                  <a:lstStyle/>
                  <a:p>
                    <a:fld id="{C69D9214-36F0-4C09-84DE-6BD8C9F294E3}"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140-4B30-B6B5-CD5039A72F85}"/>
                </c:ext>
              </c:extLst>
            </c:dLbl>
            <c:dLbl>
              <c:idx val="5"/>
              <c:tx>
                <c:rich>
                  <a:bodyPr/>
                  <a:lstStyle/>
                  <a:p>
                    <a:fld id="{950D7ABA-C258-4D78-B3FF-0FA049B90906}"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140-4B30-B6B5-CD5039A72F85}"/>
                </c:ext>
              </c:extLst>
            </c:dLbl>
            <c:dLbl>
              <c:idx val="6"/>
              <c:layout>
                <c:manualLayout>
                  <c:x val="-4.2299172959367304E-2"/>
                  <c:y val="-0.11505615724027284"/>
                </c:manualLayout>
              </c:layout>
              <c:tx>
                <c:rich>
                  <a:bodyPr/>
                  <a:lstStyle/>
                  <a:p>
                    <a:fld id="{6B645B82-B738-45E1-BF9B-ECDEC652E830}"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F140-4B30-B6B5-CD5039A72F85}"/>
                </c:ext>
              </c:extLst>
            </c:dLbl>
            <c:dLbl>
              <c:idx val="7"/>
              <c:layout>
                <c:manualLayout>
                  <c:x val="-4.2299172959367137E-2"/>
                  <c:y val="-9.8075277443508566E-2"/>
                </c:manualLayout>
              </c:layout>
              <c:tx>
                <c:rich>
                  <a:bodyPr/>
                  <a:lstStyle/>
                  <a:p>
                    <a:fld id="{E442774A-368B-4BF9-930B-3EF20FA65756}"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140-4B30-B6B5-CD5039A72F8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Graf'!$C$7:$C$14</c:f>
              <c:numCache>
                <c:formatCode>#,##0.0</c:formatCode>
                <c:ptCount val="8"/>
                <c:pt idx="0">
                  <c:v>130.1440193267137</c:v>
                </c:pt>
                <c:pt idx="1">
                  <c:v>133.06696466155492</c:v>
                </c:pt>
                <c:pt idx="2">
                  <c:v>127.77483497182544</c:v>
                </c:pt>
                <c:pt idx="3">
                  <c:v>116.13318092050437</c:v>
                </c:pt>
                <c:pt idx="4">
                  <c:v>109.85935202190797</c:v>
                </c:pt>
                <c:pt idx="5">
                  <c:v>103.87035506579824</c:v>
                </c:pt>
                <c:pt idx="6">
                  <c:v>58.654321187669218</c:v>
                </c:pt>
                <c:pt idx="7">
                  <c:v>15.091423273376698</c:v>
                </c:pt>
              </c:numCache>
            </c:numRef>
          </c:val>
          <c:smooth val="0"/>
          <c:extLst>
            <c:ext xmlns:c15="http://schemas.microsoft.com/office/drawing/2012/chart" uri="{02D57815-91ED-43cb-92C2-25804820EDAC}">
              <c15:datalabelsRange>
                <c15:f>'Base Graf'!$BO$114:$BO$121</c15:f>
                <c15:dlblRangeCache>
                  <c:ptCount val="8"/>
                  <c:pt idx="0">
                    <c:v> 130,1 </c:v>
                  </c:pt>
                  <c:pt idx="1">
                    <c:v> 133,1 </c:v>
                  </c:pt>
                  <c:pt idx="2">
                    <c:v> 127,8 </c:v>
                  </c:pt>
                  <c:pt idx="3">
                    <c:v> 116,1 </c:v>
                  </c:pt>
                  <c:pt idx="4">
                    <c:v> 109,9 </c:v>
                  </c:pt>
                  <c:pt idx="5">
                    <c:v> 103,9 </c:v>
                  </c:pt>
                  <c:pt idx="6">
                    <c:v> 58,7 </c:v>
                  </c:pt>
                  <c:pt idx="7">
                    <c:v> 15,1 </c:v>
                  </c:pt>
                </c15:dlblRangeCache>
              </c15:datalabelsRange>
            </c:ex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marker val="1"/>
        <c:smooth val="0"/>
        <c:axId val="-303972816"/>
        <c:axId val="-303973904"/>
      </c:lineChart>
      <c:catAx>
        <c:axId val="-303972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3904"/>
        <c:crosses val="autoZero"/>
        <c:auto val="1"/>
        <c:lblAlgn val="ctr"/>
        <c:lblOffset val="100"/>
        <c:noMultiLvlLbl val="0"/>
      </c:catAx>
      <c:valAx>
        <c:axId val="-303973904"/>
        <c:scaling>
          <c:orientation val="minMax"/>
        </c:scaling>
        <c:delete val="1"/>
        <c:axPos val="l"/>
        <c:numFmt formatCode="#,##0.0" sourceLinked="1"/>
        <c:majorTickMark val="none"/>
        <c:minorTickMark val="none"/>
        <c:tickLblPos val="nextTo"/>
        <c:crossAx val="-30397281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5090988100013371"/>
          <c:w val="0.88282793959007555"/>
          <c:h val="0.40479108169541383"/>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Graf'!$AC$7:$AC$14</c:f>
              <c:numCache>
                <c:formatCode>#,##0.0</c:formatCode>
                <c:ptCount val="8"/>
                <c:pt idx="0">
                  <c:v>15170.333164879847</c:v>
                </c:pt>
                <c:pt idx="1">
                  <c:v>1144.6725625644585</c:v>
                </c:pt>
                <c:pt idx="2">
                  <c:v>263.2014123654518</c:v>
                </c:pt>
                <c:pt idx="3">
                  <c:v>102.36543125216357</c:v>
                </c:pt>
                <c:pt idx="4">
                  <c:v>55.878062572801497</c:v>
                </c:pt>
                <c:pt idx="5">
                  <c:v>55.235707330655501</c:v>
                </c:pt>
                <c:pt idx="6">
                  <c:v>55.168689471576599</c:v>
                </c:pt>
                <c:pt idx="7">
                  <c:v>52.897372722278853</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Graf'!$AO$7:$AO$14</c:f>
              <c:numCache>
                <c:formatCode>#,##0.0</c:formatCode>
                <c:ptCount val="8"/>
                <c:pt idx="0">
                  <c:v>22662.240446979886</c:v>
                </c:pt>
                <c:pt idx="1">
                  <c:v>23825.718484227564</c:v>
                </c:pt>
                <c:pt idx="2">
                  <c:v>5007.9886947320174</c:v>
                </c:pt>
                <c:pt idx="3">
                  <c:v>1947.9631450845632</c:v>
                </c:pt>
                <c:pt idx="4">
                  <c:v>1319.0258818496081</c:v>
                </c:pt>
                <c:pt idx="5">
                  <c:v>946.89080351134999</c:v>
                </c:pt>
                <c:pt idx="6">
                  <c:v>892.55726627412457</c:v>
                </c:pt>
                <c:pt idx="7">
                  <c:v>632.1306185235635</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chemeClr val="accent4"/>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Graf'!$AF$7:$AF$14</c:f>
              <c:numCache>
                <c:formatCode>#,##0.0</c:formatCode>
                <c:ptCount val="8"/>
                <c:pt idx="0">
                  <c:v>19546.544825953002</c:v>
                </c:pt>
                <c:pt idx="1">
                  <c:v>17360.4812172151</c:v>
                </c:pt>
                <c:pt idx="2">
                  <c:v>9348.0488661701092</c:v>
                </c:pt>
                <c:pt idx="3">
                  <c:v>5748.91872300041</c:v>
                </c:pt>
                <c:pt idx="4">
                  <c:v>1890.558354611743</c:v>
                </c:pt>
                <c:pt idx="5">
                  <c:v>0</c:v>
                </c:pt>
                <c:pt idx="6">
                  <c:v>0</c:v>
                </c:pt>
                <c:pt idx="7">
                  <c:v>0</c:v>
                </c:pt>
              </c:numCache>
            </c:numRef>
          </c:val>
          <c:extLst>
            <c:ext xmlns:c16="http://schemas.microsoft.com/office/drawing/2014/chart" uri="{C3380CC4-5D6E-409C-BE32-E72D297353CC}">
              <c16:uniqueId val="{00000004-E4F1-45B2-9D23-8998C5758ED0}"/>
            </c:ext>
          </c:extLst>
        </c:ser>
        <c:dLbls>
          <c:showLegendKey val="0"/>
          <c:showVal val="0"/>
          <c:showCatName val="0"/>
          <c:showSerName val="0"/>
          <c:showPercent val="0"/>
          <c:showBubbleSize val="0"/>
        </c:dLbls>
        <c:gapWidth val="50"/>
        <c:overlap val="100"/>
        <c:axId val="-303973360"/>
        <c:axId val="-303971728"/>
      </c:barChart>
      <c:lineChart>
        <c:grouping val="standard"/>
        <c:varyColors val="0"/>
        <c:ser>
          <c:idx val="2"/>
          <c:order val="3"/>
          <c:spPr>
            <a:ln w="28575" cap="rnd">
              <a:solidFill>
                <a:schemeClr val="bg1">
                  <a:lumMod val="85000"/>
                  <a:alpha val="0"/>
                </a:schemeClr>
              </a:solidFill>
              <a:round/>
            </a:ln>
            <a:effectLst/>
          </c:spPr>
          <c:marker>
            <c:symbol val="none"/>
          </c:marker>
          <c:dLbls>
            <c:dLbl>
              <c:idx val="0"/>
              <c:layout>
                <c:manualLayout>
                  <c:x val="-6.5920352391226178E-2"/>
                  <c:y val="-3.4396978205642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5E-4839-A705-827602A07ED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A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Graf'!$B$7:$B$14</c:f>
              <c:numCache>
                <c:formatCode>#,##0.0</c:formatCode>
                <c:ptCount val="8"/>
                <c:pt idx="0">
                  <c:v>57379.118437812736</c:v>
                </c:pt>
                <c:pt idx="1">
                  <c:v>42330.872264007121</c:v>
                </c:pt>
                <c:pt idx="2">
                  <c:v>14619.238973267578</c:v>
                </c:pt>
                <c:pt idx="3">
                  <c:v>7799.2472993371366</c:v>
                </c:pt>
                <c:pt idx="4">
                  <c:v>3265.4622990341522</c:v>
                </c:pt>
                <c:pt idx="5">
                  <c:v>1002.1265108420055</c:v>
                </c:pt>
                <c:pt idx="6">
                  <c:v>947.72595574570119</c:v>
                </c:pt>
                <c:pt idx="7">
                  <c:v>685.02799124584237</c:v>
                </c:pt>
              </c:numCache>
            </c:numRef>
          </c:val>
          <c:smooth val="0"/>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marker val="1"/>
        <c:smooth val="0"/>
        <c:axId val="-303973360"/>
        <c:axId val="-303971728"/>
      </c:lineChart>
      <c:catAx>
        <c:axId val="-303973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1728"/>
        <c:crosses val="autoZero"/>
        <c:auto val="1"/>
        <c:lblAlgn val="ctr"/>
        <c:lblOffset val="100"/>
        <c:noMultiLvlLbl val="0"/>
      </c:catAx>
      <c:valAx>
        <c:axId val="-303971728"/>
        <c:scaling>
          <c:orientation val="minMax"/>
          <c:max val="60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3360"/>
        <c:crosses val="autoZero"/>
        <c:crossBetween val="between"/>
        <c:majorUnit val="8000"/>
      </c:valAx>
      <c:spPr>
        <a:noFill/>
        <a:ln w="25400">
          <a:noFill/>
        </a:ln>
        <a:effectLst/>
      </c:spPr>
    </c:plotArea>
    <c:legend>
      <c:legendPos val="b"/>
      <c:legendEntry>
        <c:idx val="3"/>
        <c:delete val="1"/>
      </c:legendEntry>
      <c:layout>
        <c:manualLayout>
          <c:xMode val="edge"/>
          <c:yMode val="edge"/>
          <c:x val="2.8705861201006832E-2"/>
          <c:y val="0.89721587110576284"/>
          <c:w val="0.7644866954332973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2968378125417835"/>
          <c:w val="0.88282793959007555"/>
          <c:h val="0.44299806123813346"/>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Graf'!$AP$7:$AP$14</c:f>
              <c:numCache>
                <c:formatCode>#,##0.0</c:formatCode>
                <c:ptCount val="8"/>
                <c:pt idx="0">
                  <c:v>104.5290126923077</c:v>
                </c:pt>
                <c:pt idx="1">
                  <c:v>103.75362913461539</c:v>
                </c:pt>
                <c:pt idx="2">
                  <c:v>99.171135673076932</c:v>
                </c:pt>
                <c:pt idx="3">
                  <c:v>94.58864221153847</c:v>
                </c:pt>
                <c:pt idx="4">
                  <c:v>90.006148750000008</c:v>
                </c:pt>
                <c:pt idx="5">
                  <c:v>85.423655288461546</c:v>
                </c:pt>
                <c:pt idx="6">
                  <c:v>40.993392596153825</c:v>
                </c:pt>
                <c:pt idx="7">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Graf'!$AM$7:$AM$14</c:f>
              <c:numCache>
                <c:formatCode>#,##0.0</c:formatCode>
                <c:ptCount val="8"/>
                <c:pt idx="0">
                  <c:v>25.615006634405987</c:v>
                </c:pt>
                <c:pt idx="1">
                  <c:v>29.313335526939515</c:v>
                </c:pt>
                <c:pt idx="2">
                  <c:v>28.603699298748516</c:v>
                </c:pt>
                <c:pt idx="3">
                  <c:v>21.544538708965902</c:v>
                </c:pt>
                <c:pt idx="4">
                  <c:v>19.853203271907965</c:v>
                </c:pt>
                <c:pt idx="5">
                  <c:v>18.446699777336693</c:v>
                </c:pt>
                <c:pt idx="6">
                  <c:v>17.660928591515393</c:v>
                </c:pt>
                <c:pt idx="7">
                  <c:v>15.091423273376698</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Graf'!$AJ$6:$AJ$14</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dLbls>
          <c:showLegendKey val="0"/>
          <c:showVal val="0"/>
          <c:showCatName val="0"/>
          <c:showSerName val="0"/>
          <c:showPercent val="0"/>
          <c:showBubbleSize val="0"/>
        </c:dLbls>
        <c:gapWidth val="50"/>
        <c:overlap val="100"/>
        <c:axId val="-303971184"/>
        <c:axId val="-533886400"/>
      </c:barChart>
      <c:lineChart>
        <c:grouping val="standard"/>
        <c:varyColors val="0"/>
        <c:ser>
          <c:idx val="3"/>
          <c:order val="3"/>
          <c:spPr>
            <a:ln w="28575" cap="rnd">
              <a:solidFill>
                <a:schemeClr val="tx1">
                  <a:alpha val="0"/>
                </a:schemeClr>
              </a:solidFill>
              <a:round/>
            </a:ln>
            <a:effectLst/>
          </c:spPr>
          <c:marker>
            <c:symbol val="none"/>
          </c:marker>
          <c:dLbls>
            <c:dLbl>
              <c:idx val="0"/>
              <c:tx>
                <c:rich>
                  <a:bodyPr/>
                  <a:lstStyle/>
                  <a:p>
                    <a:fld id="{AC608175-45E4-4AA6-B8F4-6034A31E894B}" type="CELLRANGE">
                      <a:rPr lang="en-US"/>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DF0-4377-ADCD-7137CEFFECCD}"/>
                </c:ext>
              </c:extLst>
            </c:dLbl>
            <c:dLbl>
              <c:idx val="1"/>
              <c:tx>
                <c:rich>
                  <a:bodyPr/>
                  <a:lstStyle/>
                  <a:p>
                    <a:fld id="{122490D5-4ED6-4306-A6E1-5A0EA652BE97}"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DF0-4377-ADCD-7137CEFFECCD}"/>
                </c:ext>
              </c:extLst>
            </c:dLbl>
            <c:dLbl>
              <c:idx val="2"/>
              <c:tx>
                <c:rich>
                  <a:bodyPr/>
                  <a:lstStyle/>
                  <a:p>
                    <a:fld id="{FE2A738B-B6E3-4497-B645-12C234664964}"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F0-4377-ADCD-7137CEFFECCD}"/>
                </c:ext>
              </c:extLst>
            </c:dLbl>
            <c:dLbl>
              <c:idx val="3"/>
              <c:tx>
                <c:rich>
                  <a:bodyPr/>
                  <a:lstStyle/>
                  <a:p>
                    <a:fld id="{950082A5-F4E9-4B3D-B243-DFFC748FB29D}"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F0-4377-ADCD-7137CEFFECCD}"/>
                </c:ext>
              </c:extLst>
            </c:dLbl>
            <c:dLbl>
              <c:idx val="4"/>
              <c:tx>
                <c:rich>
                  <a:bodyPr/>
                  <a:lstStyle/>
                  <a:p>
                    <a:fld id="{31B09C5E-5095-4AB2-BD1E-1437E4145CA6}"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F0-4377-ADCD-7137CEFFECCD}"/>
                </c:ext>
              </c:extLst>
            </c:dLbl>
            <c:dLbl>
              <c:idx val="5"/>
              <c:tx>
                <c:rich>
                  <a:bodyPr/>
                  <a:lstStyle/>
                  <a:p>
                    <a:fld id="{C983CC17-B4E7-4997-9433-3B2F644F245D}"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F0-4377-ADCD-7137CEFFECCD}"/>
                </c:ext>
              </c:extLst>
            </c:dLbl>
            <c:dLbl>
              <c:idx val="6"/>
              <c:tx>
                <c:rich>
                  <a:bodyPr/>
                  <a:lstStyle/>
                  <a:p>
                    <a:fld id="{7B3ABC3C-145A-4CE6-BEF3-90B08D40E572}"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F0-4377-ADCD-7137CEFFECCD}"/>
                </c:ext>
              </c:extLst>
            </c:dLbl>
            <c:dLbl>
              <c:idx val="7"/>
              <c:tx>
                <c:rich>
                  <a:bodyPr/>
                  <a:lstStyle/>
                  <a:p>
                    <a:fld id="{07E29789-7067-4CFD-A709-5086D0E7CE82}"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F0-4377-ADCD-7137CEFFECC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Graf'!$C$7:$C$14</c:f>
              <c:numCache>
                <c:formatCode>#,##0.0</c:formatCode>
                <c:ptCount val="8"/>
                <c:pt idx="0">
                  <c:v>130.1440193267137</c:v>
                </c:pt>
                <c:pt idx="1">
                  <c:v>133.06696466155492</c:v>
                </c:pt>
                <c:pt idx="2">
                  <c:v>127.77483497182544</c:v>
                </c:pt>
                <c:pt idx="3">
                  <c:v>116.13318092050437</c:v>
                </c:pt>
                <c:pt idx="4">
                  <c:v>109.85935202190797</c:v>
                </c:pt>
                <c:pt idx="5">
                  <c:v>103.87035506579824</c:v>
                </c:pt>
                <c:pt idx="6">
                  <c:v>58.654321187669218</c:v>
                </c:pt>
                <c:pt idx="7">
                  <c:v>15.091423273376698</c:v>
                </c:pt>
              </c:numCache>
            </c:numRef>
          </c:val>
          <c:smooth val="0"/>
          <c:extLst>
            <c:ext xmlns:c15="http://schemas.microsoft.com/office/drawing/2012/chart" uri="{02D57815-91ED-43cb-92C2-25804820EDAC}">
              <c15:datalabelsRange>
                <c15:f>'Base Graf'!$BO$167:$BO$174</c15:f>
                <c15:dlblRangeCache>
                  <c:ptCount val="8"/>
                  <c:pt idx="0">
                    <c:v> 130,1 </c:v>
                  </c:pt>
                  <c:pt idx="1">
                    <c:v> 133,1 </c:v>
                  </c:pt>
                  <c:pt idx="2">
                    <c:v> 127,8 </c:v>
                  </c:pt>
                  <c:pt idx="3">
                    <c:v> 116,1 </c:v>
                  </c:pt>
                  <c:pt idx="4">
                    <c:v> 109,9 </c:v>
                  </c:pt>
                  <c:pt idx="5">
                    <c:v> 103,9 </c:v>
                  </c:pt>
                  <c:pt idx="6">
                    <c:v> 58,7 </c:v>
                  </c:pt>
                  <c:pt idx="7">
                    <c:v> 15,1 </c:v>
                  </c:pt>
                </c15:dlblRangeCache>
              </c15:datalabelsRange>
            </c:ex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marker val="1"/>
        <c:smooth val="0"/>
        <c:axId val="-303971184"/>
        <c:axId val="-533886400"/>
      </c:lineChart>
      <c:catAx>
        <c:axId val="-30397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533886400"/>
        <c:crosses val="autoZero"/>
        <c:auto val="1"/>
        <c:lblAlgn val="ctr"/>
        <c:lblOffset val="100"/>
        <c:noMultiLvlLbl val="0"/>
      </c:catAx>
      <c:valAx>
        <c:axId val="-533886400"/>
        <c:scaling>
          <c:orientation val="minMax"/>
          <c:max val="15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118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52415246314275443"/>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7" noThreeD="1" sel="1" val="0"/>
</file>

<file path=xl/ctrlProps/ctrlProp3.xml><?xml version="1.0" encoding="utf-8"?>
<formControlPr xmlns="http://schemas.microsoft.com/office/spreadsheetml/2009/9/main" objectType="Drop" dropStyle="combo" dx="16" fmlaLink="$K$44" fmlaRange="'Base Graf'!$BT$8:$BT$9" noThreeD="1" sel="2" val="0"/>
</file>

<file path=xl/ctrlProps/ctrlProp4.xml><?xml version="1.0" encoding="utf-8"?>
<formControlPr xmlns="http://schemas.microsoft.com/office/spreadsheetml/2009/9/main" objectType="Drop" dropStyle="combo" dx="16" fmlaLink="$K$64" fmlaRange="'Base Graf'!$BT$10:$BT$14" noThreeD="1" sel="2"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43623"/>
                </a:ext>
              </a:extLst>
            </xdr:cNvPicPr>
          </xdr:nvPicPr>
          <xdr:blipFill>
            <a:blip xmlns:r="http://schemas.openxmlformats.org/officeDocument/2006/relationships" r:embed="rId1"/>
            <a:srcRect/>
            <a:stretch>
              <a:fillRect/>
            </a:stretch>
          </xdr:blipFill>
          <xdr:spPr bwMode="auto">
            <a:xfrm>
              <a:off x="5105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43624"/>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43625"/>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43626"/>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5</xdr:row>
      <xdr:rowOff>9525</xdr:rowOff>
    </xdr:from>
    <xdr:to>
      <xdr:col>7</xdr:col>
      <xdr:colOff>343002</xdr:colOff>
      <xdr:row>20</xdr:row>
      <xdr:rowOff>163710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4775" y="1162050"/>
          <a:ext cx="5572227" cy="3011685"/>
        </a:xfrm>
        <a:prstGeom prst="rect">
          <a:avLst/>
        </a:prstGeom>
      </xdr:spPr>
    </xdr:pic>
    <xdr:clientData/>
  </xdr:twoCellAnchor>
  <xdr:twoCellAnchor editAs="oneCell">
    <xdr:from>
      <xdr:col>8</xdr:col>
      <xdr:colOff>114300</xdr:colOff>
      <xdr:row>5</xdr:row>
      <xdr:rowOff>0</xdr:rowOff>
    </xdr:from>
    <xdr:to>
      <xdr:col>15</xdr:col>
      <xdr:colOff>352527</xdr:colOff>
      <xdr:row>20</xdr:row>
      <xdr:rowOff>148088</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6210300" y="1152525"/>
          <a:ext cx="5572227" cy="3005588"/>
        </a:xfrm>
        <a:prstGeom prst="rect">
          <a:avLst/>
        </a:prstGeom>
      </xdr:spPr>
    </xdr:pic>
    <xdr:clientData/>
  </xdr:twoCellAnchor>
  <xdr:twoCellAnchor editAs="oneCell">
    <xdr:from>
      <xdr:col>0</xdr:col>
      <xdr:colOff>123825</xdr:colOff>
      <xdr:row>25</xdr:row>
      <xdr:rowOff>142875</xdr:rowOff>
    </xdr:from>
    <xdr:to>
      <xdr:col>7</xdr:col>
      <xdr:colOff>368148</xdr:colOff>
      <xdr:row>41</xdr:row>
      <xdr:rowOff>94367</xdr:rowOff>
    </xdr:to>
    <xdr:pic>
      <xdr:nvPicPr>
        <xdr:cNvPr id="13" name="Imagen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3"/>
        <a:stretch>
          <a:fillRect/>
        </a:stretch>
      </xdr:blipFill>
      <xdr:spPr>
        <a:xfrm>
          <a:off x="123825" y="5153025"/>
          <a:ext cx="5578323" cy="2999492"/>
        </a:xfrm>
        <a:prstGeom prst="rect">
          <a:avLst/>
        </a:prstGeom>
      </xdr:spPr>
    </xdr:pic>
    <xdr:clientData/>
  </xdr:twoCellAnchor>
  <xdr:twoCellAnchor editAs="oneCell">
    <xdr:from>
      <xdr:col>8</xdr:col>
      <xdr:colOff>66675</xdr:colOff>
      <xdr:row>25</xdr:row>
      <xdr:rowOff>142875</xdr:rowOff>
    </xdr:from>
    <xdr:to>
      <xdr:col>15</xdr:col>
      <xdr:colOff>310998</xdr:colOff>
      <xdr:row>41</xdr:row>
      <xdr:rowOff>100463</xdr:rowOff>
    </xdr:to>
    <xdr:pic>
      <xdr:nvPicPr>
        <xdr:cNvPr id="14" name="Imagen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4"/>
        <a:stretch>
          <a:fillRect/>
        </a:stretch>
      </xdr:blipFill>
      <xdr:spPr>
        <a:xfrm>
          <a:off x="6162675" y="5153025"/>
          <a:ext cx="5578323" cy="3005588"/>
        </a:xfrm>
        <a:prstGeom prst="rect">
          <a:avLst/>
        </a:prstGeom>
      </xdr:spPr>
    </xdr:pic>
    <xdr:clientData/>
  </xdr:twoCellAnchor>
  <xdr:twoCellAnchor editAs="oneCell">
    <xdr:from>
      <xdr:col>0</xdr:col>
      <xdr:colOff>123825</xdr:colOff>
      <xdr:row>46</xdr:row>
      <xdr:rowOff>19050</xdr:rowOff>
    </xdr:from>
    <xdr:to>
      <xdr:col>7</xdr:col>
      <xdr:colOff>362052</xdr:colOff>
      <xdr:row>61</xdr:row>
      <xdr:rowOff>167138</xdr:rowOff>
    </xdr:to>
    <xdr:pic>
      <xdr:nvPicPr>
        <xdr:cNvPr id="15" name="Imagen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5"/>
        <a:stretch>
          <a:fillRect/>
        </a:stretch>
      </xdr:blipFill>
      <xdr:spPr>
        <a:xfrm>
          <a:off x="123825" y="9077325"/>
          <a:ext cx="5572227" cy="3005588"/>
        </a:xfrm>
        <a:prstGeom prst="rect">
          <a:avLst/>
        </a:prstGeom>
      </xdr:spPr>
    </xdr:pic>
    <xdr:clientData/>
  </xdr:twoCellAnchor>
  <xdr:twoCellAnchor editAs="oneCell">
    <xdr:from>
      <xdr:col>8</xdr:col>
      <xdr:colOff>0</xdr:colOff>
      <xdr:row>46</xdr:row>
      <xdr:rowOff>47625</xdr:rowOff>
    </xdr:from>
    <xdr:to>
      <xdr:col>15</xdr:col>
      <xdr:colOff>238227</xdr:colOff>
      <xdr:row>62</xdr:row>
      <xdr:rowOff>5213</xdr:rowOff>
    </xdr:to>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6"/>
        <a:stretch>
          <a:fillRect/>
        </a:stretch>
      </xdr:blipFill>
      <xdr:spPr>
        <a:xfrm>
          <a:off x="6096000" y="9105900"/>
          <a:ext cx="5572227" cy="3005588"/>
        </a:xfrm>
        <a:prstGeom prst="rect">
          <a:avLst/>
        </a:prstGeom>
      </xdr:spPr>
    </xdr:pic>
    <xdr:clientData/>
  </xdr:twoCellAnchor>
  <xdr:twoCellAnchor editAs="oneCell">
    <xdr:from>
      <xdr:col>0</xdr:col>
      <xdr:colOff>114300</xdr:colOff>
      <xdr:row>67</xdr:row>
      <xdr:rowOff>9525</xdr:rowOff>
    </xdr:from>
    <xdr:to>
      <xdr:col>7</xdr:col>
      <xdr:colOff>352527</xdr:colOff>
      <xdr:row>82</xdr:row>
      <xdr:rowOff>157613</xdr:rowOff>
    </xdr:to>
    <xdr:pic>
      <xdr:nvPicPr>
        <xdr:cNvPr id="17" name="Imagen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7"/>
        <a:stretch>
          <a:fillRect/>
        </a:stretch>
      </xdr:blipFill>
      <xdr:spPr>
        <a:xfrm>
          <a:off x="114300" y="13115925"/>
          <a:ext cx="5572227" cy="3005588"/>
        </a:xfrm>
        <a:prstGeom prst="rect">
          <a:avLst/>
        </a:prstGeom>
      </xdr:spPr>
    </xdr:pic>
    <xdr:clientData/>
  </xdr:twoCellAnchor>
  <xdr:twoCellAnchor editAs="oneCell">
    <xdr:from>
      <xdr:col>8</xdr:col>
      <xdr:colOff>0</xdr:colOff>
      <xdr:row>67</xdr:row>
      <xdr:rowOff>0</xdr:rowOff>
    </xdr:from>
    <xdr:to>
      <xdr:col>15</xdr:col>
      <xdr:colOff>244323</xdr:colOff>
      <xdr:row>82</xdr:row>
      <xdr:rowOff>148088</xdr:rowOff>
    </xdr:to>
    <xdr:pic>
      <xdr:nvPicPr>
        <xdr:cNvPr id="18" name="Imagen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8"/>
        <a:stretch>
          <a:fillRect/>
        </a:stretch>
      </xdr:blipFill>
      <xdr:spPr>
        <a:xfrm>
          <a:off x="6096000" y="13106400"/>
          <a:ext cx="5578323" cy="30055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304800</xdr:colOff>
      <xdr:row>18</xdr:row>
      <xdr:rowOff>119061</xdr:rowOff>
    </xdr:from>
    <xdr:to>
      <xdr:col>10</xdr:col>
      <xdr:colOff>121875</xdr:colOff>
      <xdr:row>37</xdr:row>
      <xdr:rowOff>92849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A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56"/>
  <sheetViews>
    <sheetView showGridLines="0" tabSelected="1" zoomScale="87" zoomScaleNormal="87" workbookViewId="0">
      <pane xSplit="3" topLeftCell="F1" activePane="topRight" state="frozen"/>
      <selection activeCell="F1" sqref="F1:F1048576"/>
      <selection pane="topRight" activeCell="A2" sqref="A2"/>
    </sheetView>
  </sheetViews>
  <sheetFormatPr baseColWidth="10" defaultRowHeight="16.5" x14ac:dyDescent="0.3"/>
  <cols>
    <col min="1" max="1" width="11.85546875" style="21" bestFit="1" customWidth="1"/>
    <col min="2" max="2" width="46.140625" customWidth="1"/>
    <col min="3" max="3" width="12.85546875" customWidth="1"/>
    <col min="4" max="4" width="15.140625" customWidth="1"/>
    <col min="5" max="5" width="23.140625" customWidth="1"/>
    <col min="6" max="6" width="23" style="173" customWidth="1"/>
    <col min="7" max="9" width="16.7109375" customWidth="1"/>
    <col min="10" max="10" width="20.140625" customWidth="1"/>
    <col min="11" max="13" width="16.7109375" customWidth="1"/>
    <col min="14" max="14" width="22" customWidth="1"/>
    <col min="15" max="96" width="16.7109375" customWidth="1"/>
  </cols>
  <sheetData>
    <row r="2" spans="1:84" ht="20.25" x14ac:dyDescent="0.3">
      <c r="B2" s="212" t="s">
        <v>49</v>
      </c>
      <c r="C2" s="212"/>
      <c r="D2" s="212"/>
      <c r="E2" s="212"/>
      <c r="F2" s="212"/>
      <c r="G2" s="212"/>
      <c r="H2" s="212"/>
      <c r="I2" s="212"/>
      <c r="J2" s="212"/>
      <c r="K2" s="212"/>
      <c r="L2" s="212"/>
      <c r="M2" s="212"/>
      <c r="N2" s="212"/>
      <c r="O2" s="212"/>
      <c r="P2" s="212"/>
      <c r="Q2" s="212"/>
      <c r="R2" s="212"/>
      <c r="S2" s="212"/>
      <c r="T2" s="212"/>
      <c r="U2" s="212"/>
    </row>
    <row r="3" spans="1:84" ht="20.25" x14ac:dyDescent="0.3">
      <c r="B3" s="5" t="s">
        <v>48</v>
      </c>
      <c r="C3" s="8"/>
      <c r="D3" s="8"/>
      <c r="E3" s="8"/>
      <c r="F3" s="170"/>
      <c r="G3" s="8"/>
      <c r="H3" s="8"/>
      <c r="I3" s="8"/>
      <c r="J3" s="8"/>
      <c r="K3" s="8"/>
      <c r="L3" s="8"/>
      <c r="M3" s="8"/>
      <c r="N3" s="8"/>
      <c r="O3" s="8"/>
      <c r="P3" s="8"/>
      <c r="Q3" s="8"/>
      <c r="R3" s="8"/>
      <c r="S3" s="8"/>
      <c r="T3" s="8"/>
      <c r="U3" s="8"/>
    </row>
    <row r="4" spans="1:84" ht="17.25" x14ac:dyDescent="0.3">
      <c r="B4" s="5" t="s">
        <v>50</v>
      </c>
      <c r="C4" s="2"/>
      <c r="D4" s="2"/>
      <c r="E4" s="2"/>
      <c r="F4" s="171"/>
      <c r="G4" s="2"/>
      <c r="H4" s="2"/>
      <c r="I4" s="2"/>
      <c r="J4" s="2"/>
      <c r="K4" s="2"/>
      <c r="L4" s="2"/>
      <c r="M4" s="2"/>
      <c r="N4" s="2"/>
      <c r="O4" s="2"/>
      <c r="P4" s="2"/>
      <c r="Q4" s="2"/>
      <c r="R4" s="1"/>
    </row>
    <row r="5" spans="1:84" ht="17.25" x14ac:dyDescent="0.3">
      <c r="B5" s="5"/>
      <c r="C5" s="2"/>
      <c r="D5" s="2"/>
      <c r="E5" s="2"/>
      <c r="F5" s="171"/>
      <c r="G5" s="2"/>
      <c r="H5" s="2"/>
      <c r="I5" s="2"/>
      <c r="J5" s="2"/>
      <c r="K5" s="2"/>
      <c r="L5" s="2"/>
      <c r="M5" s="2"/>
      <c r="N5" s="2"/>
      <c r="O5" s="2"/>
      <c r="P5" s="2"/>
      <c r="Q5" s="2"/>
      <c r="R5" s="1"/>
    </row>
    <row r="6" spans="1:84" ht="30" customHeight="1" x14ac:dyDescent="0.3">
      <c r="B6" s="213" t="s">
        <v>0</v>
      </c>
      <c r="C6" s="213" t="s">
        <v>1</v>
      </c>
      <c r="D6" s="214" t="s">
        <v>140</v>
      </c>
      <c r="E6" s="218" t="s">
        <v>100</v>
      </c>
      <c r="F6" s="220" t="s">
        <v>101</v>
      </c>
      <c r="G6" s="213" t="s">
        <v>51</v>
      </c>
      <c r="H6" s="215" t="s">
        <v>57</v>
      </c>
      <c r="I6" s="215" t="s">
        <v>56</v>
      </c>
      <c r="J6" s="213" t="s">
        <v>55</v>
      </c>
      <c r="K6" s="215" t="s">
        <v>58</v>
      </c>
      <c r="L6" s="215" t="s">
        <v>59</v>
      </c>
      <c r="M6" s="215" t="s">
        <v>60</v>
      </c>
      <c r="N6" s="215" t="s">
        <v>61</v>
      </c>
      <c r="O6" s="2"/>
      <c r="P6" s="2"/>
      <c r="Q6" s="2"/>
      <c r="R6" s="1"/>
    </row>
    <row r="7" spans="1:84" ht="32.25" customHeight="1" x14ac:dyDescent="0.3">
      <c r="B7" s="213"/>
      <c r="C7" s="213"/>
      <c r="D7" s="214"/>
      <c r="E7" s="219"/>
      <c r="F7" s="221"/>
      <c r="G7" s="213"/>
      <c r="H7" s="216"/>
      <c r="I7" s="216"/>
      <c r="J7" s="213"/>
      <c r="K7" s="216"/>
      <c r="L7" s="216"/>
      <c r="M7" s="216"/>
      <c r="N7" s="216"/>
      <c r="P7" s="65">
        <v>2023</v>
      </c>
      <c r="Q7" s="65">
        <v>2023</v>
      </c>
      <c r="R7" s="65">
        <v>2024</v>
      </c>
      <c r="S7" s="65">
        <v>2024</v>
      </c>
      <c r="T7" s="65">
        <v>2025</v>
      </c>
      <c r="U7" s="65">
        <v>2025</v>
      </c>
      <c r="V7" s="65">
        <v>2026</v>
      </c>
      <c r="W7" s="65">
        <v>2026</v>
      </c>
      <c r="X7" s="65">
        <v>2027</v>
      </c>
      <c r="Y7" s="65">
        <v>2027</v>
      </c>
      <c r="Z7" s="65">
        <v>2028</v>
      </c>
      <c r="AA7" s="65">
        <v>2028</v>
      </c>
      <c r="AB7" s="65">
        <v>2029</v>
      </c>
      <c r="AC7" s="65">
        <v>2029</v>
      </c>
      <c r="AD7" s="66" t="s">
        <v>188</v>
      </c>
      <c r="AE7" s="66" t="s">
        <v>188</v>
      </c>
      <c r="AF7" s="135"/>
      <c r="AI7" s="136"/>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row>
    <row r="8" spans="1:84" ht="21" customHeight="1" x14ac:dyDescent="0.3">
      <c r="B8" s="213"/>
      <c r="C8" s="213"/>
      <c r="D8" s="214"/>
      <c r="E8" s="24">
        <v>45289</v>
      </c>
      <c r="F8" s="24">
        <f>+$E$8</f>
        <v>45289</v>
      </c>
      <c r="G8" s="213"/>
      <c r="H8" s="217"/>
      <c r="I8" s="217"/>
      <c r="J8" s="213"/>
      <c r="K8" s="217"/>
      <c r="L8" s="217"/>
      <c r="M8" s="217"/>
      <c r="N8" s="217"/>
      <c r="O8" s="28"/>
      <c r="P8" s="18" t="s">
        <v>2</v>
      </c>
      <c r="Q8" s="27" t="s">
        <v>103</v>
      </c>
      <c r="R8" s="18" t="s">
        <v>2</v>
      </c>
      <c r="S8" s="27" t="s">
        <v>103</v>
      </c>
      <c r="T8" s="18" t="s">
        <v>2</v>
      </c>
      <c r="U8" s="27" t="s">
        <v>103</v>
      </c>
      <c r="V8" s="18" t="s">
        <v>2</v>
      </c>
      <c r="W8" s="27" t="s">
        <v>103</v>
      </c>
      <c r="X8" s="18" t="s">
        <v>2</v>
      </c>
      <c r="Y8" s="27" t="s">
        <v>103</v>
      </c>
      <c r="Z8" s="18" t="s">
        <v>2</v>
      </c>
      <c r="AA8" s="27" t="s">
        <v>103</v>
      </c>
      <c r="AB8" s="18" t="s">
        <v>2</v>
      </c>
      <c r="AC8" s="27" t="s">
        <v>103</v>
      </c>
      <c r="AD8" s="18" t="s">
        <v>2</v>
      </c>
      <c r="AE8" s="18" t="s">
        <v>103</v>
      </c>
      <c r="AF8" s="28"/>
      <c r="AI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row>
    <row r="9" spans="1:84" ht="27.95" customHeight="1" x14ac:dyDescent="0.3">
      <c r="B9" s="16" t="s">
        <v>93</v>
      </c>
      <c r="C9" s="16"/>
      <c r="D9" s="16"/>
      <c r="E9" s="16"/>
      <c r="F9" s="33">
        <f>+SUM(F10:F18)</f>
        <v>1.7270923542391043</v>
      </c>
      <c r="G9" s="83">
        <f>+F9/$F$48</f>
        <v>2.5261771515371766E-3</v>
      </c>
      <c r="H9" s="16"/>
      <c r="I9" s="16"/>
      <c r="J9" s="16"/>
      <c r="K9" s="16"/>
      <c r="L9" s="16"/>
      <c r="M9" s="16"/>
      <c r="N9" s="16"/>
      <c r="O9" s="29"/>
      <c r="P9" s="94">
        <f t="shared" ref="P9:AC9" si="0">+SUM(P10:P18)</f>
        <v>15170.333164879847</v>
      </c>
      <c r="Q9" s="94">
        <f t="shared" si="0"/>
        <v>0</v>
      </c>
      <c r="R9" s="94">
        <f t="shared" si="0"/>
        <v>1144.6725625644585</v>
      </c>
      <c r="S9" s="94">
        <f t="shared" si="0"/>
        <v>0</v>
      </c>
      <c r="T9" s="94">
        <f t="shared" si="0"/>
        <v>263.2014123654518</v>
      </c>
      <c r="U9" s="94">
        <f t="shared" si="0"/>
        <v>0</v>
      </c>
      <c r="V9" s="94">
        <f t="shared" si="0"/>
        <v>102.36543125216357</v>
      </c>
      <c r="W9" s="94">
        <f t="shared" si="0"/>
        <v>0</v>
      </c>
      <c r="X9" s="94">
        <f t="shared" si="0"/>
        <v>55.878062572801497</v>
      </c>
      <c r="Y9" s="94">
        <f t="shared" si="0"/>
        <v>0</v>
      </c>
      <c r="Z9" s="94">
        <f t="shared" si="0"/>
        <v>55.235707330655501</v>
      </c>
      <c r="AA9" s="94">
        <f t="shared" si="0"/>
        <v>0</v>
      </c>
      <c r="AB9" s="94">
        <f t="shared" si="0"/>
        <v>55.168689471576599</v>
      </c>
      <c r="AC9" s="94">
        <f t="shared" si="0"/>
        <v>0</v>
      </c>
      <c r="AD9" s="94">
        <f>+SUM(AD10:AD18)</f>
        <v>52.897372722278853</v>
      </c>
      <c r="AE9" s="94">
        <f>+SUM(AE10:AE18)</f>
        <v>0</v>
      </c>
      <c r="AF9" s="137"/>
      <c r="AI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row>
    <row r="10" spans="1:84" ht="27.95" customHeight="1" x14ac:dyDescent="0.3">
      <c r="A10" s="87"/>
      <c r="B10" s="9" t="s">
        <v>7</v>
      </c>
      <c r="C10" s="9" t="s">
        <v>8</v>
      </c>
      <c r="D10" s="9" t="s">
        <v>2</v>
      </c>
      <c r="E10" s="196">
        <v>720.33184984000002</v>
      </c>
      <c r="F10" s="12">
        <f t="shared" ref="F10:F18" si="1">+IF($D10="USD",$E10,$E10/$C$58)</f>
        <v>0.89096688804827517</v>
      </c>
      <c r="G10" s="9"/>
      <c r="H10" s="38" t="s">
        <v>161</v>
      </c>
      <c r="I10" s="25">
        <v>41699</v>
      </c>
      <c r="J10" s="41" t="s">
        <v>165</v>
      </c>
      <c r="K10" s="26">
        <v>127</v>
      </c>
      <c r="L10" s="10" t="s">
        <v>162</v>
      </c>
      <c r="M10" s="25">
        <v>45566</v>
      </c>
      <c r="N10" s="10" t="s">
        <v>163</v>
      </c>
      <c r="O10" s="13"/>
      <c r="P10" s="95">
        <f>+F69+F117</f>
        <v>639.02325675824795</v>
      </c>
      <c r="Q10" s="95">
        <f t="shared" ref="Q10:AE10" si="2">+G69+G117</f>
        <v>0</v>
      </c>
      <c r="R10" s="95">
        <f t="shared" si="2"/>
        <v>749.19455671042397</v>
      </c>
      <c r="S10" s="95">
        <f t="shared" si="2"/>
        <v>0</v>
      </c>
      <c r="T10" s="95">
        <f t="shared" si="2"/>
        <v>0</v>
      </c>
      <c r="U10" s="95">
        <f t="shared" si="2"/>
        <v>0</v>
      </c>
      <c r="V10" s="95">
        <f t="shared" si="2"/>
        <v>0</v>
      </c>
      <c r="W10" s="95">
        <f t="shared" si="2"/>
        <v>0</v>
      </c>
      <c r="X10" s="95">
        <f t="shared" si="2"/>
        <v>0</v>
      </c>
      <c r="Y10" s="95">
        <f t="shared" si="2"/>
        <v>0</v>
      </c>
      <c r="Z10" s="95">
        <f t="shared" si="2"/>
        <v>0</v>
      </c>
      <c r="AA10" s="95">
        <f t="shared" si="2"/>
        <v>0</v>
      </c>
      <c r="AB10" s="95">
        <f t="shared" si="2"/>
        <v>0</v>
      </c>
      <c r="AC10" s="95">
        <f t="shared" si="2"/>
        <v>0</v>
      </c>
      <c r="AD10" s="95">
        <f t="shared" si="2"/>
        <v>0</v>
      </c>
      <c r="AE10" s="95">
        <f t="shared" si="2"/>
        <v>0</v>
      </c>
      <c r="AF10" s="132"/>
      <c r="AI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row>
    <row r="11" spans="1:84" ht="27.95" customHeight="1" x14ac:dyDescent="0.3">
      <c r="A11" s="87"/>
      <c r="B11" s="9" t="s">
        <v>217</v>
      </c>
      <c r="C11" s="9" t="s">
        <v>216</v>
      </c>
      <c r="D11" s="9" t="s">
        <v>2</v>
      </c>
      <c r="E11" s="196">
        <v>300.28798711000002</v>
      </c>
      <c r="F11" s="12">
        <f t="shared" si="1"/>
        <v>0.37142138509230804</v>
      </c>
      <c r="G11" s="9"/>
      <c r="H11" s="38" t="s">
        <v>161</v>
      </c>
      <c r="I11" s="25">
        <v>45176</v>
      </c>
      <c r="J11" s="41" t="s">
        <v>165</v>
      </c>
      <c r="K11" s="26">
        <v>120</v>
      </c>
      <c r="L11" s="10" t="s">
        <v>162</v>
      </c>
      <c r="M11" s="25">
        <v>48845</v>
      </c>
      <c r="N11" s="10" t="s">
        <v>163</v>
      </c>
      <c r="O11" s="13"/>
      <c r="P11" s="95">
        <f t="shared" ref="P11:AE11" si="3">+F70+F118</f>
        <v>6.7753447348776401</v>
      </c>
      <c r="Q11" s="95">
        <f t="shared" si="3"/>
        <v>0</v>
      </c>
      <c r="R11" s="95">
        <f t="shared" si="3"/>
        <v>36.989620181780907</v>
      </c>
      <c r="S11" s="95">
        <f t="shared" si="3"/>
        <v>0</v>
      </c>
      <c r="T11" s="95">
        <f t="shared" si="3"/>
        <v>60.303371574327201</v>
      </c>
      <c r="U11" s="95">
        <f t="shared" si="3"/>
        <v>0</v>
      </c>
      <c r="V11" s="95">
        <f t="shared" si="3"/>
        <v>57.650298476965503</v>
      </c>
      <c r="W11" s="95">
        <f t="shared" si="3"/>
        <v>0</v>
      </c>
      <c r="X11" s="95">
        <f t="shared" si="3"/>
        <v>55.878062572801497</v>
      </c>
      <c r="Y11" s="95">
        <f t="shared" si="3"/>
        <v>0</v>
      </c>
      <c r="Z11" s="95">
        <f t="shared" si="3"/>
        <v>55.235707330655501</v>
      </c>
      <c r="AA11" s="95">
        <f t="shared" si="3"/>
        <v>0</v>
      </c>
      <c r="AB11" s="95">
        <f t="shared" si="3"/>
        <v>55.168689471576599</v>
      </c>
      <c r="AC11" s="95">
        <f t="shared" si="3"/>
        <v>0</v>
      </c>
      <c r="AD11" s="95">
        <f t="shared" si="3"/>
        <v>52.897372722278853</v>
      </c>
      <c r="AE11" s="95">
        <f t="shared" si="3"/>
        <v>0</v>
      </c>
      <c r="AF11" s="132"/>
      <c r="AI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row>
    <row r="12" spans="1:84" ht="27.95" customHeight="1" x14ac:dyDescent="0.3">
      <c r="A12" s="87"/>
      <c r="B12" s="9" t="s">
        <v>9</v>
      </c>
      <c r="C12" s="9" t="s">
        <v>10</v>
      </c>
      <c r="D12" s="9" t="s">
        <v>2</v>
      </c>
      <c r="E12" s="196">
        <v>280.8606317</v>
      </c>
      <c r="F12" s="12">
        <f t="shared" si="1"/>
        <v>0.34739200141796373</v>
      </c>
      <c r="G12" s="9"/>
      <c r="H12" s="38" t="s">
        <v>161</v>
      </c>
      <c r="I12" s="25">
        <v>43158</v>
      </c>
      <c r="J12" s="41" t="s">
        <v>165</v>
      </c>
      <c r="K12" s="26">
        <v>96</v>
      </c>
      <c r="L12" s="10" t="s">
        <v>162</v>
      </c>
      <c r="M12" s="25">
        <v>46080</v>
      </c>
      <c r="N12" s="10" t="s">
        <v>163</v>
      </c>
      <c r="O12" s="13"/>
      <c r="P12" s="95">
        <f t="shared" ref="P12:AE12" si="4">+F71+F119</f>
        <v>149.8362227487911</v>
      </c>
      <c r="Q12" s="95">
        <f t="shared" si="4"/>
        <v>0</v>
      </c>
      <c r="R12" s="95">
        <f t="shared" si="4"/>
        <v>150.38905605879003</v>
      </c>
      <c r="S12" s="95">
        <f t="shared" si="4"/>
        <v>0</v>
      </c>
      <c r="T12" s="95">
        <f t="shared" si="4"/>
        <v>137.1666532454492</v>
      </c>
      <c r="U12" s="95">
        <f t="shared" si="4"/>
        <v>0</v>
      </c>
      <c r="V12" s="95">
        <f t="shared" si="4"/>
        <v>21.792343813354652</v>
      </c>
      <c r="W12" s="95">
        <f t="shared" si="4"/>
        <v>0</v>
      </c>
      <c r="X12" s="95">
        <f t="shared" si="4"/>
        <v>0</v>
      </c>
      <c r="Y12" s="95">
        <f t="shared" si="4"/>
        <v>0</v>
      </c>
      <c r="Z12" s="95">
        <f t="shared" si="4"/>
        <v>0</v>
      </c>
      <c r="AA12" s="95">
        <f t="shared" si="4"/>
        <v>0</v>
      </c>
      <c r="AB12" s="95">
        <f t="shared" si="4"/>
        <v>0</v>
      </c>
      <c r="AC12" s="95">
        <f t="shared" si="4"/>
        <v>0</v>
      </c>
      <c r="AD12" s="95">
        <f t="shared" si="4"/>
        <v>0</v>
      </c>
      <c r="AE12" s="95">
        <f t="shared" si="4"/>
        <v>0</v>
      </c>
      <c r="AF12" s="132"/>
      <c r="AI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row>
    <row r="13" spans="1:84" ht="27.95" customHeight="1" x14ac:dyDescent="0.3">
      <c r="A13" s="87"/>
      <c r="B13" s="9" t="s">
        <v>11</v>
      </c>
      <c r="C13" s="9" t="s">
        <v>12</v>
      </c>
      <c r="D13" s="9" t="s">
        <v>2</v>
      </c>
      <c r="E13" s="196">
        <v>65.672835000000006</v>
      </c>
      <c r="F13" s="12">
        <f t="shared" si="1"/>
        <v>8.1229674131797172E-2</v>
      </c>
      <c r="G13" s="9"/>
      <c r="H13" s="38" t="s">
        <v>166</v>
      </c>
      <c r="I13" s="25">
        <v>40603</v>
      </c>
      <c r="J13" s="41" t="s">
        <v>167</v>
      </c>
      <c r="K13" s="26">
        <v>187</v>
      </c>
      <c r="L13" s="10" t="s">
        <v>168</v>
      </c>
      <c r="M13" s="25">
        <v>46296</v>
      </c>
      <c r="N13" s="10" t="s">
        <v>163</v>
      </c>
      <c r="O13" s="13"/>
      <c r="P13" s="95">
        <f t="shared" ref="P13:AE13" si="5">+F72+F120</f>
        <v>75.611284710000007</v>
      </c>
      <c r="Q13" s="95">
        <f t="shared" si="5"/>
        <v>0</v>
      </c>
      <c r="R13" s="95">
        <f t="shared" si="5"/>
        <v>76.266985320000003</v>
      </c>
      <c r="S13" s="95">
        <f t="shared" si="5"/>
        <v>0</v>
      </c>
      <c r="T13" s="95">
        <f t="shared" si="5"/>
        <v>43.323248040000003</v>
      </c>
      <c r="U13" s="95">
        <f t="shared" si="5"/>
        <v>0</v>
      </c>
      <c r="V13" s="95">
        <f t="shared" si="5"/>
        <v>22.914272329999999</v>
      </c>
      <c r="W13" s="95">
        <f t="shared" si="5"/>
        <v>0</v>
      </c>
      <c r="X13" s="95">
        <f t="shared" si="5"/>
        <v>0</v>
      </c>
      <c r="Y13" s="95">
        <f t="shared" si="5"/>
        <v>0</v>
      </c>
      <c r="Z13" s="95">
        <f t="shared" si="5"/>
        <v>0</v>
      </c>
      <c r="AA13" s="95">
        <f t="shared" si="5"/>
        <v>0</v>
      </c>
      <c r="AB13" s="95">
        <f t="shared" si="5"/>
        <v>0</v>
      </c>
      <c r="AC13" s="95">
        <f t="shared" si="5"/>
        <v>0</v>
      </c>
      <c r="AD13" s="95">
        <f t="shared" si="5"/>
        <v>0</v>
      </c>
      <c r="AE13" s="95">
        <f t="shared" si="5"/>
        <v>0</v>
      </c>
      <c r="AF13" s="132"/>
      <c r="AI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row>
    <row r="14" spans="1:84" ht="27.95" customHeight="1" x14ac:dyDescent="0.3">
      <c r="A14" s="87"/>
      <c r="B14" s="9" t="s">
        <v>13</v>
      </c>
      <c r="C14" s="9" t="s">
        <v>14</v>
      </c>
      <c r="D14" s="9" t="s">
        <v>2</v>
      </c>
      <c r="E14" s="196">
        <v>29.172022309999999</v>
      </c>
      <c r="F14" s="12">
        <f t="shared" si="1"/>
        <v>3.608240554876025E-2</v>
      </c>
      <c r="G14" s="9"/>
      <c r="H14" s="38" t="s">
        <v>161</v>
      </c>
      <c r="I14" s="25">
        <v>43104</v>
      </c>
      <c r="J14" s="41" t="s">
        <v>165</v>
      </c>
      <c r="K14" s="26">
        <v>96</v>
      </c>
      <c r="L14" s="10" t="s">
        <v>162</v>
      </c>
      <c r="M14" s="25">
        <v>46026</v>
      </c>
      <c r="N14" s="10" t="s">
        <v>163</v>
      </c>
      <c r="O14" s="13"/>
      <c r="P14" s="95">
        <f t="shared" ref="P14:AE14" si="6">+F73+F121</f>
        <v>123.71862779293023</v>
      </c>
      <c r="Q14" s="95">
        <f t="shared" si="6"/>
        <v>0</v>
      </c>
      <c r="R14" s="95">
        <f t="shared" si="6"/>
        <v>131.83234429346359</v>
      </c>
      <c r="S14" s="95">
        <f t="shared" si="6"/>
        <v>0</v>
      </c>
      <c r="T14" s="95">
        <f t="shared" si="6"/>
        <v>22.408139505675372</v>
      </c>
      <c r="U14" s="95">
        <f t="shared" si="6"/>
        <v>0</v>
      </c>
      <c r="V14" s="95">
        <f t="shared" si="6"/>
        <v>8.5166318434199487E-3</v>
      </c>
      <c r="W14" s="95">
        <f t="shared" si="6"/>
        <v>0</v>
      </c>
      <c r="X14" s="95">
        <f t="shared" si="6"/>
        <v>0</v>
      </c>
      <c r="Y14" s="95">
        <f t="shared" si="6"/>
        <v>0</v>
      </c>
      <c r="Z14" s="95">
        <f t="shared" si="6"/>
        <v>0</v>
      </c>
      <c r="AA14" s="95">
        <f t="shared" si="6"/>
        <v>0</v>
      </c>
      <c r="AB14" s="95">
        <f t="shared" si="6"/>
        <v>0</v>
      </c>
      <c r="AC14" s="95">
        <f t="shared" si="6"/>
        <v>0</v>
      </c>
      <c r="AD14" s="95">
        <f t="shared" si="6"/>
        <v>0</v>
      </c>
      <c r="AE14" s="95">
        <f t="shared" si="6"/>
        <v>0</v>
      </c>
      <c r="AF14" s="132"/>
      <c r="AI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row>
    <row r="15" spans="1:84" ht="27.95" customHeight="1" x14ac:dyDescent="0.3">
      <c r="A15" s="87"/>
      <c r="B15" s="9" t="s">
        <v>129</v>
      </c>
      <c r="C15" s="9" t="s">
        <v>130</v>
      </c>
      <c r="D15" s="9" t="s">
        <v>2</v>
      </c>
      <c r="E15" s="196">
        <v>0</v>
      </c>
      <c r="F15" s="12">
        <f t="shared" si="1"/>
        <v>0</v>
      </c>
      <c r="G15" s="9"/>
      <c r="H15" s="38" t="s">
        <v>161</v>
      </c>
      <c r="I15" s="25">
        <v>44138</v>
      </c>
      <c r="J15" s="41" t="s">
        <v>164</v>
      </c>
      <c r="K15" s="26">
        <v>38</v>
      </c>
      <c r="L15" s="10" t="s">
        <v>162</v>
      </c>
      <c r="M15" s="25">
        <v>45291</v>
      </c>
      <c r="N15" s="10" t="s">
        <v>163</v>
      </c>
      <c r="O15" s="13"/>
      <c r="P15" s="95">
        <f t="shared" ref="P15:AE15" si="7">+F74+F122</f>
        <v>4836.0798856130377</v>
      </c>
      <c r="Q15" s="95">
        <f t="shared" si="7"/>
        <v>0</v>
      </c>
      <c r="R15" s="95">
        <f t="shared" si="7"/>
        <v>0</v>
      </c>
      <c r="S15" s="95">
        <f t="shared" si="7"/>
        <v>0</v>
      </c>
      <c r="T15" s="95">
        <f t="shared" si="7"/>
        <v>0</v>
      </c>
      <c r="U15" s="95">
        <f t="shared" si="7"/>
        <v>0</v>
      </c>
      <c r="V15" s="95">
        <f t="shared" si="7"/>
        <v>0</v>
      </c>
      <c r="W15" s="95">
        <f t="shared" si="7"/>
        <v>0</v>
      </c>
      <c r="X15" s="95">
        <f t="shared" si="7"/>
        <v>0</v>
      </c>
      <c r="Y15" s="95">
        <f t="shared" si="7"/>
        <v>0</v>
      </c>
      <c r="Z15" s="95">
        <f t="shared" si="7"/>
        <v>0</v>
      </c>
      <c r="AA15" s="95">
        <f t="shared" si="7"/>
        <v>0</v>
      </c>
      <c r="AB15" s="95">
        <f t="shared" si="7"/>
        <v>0</v>
      </c>
      <c r="AC15" s="95">
        <f t="shared" si="7"/>
        <v>0</v>
      </c>
      <c r="AD15" s="95">
        <f t="shared" si="7"/>
        <v>0</v>
      </c>
      <c r="AE15" s="95">
        <f t="shared" si="7"/>
        <v>0</v>
      </c>
      <c r="AF15" s="132"/>
      <c r="AI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row>
    <row r="16" spans="1:84" ht="27.95" customHeight="1" x14ac:dyDescent="0.3">
      <c r="A16" s="87"/>
      <c r="B16" s="9" t="s">
        <v>124</v>
      </c>
      <c r="C16" s="9" t="s">
        <v>125</v>
      </c>
      <c r="D16" s="9" t="s">
        <v>2</v>
      </c>
      <c r="E16" s="196">
        <v>0</v>
      </c>
      <c r="F16" s="12">
        <f t="shared" si="1"/>
        <v>0</v>
      </c>
      <c r="G16" s="9"/>
      <c r="H16" s="38" t="s">
        <v>161</v>
      </c>
      <c r="I16" s="25">
        <v>44019</v>
      </c>
      <c r="J16" s="41" t="s">
        <v>164</v>
      </c>
      <c r="K16" s="26">
        <v>42</v>
      </c>
      <c r="L16" s="10" t="s">
        <v>162</v>
      </c>
      <c r="M16" s="25">
        <v>45291</v>
      </c>
      <c r="N16" s="10" t="s">
        <v>163</v>
      </c>
      <c r="O16" s="13"/>
      <c r="P16" s="95">
        <f t="shared" ref="P16:AE16" si="8">+F75+F123</f>
        <v>3393.4135160819365</v>
      </c>
      <c r="Q16" s="95">
        <f t="shared" si="8"/>
        <v>0</v>
      </c>
      <c r="R16" s="95">
        <f t="shared" si="8"/>
        <v>0</v>
      </c>
      <c r="S16" s="95">
        <f t="shared" si="8"/>
        <v>0</v>
      </c>
      <c r="T16" s="95">
        <f t="shared" si="8"/>
        <v>0</v>
      </c>
      <c r="U16" s="95">
        <f t="shared" si="8"/>
        <v>0</v>
      </c>
      <c r="V16" s="95">
        <f t="shared" si="8"/>
        <v>0</v>
      </c>
      <c r="W16" s="95">
        <f t="shared" si="8"/>
        <v>0</v>
      </c>
      <c r="X16" s="95">
        <f t="shared" si="8"/>
        <v>0</v>
      </c>
      <c r="Y16" s="95">
        <f t="shared" si="8"/>
        <v>0</v>
      </c>
      <c r="Z16" s="95">
        <f t="shared" si="8"/>
        <v>0</v>
      </c>
      <c r="AA16" s="95">
        <f t="shared" si="8"/>
        <v>0</v>
      </c>
      <c r="AB16" s="95">
        <f t="shared" si="8"/>
        <v>0</v>
      </c>
      <c r="AC16" s="95">
        <f t="shared" si="8"/>
        <v>0</v>
      </c>
      <c r="AD16" s="95">
        <f t="shared" si="8"/>
        <v>0</v>
      </c>
      <c r="AE16" s="95">
        <f t="shared" si="8"/>
        <v>0</v>
      </c>
      <c r="AF16" s="132"/>
      <c r="AI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row>
    <row r="17" spans="1:98" ht="27.95" customHeight="1" x14ac:dyDescent="0.3">
      <c r="A17" s="87"/>
      <c r="B17" s="9" t="s">
        <v>3</v>
      </c>
      <c r="C17" s="9" t="s">
        <v>4</v>
      </c>
      <c r="D17" s="9" t="s">
        <v>2</v>
      </c>
      <c r="E17" s="196">
        <v>0</v>
      </c>
      <c r="F17" s="12">
        <f t="shared" si="1"/>
        <v>0</v>
      </c>
      <c r="G17" s="9"/>
      <c r="H17" s="38" t="s">
        <v>161</v>
      </c>
      <c r="I17" s="25">
        <v>43769</v>
      </c>
      <c r="J17" s="41">
        <v>0.25</v>
      </c>
      <c r="K17" s="26">
        <v>48</v>
      </c>
      <c r="L17" s="10" t="s">
        <v>162</v>
      </c>
      <c r="M17" s="25">
        <v>45229</v>
      </c>
      <c r="N17" s="10" t="s">
        <v>163</v>
      </c>
      <c r="O17" s="13"/>
      <c r="P17" s="95">
        <f t="shared" ref="P17:AE17" si="9">+F76+F124</f>
        <v>5830.9666307600246</v>
      </c>
      <c r="Q17" s="95">
        <f t="shared" si="9"/>
        <v>0</v>
      </c>
      <c r="R17" s="95">
        <f t="shared" si="9"/>
        <v>0</v>
      </c>
      <c r="S17" s="95">
        <f t="shared" si="9"/>
        <v>0</v>
      </c>
      <c r="T17" s="95">
        <f t="shared" si="9"/>
        <v>0</v>
      </c>
      <c r="U17" s="95">
        <f t="shared" si="9"/>
        <v>0</v>
      </c>
      <c r="V17" s="95">
        <f t="shared" si="9"/>
        <v>0</v>
      </c>
      <c r="W17" s="95">
        <f t="shared" si="9"/>
        <v>0</v>
      </c>
      <c r="X17" s="95">
        <f t="shared" si="9"/>
        <v>0</v>
      </c>
      <c r="Y17" s="95">
        <f t="shared" si="9"/>
        <v>0</v>
      </c>
      <c r="Z17" s="95">
        <f t="shared" si="9"/>
        <v>0</v>
      </c>
      <c r="AA17" s="95">
        <f t="shared" si="9"/>
        <v>0</v>
      </c>
      <c r="AB17" s="95">
        <f t="shared" si="9"/>
        <v>0</v>
      </c>
      <c r="AC17" s="95">
        <f t="shared" si="9"/>
        <v>0</v>
      </c>
      <c r="AD17" s="95">
        <f t="shared" si="9"/>
        <v>0</v>
      </c>
      <c r="AE17" s="95">
        <f t="shared" si="9"/>
        <v>0</v>
      </c>
      <c r="AF17" s="132"/>
      <c r="AI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row>
    <row r="18" spans="1:98" ht="27.95" customHeight="1" x14ac:dyDescent="0.3">
      <c r="A18" s="87"/>
      <c r="B18" s="9" t="s">
        <v>5</v>
      </c>
      <c r="C18" s="9" t="s">
        <v>6</v>
      </c>
      <c r="D18" s="9" t="s">
        <v>2</v>
      </c>
      <c r="E18" s="196">
        <v>0</v>
      </c>
      <c r="F18" s="12">
        <f t="shared" si="1"/>
        <v>0</v>
      </c>
      <c r="G18" s="9"/>
      <c r="H18" s="38" t="s">
        <v>161</v>
      </c>
      <c r="I18" s="25">
        <v>43482</v>
      </c>
      <c r="J18" s="41">
        <v>0.12</v>
      </c>
      <c r="K18" s="26">
        <v>48</v>
      </c>
      <c r="L18" s="10" t="s">
        <v>169</v>
      </c>
      <c r="M18" s="25">
        <v>44943</v>
      </c>
      <c r="N18" s="10" t="s">
        <v>163</v>
      </c>
      <c r="O18" s="13"/>
      <c r="P18" s="95">
        <f t="shared" ref="P18:AE18" si="10">+F77+F125</f>
        <v>114.90839568000001</v>
      </c>
      <c r="Q18" s="95">
        <f t="shared" si="10"/>
        <v>0</v>
      </c>
      <c r="R18" s="95">
        <f t="shared" si="10"/>
        <v>0</v>
      </c>
      <c r="S18" s="95">
        <f t="shared" si="10"/>
        <v>0</v>
      </c>
      <c r="T18" s="95">
        <f t="shared" si="10"/>
        <v>0</v>
      </c>
      <c r="U18" s="95">
        <f t="shared" si="10"/>
        <v>0</v>
      </c>
      <c r="V18" s="95">
        <f t="shared" si="10"/>
        <v>0</v>
      </c>
      <c r="W18" s="95">
        <f t="shared" si="10"/>
        <v>0</v>
      </c>
      <c r="X18" s="95">
        <f t="shared" si="10"/>
        <v>0</v>
      </c>
      <c r="Y18" s="95">
        <f t="shared" si="10"/>
        <v>0</v>
      </c>
      <c r="Z18" s="95">
        <f t="shared" si="10"/>
        <v>0</v>
      </c>
      <c r="AA18" s="95">
        <f t="shared" si="10"/>
        <v>0</v>
      </c>
      <c r="AB18" s="95">
        <f t="shared" si="10"/>
        <v>0</v>
      </c>
      <c r="AC18" s="95">
        <f t="shared" si="10"/>
        <v>0</v>
      </c>
      <c r="AD18" s="95">
        <f t="shared" si="10"/>
        <v>0</v>
      </c>
      <c r="AE18" s="95">
        <f t="shared" si="10"/>
        <v>0</v>
      </c>
      <c r="AF18" s="132"/>
      <c r="AI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row>
    <row r="19" spans="1:98" ht="27.95" customHeight="1" x14ac:dyDescent="0.3">
      <c r="A19" s="87"/>
      <c r="B19" s="16" t="s">
        <v>94</v>
      </c>
      <c r="C19" s="16"/>
      <c r="D19" s="16"/>
      <c r="E19" s="16"/>
      <c r="F19" s="33">
        <f>+SUM(F20:F20)</f>
        <v>18.201390639410857</v>
      </c>
      <c r="G19" s="83">
        <f>+F19/$F$48</f>
        <v>2.662274373841431E-2</v>
      </c>
      <c r="H19" s="39"/>
      <c r="I19" s="16"/>
      <c r="J19" s="42"/>
      <c r="K19" s="16"/>
      <c r="L19" s="16"/>
      <c r="M19" s="16"/>
      <c r="N19" s="16"/>
      <c r="O19" s="29"/>
      <c r="P19" s="94">
        <f>+P20</f>
        <v>19546.544825953002</v>
      </c>
      <c r="Q19" s="94">
        <f t="shared" ref="Q19:AE19" si="11">+Q20</f>
        <v>0</v>
      </c>
      <c r="R19" s="94">
        <f t="shared" si="11"/>
        <v>17360.4812172151</v>
      </c>
      <c r="S19" s="94">
        <f t="shared" si="11"/>
        <v>0</v>
      </c>
      <c r="T19" s="94">
        <f t="shared" si="11"/>
        <v>9348.0488661701092</v>
      </c>
      <c r="U19" s="94">
        <f t="shared" si="11"/>
        <v>0</v>
      </c>
      <c r="V19" s="94">
        <f t="shared" si="11"/>
        <v>5748.91872300041</v>
      </c>
      <c r="W19" s="94">
        <f t="shared" si="11"/>
        <v>0</v>
      </c>
      <c r="X19" s="94">
        <f t="shared" si="11"/>
        <v>1890.558354611743</v>
      </c>
      <c r="Y19" s="94">
        <f t="shared" si="11"/>
        <v>0</v>
      </c>
      <c r="Z19" s="94">
        <f t="shared" si="11"/>
        <v>0</v>
      </c>
      <c r="AA19" s="94">
        <f t="shared" si="11"/>
        <v>0</v>
      </c>
      <c r="AB19" s="94">
        <f t="shared" si="11"/>
        <v>0</v>
      </c>
      <c r="AC19" s="94">
        <f t="shared" si="11"/>
        <v>0</v>
      </c>
      <c r="AD19" s="94">
        <f t="shared" si="11"/>
        <v>0</v>
      </c>
      <c r="AE19" s="94">
        <f t="shared" si="11"/>
        <v>0</v>
      </c>
      <c r="AF19" s="137"/>
      <c r="AI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row>
    <row r="20" spans="1:98" ht="27.95" customHeight="1" x14ac:dyDescent="0.3">
      <c r="A20" s="87"/>
      <c r="B20" s="9" t="s">
        <v>154</v>
      </c>
      <c r="C20" s="9" t="s">
        <v>155</v>
      </c>
      <c r="D20" s="9" t="s">
        <v>2</v>
      </c>
      <c r="E20" s="196">
        <v>14715.520368739999</v>
      </c>
      <c r="F20" s="12">
        <f>+IF($D20="USD",$E20,$E20/$C$58)</f>
        <v>18.201390639410857</v>
      </c>
      <c r="G20" s="9"/>
      <c r="H20" s="38" t="s">
        <v>161</v>
      </c>
      <c r="I20" s="25">
        <v>44684</v>
      </c>
      <c r="J20" s="41" t="s">
        <v>170</v>
      </c>
      <c r="K20" s="26">
        <v>60</v>
      </c>
      <c r="L20" s="10" t="s">
        <v>162</v>
      </c>
      <c r="M20" s="25">
        <v>46510</v>
      </c>
      <c r="N20" s="10" t="s">
        <v>163</v>
      </c>
      <c r="O20" s="13"/>
      <c r="P20" s="95">
        <f>+F79+F127</f>
        <v>19546.544825953002</v>
      </c>
      <c r="Q20" s="95">
        <f t="shared" ref="Q20" si="12">+G79+G127</f>
        <v>0</v>
      </c>
      <c r="R20" s="95">
        <f t="shared" ref="R20" si="13">+H79+H127</f>
        <v>17360.4812172151</v>
      </c>
      <c r="S20" s="95">
        <f t="shared" ref="S20" si="14">+I79+I127</f>
        <v>0</v>
      </c>
      <c r="T20" s="95">
        <f t="shared" ref="T20" si="15">+J79+J127</f>
        <v>9348.0488661701092</v>
      </c>
      <c r="U20" s="95">
        <f t="shared" ref="U20" si="16">+K79+K127</f>
        <v>0</v>
      </c>
      <c r="V20" s="95">
        <f t="shared" ref="V20" si="17">+L79+L127</f>
        <v>5748.91872300041</v>
      </c>
      <c r="W20" s="95">
        <f t="shared" ref="W20" si="18">+M79+M127</f>
        <v>0</v>
      </c>
      <c r="X20" s="95">
        <f t="shared" ref="X20" si="19">+N79+N127</f>
        <v>1890.558354611743</v>
      </c>
      <c r="Y20" s="95">
        <f t="shared" ref="Y20" si="20">+O79+O127</f>
        <v>0</v>
      </c>
      <c r="Z20" s="95">
        <f t="shared" ref="Z20" si="21">+P79+P127</f>
        <v>0</v>
      </c>
      <c r="AA20" s="95">
        <f t="shared" ref="AA20" si="22">+Q79+Q127</f>
        <v>0</v>
      </c>
      <c r="AB20" s="95">
        <f t="shared" ref="AB20" si="23">+R79+R127</f>
        <v>0</v>
      </c>
      <c r="AC20" s="95">
        <f t="shared" ref="AC20" si="24">+S79+S127</f>
        <v>0</v>
      </c>
      <c r="AD20" s="95">
        <f t="shared" ref="AD20" si="25">+T79+T127</f>
        <v>0</v>
      </c>
      <c r="AE20" s="95">
        <f t="shared" ref="AE20" si="26">+U79+U127</f>
        <v>0</v>
      </c>
      <c r="AF20" s="132"/>
      <c r="AI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row>
    <row r="21" spans="1:98" ht="27.95" customHeight="1" x14ac:dyDescent="0.3">
      <c r="A21" s="87"/>
      <c r="B21" s="16" t="s">
        <v>15</v>
      </c>
      <c r="C21" s="16"/>
      <c r="D21" s="16"/>
      <c r="E21" s="16"/>
      <c r="F21" s="33">
        <f>+SUM(F22,F34)</f>
        <v>200.04287808999999</v>
      </c>
      <c r="G21" s="83">
        <f>+F21/$F$48</f>
        <v>0.29259798801050874</v>
      </c>
      <c r="H21" s="39"/>
      <c r="I21" s="16"/>
      <c r="J21" s="42"/>
      <c r="K21" s="16"/>
      <c r="L21" s="16"/>
      <c r="M21" s="16"/>
      <c r="N21" s="16"/>
      <c r="O21" s="29"/>
      <c r="P21" s="94">
        <f t="shared" ref="P21:AD21" si="27">+P22+P34</f>
        <v>0</v>
      </c>
      <c r="Q21" s="94">
        <f t="shared" si="27"/>
        <v>25.615006634405987</v>
      </c>
      <c r="R21" s="94">
        <f t="shared" si="27"/>
        <v>0</v>
      </c>
      <c r="S21" s="94">
        <f t="shared" si="27"/>
        <v>29.313335526939515</v>
      </c>
      <c r="T21" s="94">
        <f t="shared" si="27"/>
        <v>0</v>
      </c>
      <c r="U21" s="94">
        <f t="shared" si="27"/>
        <v>28.603699298748516</v>
      </c>
      <c r="V21" s="94">
        <f t="shared" si="27"/>
        <v>0</v>
      </c>
      <c r="W21" s="94">
        <f t="shared" si="27"/>
        <v>21.544538708965902</v>
      </c>
      <c r="X21" s="94">
        <f t="shared" si="27"/>
        <v>0</v>
      </c>
      <c r="Y21" s="94">
        <f t="shared" si="27"/>
        <v>19.853203271907965</v>
      </c>
      <c r="Z21" s="94">
        <f t="shared" si="27"/>
        <v>0</v>
      </c>
      <c r="AA21" s="94">
        <f t="shared" si="27"/>
        <v>18.446699777336693</v>
      </c>
      <c r="AB21" s="94">
        <f t="shared" si="27"/>
        <v>0</v>
      </c>
      <c r="AC21" s="94">
        <f t="shared" si="27"/>
        <v>17.660928591515393</v>
      </c>
      <c r="AD21" s="94">
        <f t="shared" si="27"/>
        <v>0</v>
      </c>
      <c r="AE21" s="94">
        <f>+AE22+AE34</f>
        <v>15.091423273376698</v>
      </c>
      <c r="AF21" s="137"/>
      <c r="AI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row>
    <row r="22" spans="1:98" ht="27.95" customHeight="1" x14ac:dyDescent="0.3">
      <c r="A22" s="87"/>
      <c r="B22" s="17" t="s">
        <v>16</v>
      </c>
      <c r="C22" s="17"/>
      <c r="D22" s="17"/>
      <c r="E22" s="17"/>
      <c r="F22" s="34">
        <f>+SUM(F23:F33)</f>
        <v>166.81802546</v>
      </c>
      <c r="G22" s="17"/>
      <c r="H22" s="40"/>
      <c r="I22" s="17"/>
      <c r="J22" s="43"/>
      <c r="K22" s="17"/>
      <c r="L22" s="17"/>
      <c r="M22" s="17"/>
      <c r="N22" s="17"/>
      <c r="O22" s="30"/>
      <c r="P22" s="97">
        <f>+SUM(P23:P33)</f>
        <v>0</v>
      </c>
      <c r="Q22" s="97">
        <f t="shared" ref="Q22:AE22" si="28">+SUM(Q23:Q33)</f>
        <v>22.594602242005173</v>
      </c>
      <c r="R22" s="97">
        <f t="shared" si="28"/>
        <v>0</v>
      </c>
      <c r="S22" s="97">
        <f t="shared" si="28"/>
        <v>25.231802327537519</v>
      </c>
      <c r="T22" s="97">
        <f t="shared" si="28"/>
        <v>0</v>
      </c>
      <c r="U22" s="97">
        <f t="shared" si="28"/>
        <v>24.45187503734337</v>
      </c>
      <c r="V22" s="97">
        <f t="shared" si="28"/>
        <v>0</v>
      </c>
      <c r="W22" s="97">
        <f t="shared" si="28"/>
        <v>17.719928736779035</v>
      </c>
      <c r="X22" s="97">
        <f t="shared" si="28"/>
        <v>0</v>
      </c>
      <c r="Y22" s="97">
        <f t="shared" si="28"/>
        <v>16.330553961302368</v>
      </c>
      <c r="Z22" s="97">
        <f t="shared" si="28"/>
        <v>0</v>
      </c>
      <c r="AA22" s="97">
        <f t="shared" si="28"/>
        <v>15.056629546144912</v>
      </c>
      <c r="AB22" s="97">
        <f t="shared" si="28"/>
        <v>0</v>
      </c>
      <c r="AC22" s="97">
        <f t="shared" si="28"/>
        <v>14.380029985238277</v>
      </c>
      <c r="AD22" s="97">
        <f t="shared" si="28"/>
        <v>0</v>
      </c>
      <c r="AE22" s="97">
        <f t="shared" si="28"/>
        <v>12.280832034598376</v>
      </c>
      <c r="AF22" s="133"/>
      <c r="AI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row>
    <row r="23" spans="1:98" ht="27.95" customHeight="1" x14ac:dyDescent="0.3">
      <c r="A23" s="87"/>
      <c r="B23" s="9" t="s">
        <v>23</v>
      </c>
      <c r="C23" s="9" t="s">
        <v>24</v>
      </c>
      <c r="D23" s="9" t="s">
        <v>103</v>
      </c>
      <c r="E23" s="197">
        <v>41.934749719999999</v>
      </c>
      <c r="F23" s="12">
        <f t="shared" ref="F23:F33" si="29">+IF($D23="USD",$E23,$E23/$C$58)</f>
        <v>41.934749719999999</v>
      </c>
      <c r="G23" s="9"/>
      <c r="H23" s="38" t="s">
        <v>161</v>
      </c>
      <c r="I23" s="25">
        <v>42050</v>
      </c>
      <c r="J23" s="41" t="s">
        <v>171</v>
      </c>
      <c r="K23" s="26">
        <v>300</v>
      </c>
      <c r="L23" s="10" t="s">
        <v>169</v>
      </c>
      <c r="M23" s="25">
        <v>51181</v>
      </c>
      <c r="N23" s="10" t="s">
        <v>163</v>
      </c>
      <c r="O23" s="13"/>
      <c r="P23" s="95">
        <f t="shared" ref="P23" si="30">+F82+F130</f>
        <v>0</v>
      </c>
      <c r="Q23" s="95">
        <f t="shared" ref="Q23:Q33" si="31">+G82+G130</f>
        <v>4.9562819235614004</v>
      </c>
      <c r="R23" s="95">
        <f t="shared" ref="R23:R33" si="32">+H82+H130</f>
        <v>0</v>
      </c>
      <c r="S23" s="95">
        <f t="shared" ref="S23:S33" si="33">+I82+I130</f>
        <v>5.2706019106142161</v>
      </c>
      <c r="T23" s="95">
        <f t="shared" ref="T23:T33" si="34">+J82+J130</f>
        <v>0</v>
      </c>
      <c r="U23" s="95">
        <f t="shared" ref="U23:U33" si="35">+K82+K130</f>
        <v>4.7768816965652654</v>
      </c>
      <c r="V23" s="95">
        <f t="shared" ref="V23:V33" si="36">+L82+L130</f>
        <v>0</v>
      </c>
      <c r="W23" s="95">
        <f t="shared" ref="W23:W33" si="37">+M82+M130</f>
        <v>4.2984746617366021</v>
      </c>
      <c r="X23" s="95">
        <f t="shared" ref="X23:X33" si="38">+N82+N130</f>
        <v>0</v>
      </c>
      <c r="Y23" s="95">
        <f t="shared" ref="Y23:Y33" si="39">+O82+O130</f>
        <v>3.9366825269337813</v>
      </c>
      <c r="Z23" s="95">
        <f t="shared" ref="Z23:Z33" si="40">+P82+P130</f>
        <v>0</v>
      </c>
      <c r="AA23" s="95">
        <f t="shared" ref="AA23:AA33" si="41">+Q82+Q130</f>
        <v>3.6047603714191023</v>
      </c>
      <c r="AB23" s="95">
        <f t="shared" ref="AB23:AB33" si="42">+R82+R130</f>
        <v>0</v>
      </c>
      <c r="AC23" s="95">
        <f t="shared" ref="AC23:AC33" si="43">+S82+S130</f>
        <v>3.4072036898417659</v>
      </c>
      <c r="AD23" s="95">
        <f t="shared" ref="AD23:AD33" si="44">+T82+T130</f>
        <v>0</v>
      </c>
      <c r="AE23" s="95">
        <f t="shared" ref="AE23:AE33" si="45">+U82+U130</f>
        <v>2.9419007300338502</v>
      </c>
      <c r="AF23" s="132"/>
      <c r="AI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S23" s="138"/>
      <c r="CT23" s="139"/>
    </row>
    <row r="24" spans="1:98" ht="27.95" customHeight="1" x14ac:dyDescent="0.3">
      <c r="A24" s="87"/>
      <c r="B24" s="9" t="s">
        <v>17</v>
      </c>
      <c r="C24" s="9" t="s">
        <v>18</v>
      </c>
      <c r="D24" s="9" t="s">
        <v>103</v>
      </c>
      <c r="E24" s="197">
        <v>37.069917230000001</v>
      </c>
      <c r="F24" s="12">
        <f t="shared" si="29"/>
        <v>37.069917230000001</v>
      </c>
      <c r="G24" s="9"/>
      <c r="H24" s="38" t="s">
        <v>161</v>
      </c>
      <c r="I24" s="25">
        <v>39557</v>
      </c>
      <c r="J24" s="41" t="s">
        <v>171</v>
      </c>
      <c r="K24" s="26">
        <v>344</v>
      </c>
      <c r="L24" s="10" t="s">
        <v>169</v>
      </c>
      <c r="M24" s="25">
        <v>50028</v>
      </c>
      <c r="N24" s="10" t="s">
        <v>163</v>
      </c>
      <c r="O24" s="13"/>
      <c r="P24" s="95">
        <f t="shared" ref="P24:P33" si="46">+F83+F131</f>
        <v>0</v>
      </c>
      <c r="Q24" s="95">
        <f t="shared" si="31"/>
        <v>4.7489634742028421</v>
      </c>
      <c r="R24" s="95">
        <f t="shared" si="32"/>
        <v>0</v>
      </c>
      <c r="S24" s="95">
        <f t="shared" si="33"/>
        <v>5.1506630476265958</v>
      </c>
      <c r="T24" s="95">
        <f t="shared" si="34"/>
        <v>0</v>
      </c>
      <c r="U24" s="95">
        <f t="shared" si="35"/>
        <v>4.68066805914696</v>
      </c>
      <c r="V24" s="95">
        <f t="shared" si="36"/>
        <v>0</v>
      </c>
      <c r="W24" s="95">
        <f t="shared" si="37"/>
        <v>4.2599573107782707</v>
      </c>
      <c r="X24" s="95">
        <f t="shared" si="38"/>
        <v>0</v>
      </c>
      <c r="Y24" s="95">
        <f t="shared" si="39"/>
        <v>3.945374337027292</v>
      </c>
      <c r="Z24" s="95">
        <f t="shared" si="40"/>
        <v>0</v>
      </c>
      <c r="AA24" s="95">
        <f t="shared" si="41"/>
        <v>3.6482958641271694</v>
      </c>
      <c r="AB24" s="95">
        <f t="shared" si="42"/>
        <v>0</v>
      </c>
      <c r="AC24" s="95">
        <f t="shared" si="43"/>
        <v>3.5149547078086503</v>
      </c>
      <c r="AD24" s="95">
        <f t="shared" si="44"/>
        <v>0</v>
      </c>
      <c r="AE24" s="95">
        <f t="shared" si="45"/>
        <v>3.1724717525351691</v>
      </c>
      <c r="AF24" s="132"/>
      <c r="AI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S24" s="138"/>
      <c r="CT24" s="139"/>
    </row>
    <row r="25" spans="1:98" ht="27.95" customHeight="1" x14ac:dyDescent="0.3">
      <c r="A25" s="87"/>
      <c r="B25" s="9" t="s">
        <v>19</v>
      </c>
      <c r="C25" s="9" t="s">
        <v>20</v>
      </c>
      <c r="D25" s="9" t="s">
        <v>103</v>
      </c>
      <c r="E25" s="197">
        <v>27.472912610000002</v>
      </c>
      <c r="F25" s="12">
        <f t="shared" si="29"/>
        <v>27.472912610000002</v>
      </c>
      <c r="G25" s="9"/>
      <c r="H25" s="38" t="s">
        <v>161</v>
      </c>
      <c r="I25" s="25">
        <v>39555</v>
      </c>
      <c r="J25" s="41" t="s">
        <v>171</v>
      </c>
      <c r="K25" s="26">
        <v>300</v>
      </c>
      <c r="L25" s="10" t="s">
        <v>169</v>
      </c>
      <c r="M25" s="25">
        <v>48686</v>
      </c>
      <c r="N25" s="10" t="s">
        <v>163</v>
      </c>
      <c r="O25" s="13"/>
      <c r="P25" s="95">
        <f t="shared" si="46"/>
        <v>0</v>
      </c>
      <c r="Q25" s="95">
        <f t="shared" si="31"/>
        <v>3.7824031399999982</v>
      </c>
      <c r="R25" s="95">
        <f t="shared" si="32"/>
        <v>0</v>
      </c>
      <c r="S25" s="95">
        <f t="shared" si="33"/>
        <v>4.8563952599999975</v>
      </c>
      <c r="T25" s="95">
        <f t="shared" si="34"/>
        <v>0</v>
      </c>
      <c r="U25" s="95">
        <f t="shared" si="35"/>
        <v>4.448518179999998</v>
      </c>
      <c r="V25" s="95">
        <f t="shared" si="36"/>
        <v>0</v>
      </c>
      <c r="W25" s="95">
        <f t="shared" si="37"/>
        <v>4.0714828599999979</v>
      </c>
      <c r="X25" s="95">
        <f t="shared" si="38"/>
        <v>0</v>
      </c>
      <c r="Y25" s="95">
        <f t="shared" si="39"/>
        <v>3.7859487799999982</v>
      </c>
      <c r="Z25" s="95">
        <f t="shared" si="40"/>
        <v>0</v>
      </c>
      <c r="AA25" s="95">
        <f t="shared" si="41"/>
        <v>3.5313653999999981</v>
      </c>
      <c r="AB25" s="95">
        <f t="shared" si="42"/>
        <v>0</v>
      </c>
      <c r="AC25" s="95">
        <f t="shared" si="43"/>
        <v>3.3737041599999982</v>
      </c>
      <c r="AD25" s="95">
        <f t="shared" si="44"/>
        <v>0</v>
      </c>
      <c r="AE25" s="95">
        <f t="shared" si="45"/>
        <v>2.7283158268003191</v>
      </c>
      <c r="AF25" s="132"/>
      <c r="AI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S25" s="138"/>
      <c r="CT25" s="139"/>
    </row>
    <row r="26" spans="1:98" ht="27.95" customHeight="1" x14ac:dyDescent="0.3">
      <c r="A26" s="87"/>
      <c r="B26" s="9" t="s">
        <v>133</v>
      </c>
      <c r="C26" s="9" t="s">
        <v>134</v>
      </c>
      <c r="D26" s="9" t="s">
        <v>103</v>
      </c>
      <c r="E26" s="197">
        <v>27.315000000000001</v>
      </c>
      <c r="F26" s="12">
        <f t="shared" si="29"/>
        <v>27.315000000000001</v>
      </c>
      <c r="G26" s="9"/>
      <c r="H26" s="38" t="s">
        <v>161</v>
      </c>
      <c r="I26" s="25">
        <v>44313</v>
      </c>
      <c r="J26" s="41" t="s">
        <v>171</v>
      </c>
      <c r="K26" s="26">
        <v>283</v>
      </c>
      <c r="L26" s="10" t="s">
        <v>169</v>
      </c>
      <c r="M26" s="25">
        <v>52916</v>
      </c>
      <c r="N26" s="10" t="s">
        <v>163</v>
      </c>
      <c r="O26" s="13"/>
      <c r="P26" s="95">
        <f t="shared" si="46"/>
        <v>0</v>
      </c>
      <c r="Q26" s="95">
        <f t="shared" si="31"/>
        <v>1.2437657499999999</v>
      </c>
      <c r="R26" s="95">
        <f t="shared" si="32"/>
        <v>0</v>
      </c>
      <c r="S26" s="95">
        <f t="shared" si="33"/>
        <v>1.7411479027397261</v>
      </c>
      <c r="T26" s="95">
        <f t="shared" si="34"/>
        <v>0</v>
      </c>
      <c r="U26" s="95">
        <f t="shared" si="35"/>
        <v>2.8586951038356165</v>
      </c>
      <c r="V26" s="95">
        <f t="shared" si="36"/>
        <v>0</v>
      </c>
      <c r="W26" s="95">
        <f t="shared" si="37"/>
        <v>2.5574061636986301</v>
      </c>
      <c r="X26" s="95">
        <f t="shared" si="38"/>
        <v>0</v>
      </c>
      <c r="Y26" s="95">
        <f t="shared" si="39"/>
        <v>2.3314063438356163</v>
      </c>
      <c r="Z26" s="95">
        <f t="shared" si="40"/>
        <v>0</v>
      </c>
      <c r="AA26" s="95">
        <f t="shared" si="41"/>
        <v>2.1078817119863014</v>
      </c>
      <c r="AB26" s="95">
        <f t="shared" si="42"/>
        <v>0</v>
      </c>
      <c r="AC26" s="95">
        <f t="shared" si="43"/>
        <v>2.0123596602739724</v>
      </c>
      <c r="AD26" s="95">
        <f t="shared" si="44"/>
        <v>0</v>
      </c>
      <c r="AE26" s="95">
        <f t="shared" si="45"/>
        <v>1.6834122246575338</v>
      </c>
      <c r="AF26" s="132"/>
      <c r="AI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S26" s="138"/>
      <c r="CT26" s="139"/>
    </row>
    <row r="27" spans="1:98" ht="27.95" customHeight="1" x14ac:dyDescent="0.3">
      <c r="A27" s="87"/>
      <c r="B27" s="9" t="s">
        <v>27</v>
      </c>
      <c r="C27" s="9" t="s">
        <v>28</v>
      </c>
      <c r="D27" s="9" t="s">
        <v>103</v>
      </c>
      <c r="E27" s="197">
        <v>14.15703927</v>
      </c>
      <c r="F27" s="12">
        <f t="shared" si="29"/>
        <v>14.15703927</v>
      </c>
      <c r="G27" s="9"/>
      <c r="H27" s="38" t="s">
        <v>161</v>
      </c>
      <c r="I27" s="25">
        <v>43084</v>
      </c>
      <c r="J27" s="41" t="s">
        <v>171</v>
      </c>
      <c r="K27" s="26">
        <v>292</v>
      </c>
      <c r="L27" s="10" t="s">
        <v>169</v>
      </c>
      <c r="M27" s="25">
        <v>51971</v>
      </c>
      <c r="N27" s="10" t="s">
        <v>163</v>
      </c>
      <c r="O27" s="13"/>
      <c r="P27" s="95">
        <f t="shared" si="46"/>
        <v>0</v>
      </c>
      <c r="Q27" s="95">
        <f t="shared" si="31"/>
        <v>1.2469439712845727</v>
      </c>
      <c r="R27" s="95">
        <f t="shared" si="32"/>
        <v>0</v>
      </c>
      <c r="S27" s="95">
        <f t="shared" si="33"/>
        <v>1.5662662651704675</v>
      </c>
      <c r="T27" s="95">
        <f t="shared" si="34"/>
        <v>0</v>
      </c>
      <c r="U27" s="95">
        <f t="shared" si="35"/>
        <v>1.4961713215119783</v>
      </c>
      <c r="V27" s="95">
        <f t="shared" si="36"/>
        <v>0</v>
      </c>
      <c r="W27" s="95">
        <f t="shared" si="37"/>
        <v>1.3424487860298662</v>
      </c>
      <c r="X27" s="95">
        <f t="shared" si="38"/>
        <v>0</v>
      </c>
      <c r="Y27" s="95">
        <f t="shared" si="39"/>
        <v>1.227754684909393</v>
      </c>
      <c r="Z27" s="95">
        <f t="shared" si="40"/>
        <v>0</v>
      </c>
      <c r="AA27" s="95">
        <f t="shared" si="41"/>
        <v>1.1171573779599528</v>
      </c>
      <c r="AB27" s="95">
        <f t="shared" si="42"/>
        <v>0</v>
      </c>
      <c r="AC27" s="95">
        <f t="shared" si="43"/>
        <v>1.0630797781831829</v>
      </c>
      <c r="AD27" s="95">
        <f t="shared" si="44"/>
        <v>0</v>
      </c>
      <c r="AE27" s="95">
        <f t="shared" si="45"/>
        <v>0.85917589836322417</v>
      </c>
      <c r="AF27" s="132"/>
      <c r="AI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S27" s="138"/>
      <c r="CT27" s="139"/>
    </row>
    <row r="28" spans="1:98" ht="27.95" customHeight="1" x14ac:dyDescent="0.3">
      <c r="A28" s="87"/>
      <c r="B28" s="9" t="s">
        <v>21</v>
      </c>
      <c r="C28" s="9" t="s">
        <v>22</v>
      </c>
      <c r="D28" s="9" t="s">
        <v>103</v>
      </c>
      <c r="E28" s="197">
        <v>9.7416196999999993</v>
      </c>
      <c r="F28" s="12">
        <f t="shared" si="29"/>
        <v>9.7416196999999993</v>
      </c>
      <c r="G28" s="9"/>
      <c r="H28" s="38" t="s">
        <v>161</v>
      </c>
      <c r="I28" s="25">
        <v>38588</v>
      </c>
      <c r="J28" s="41" t="s">
        <v>171</v>
      </c>
      <c r="K28" s="26">
        <v>240</v>
      </c>
      <c r="L28" s="10" t="s">
        <v>169</v>
      </c>
      <c r="M28" s="25">
        <v>45893</v>
      </c>
      <c r="N28" s="10" t="s">
        <v>163</v>
      </c>
      <c r="O28" s="13"/>
      <c r="P28" s="95">
        <f t="shared" si="46"/>
        <v>0</v>
      </c>
      <c r="Q28" s="95">
        <f t="shared" si="31"/>
        <v>5.6248757357142853</v>
      </c>
      <c r="R28" s="95">
        <f t="shared" si="32"/>
        <v>0</v>
      </c>
      <c r="S28" s="95">
        <f t="shared" si="33"/>
        <v>5.4265505772039493</v>
      </c>
      <c r="T28" s="95">
        <f t="shared" si="34"/>
        <v>0</v>
      </c>
      <c r="U28" s="95">
        <f t="shared" si="35"/>
        <v>5.0839324743806547</v>
      </c>
      <c r="V28" s="95">
        <f t="shared" si="36"/>
        <v>0</v>
      </c>
      <c r="W28" s="95">
        <f t="shared" si="37"/>
        <v>0</v>
      </c>
      <c r="X28" s="95">
        <f t="shared" si="38"/>
        <v>0</v>
      </c>
      <c r="Y28" s="95">
        <f t="shared" si="39"/>
        <v>0</v>
      </c>
      <c r="Z28" s="95">
        <f t="shared" si="40"/>
        <v>0</v>
      </c>
      <c r="AA28" s="95">
        <f t="shared" si="41"/>
        <v>0</v>
      </c>
      <c r="AB28" s="95">
        <f t="shared" si="42"/>
        <v>0</v>
      </c>
      <c r="AC28" s="95">
        <f t="shared" si="43"/>
        <v>0</v>
      </c>
      <c r="AD28" s="95">
        <f t="shared" si="44"/>
        <v>0</v>
      </c>
      <c r="AE28" s="95">
        <f t="shared" si="45"/>
        <v>0</v>
      </c>
      <c r="AF28" s="132"/>
      <c r="AI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S28" s="138"/>
      <c r="CT28" s="139"/>
    </row>
    <row r="29" spans="1:98" ht="27.95" customHeight="1" x14ac:dyDescent="0.3">
      <c r="A29" s="87"/>
      <c r="B29" s="9" t="s">
        <v>157</v>
      </c>
      <c r="C29" s="9" t="s">
        <v>243</v>
      </c>
      <c r="D29" s="9" t="s">
        <v>103</v>
      </c>
      <c r="E29" s="197">
        <v>4.8834592199999998</v>
      </c>
      <c r="F29" s="12">
        <f t="shared" si="29"/>
        <v>4.8834592199999998</v>
      </c>
      <c r="G29" s="9"/>
      <c r="H29" s="38" t="s">
        <v>161</v>
      </c>
      <c r="I29" s="25">
        <v>44774</v>
      </c>
      <c r="J29" s="41" t="s">
        <v>172</v>
      </c>
      <c r="K29" s="26">
        <v>173</v>
      </c>
      <c r="L29" s="10" t="s">
        <v>169</v>
      </c>
      <c r="M29" s="25">
        <v>50055</v>
      </c>
      <c r="N29" s="10" t="s">
        <v>163</v>
      </c>
      <c r="O29" s="13"/>
      <c r="P29" s="95">
        <f t="shared" si="46"/>
        <v>0</v>
      </c>
      <c r="Q29" s="95">
        <f t="shared" si="31"/>
        <v>9.9900819999999987E-2</v>
      </c>
      <c r="R29" s="95">
        <f t="shared" si="32"/>
        <v>0</v>
      </c>
      <c r="S29" s="95">
        <f t="shared" si="33"/>
        <v>0.29324354521796631</v>
      </c>
      <c r="T29" s="95">
        <f t="shared" si="34"/>
        <v>0</v>
      </c>
      <c r="U29" s="95">
        <f t="shared" si="35"/>
        <v>0.48470094550746501</v>
      </c>
      <c r="V29" s="95">
        <f t="shared" si="36"/>
        <v>0</v>
      </c>
      <c r="W29" s="95">
        <f t="shared" si="37"/>
        <v>0.61691845165803649</v>
      </c>
      <c r="X29" s="95">
        <f t="shared" si="38"/>
        <v>0</v>
      </c>
      <c r="Y29" s="95">
        <f t="shared" si="39"/>
        <v>0.56737970614185329</v>
      </c>
      <c r="Z29" s="95">
        <f t="shared" si="40"/>
        <v>0</v>
      </c>
      <c r="AA29" s="95">
        <f t="shared" si="41"/>
        <v>0.54427164845586817</v>
      </c>
      <c r="AB29" s="95">
        <f t="shared" si="42"/>
        <v>0</v>
      </c>
      <c r="AC29" s="95">
        <f t="shared" si="43"/>
        <v>0.52611757887357591</v>
      </c>
      <c r="AD29" s="95">
        <f t="shared" si="44"/>
        <v>0</v>
      </c>
      <c r="AE29" s="95">
        <f t="shared" si="45"/>
        <v>0.44642655283954313</v>
      </c>
      <c r="AF29" s="132"/>
      <c r="AI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S29" s="138"/>
      <c r="CT29" s="139"/>
    </row>
    <row r="30" spans="1:98" ht="27.95" customHeight="1" x14ac:dyDescent="0.3">
      <c r="A30" s="87"/>
      <c r="B30" s="9" t="s">
        <v>25</v>
      </c>
      <c r="C30" s="9" t="s">
        <v>26</v>
      </c>
      <c r="D30" s="9" t="s">
        <v>103</v>
      </c>
      <c r="E30" s="197">
        <v>3.5443537100000002</v>
      </c>
      <c r="F30" s="12">
        <f t="shared" si="29"/>
        <v>3.5443537100000002</v>
      </c>
      <c r="G30" s="9"/>
      <c r="H30" s="38" t="s">
        <v>161</v>
      </c>
      <c r="I30" s="25">
        <v>40852</v>
      </c>
      <c r="J30" s="41" t="s">
        <v>171</v>
      </c>
      <c r="K30" s="26">
        <v>252</v>
      </c>
      <c r="L30" s="10" t="s">
        <v>169</v>
      </c>
      <c r="M30" s="25">
        <v>48523</v>
      </c>
      <c r="N30" s="10" t="s">
        <v>163</v>
      </c>
      <c r="O30" s="13"/>
      <c r="P30" s="95">
        <f t="shared" si="46"/>
        <v>0</v>
      </c>
      <c r="Q30" s="95">
        <f t="shared" si="31"/>
        <v>0.56896502583049213</v>
      </c>
      <c r="R30" s="95">
        <f t="shared" si="32"/>
        <v>0</v>
      </c>
      <c r="S30" s="95">
        <f t="shared" si="33"/>
        <v>0.64561136559321342</v>
      </c>
      <c r="T30" s="95">
        <f t="shared" si="34"/>
        <v>0</v>
      </c>
      <c r="U30" s="95">
        <f t="shared" si="35"/>
        <v>0.59134439708780639</v>
      </c>
      <c r="V30" s="95">
        <f t="shared" si="36"/>
        <v>0</v>
      </c>
      <c r="W30" s="95">
        <f t="shared" si="37"/>
        <v>0.54227764824389402</v>
      </c>
      <c r="X30" s="95">
        <f t="shared" si="38"/>
        <v>0</v>
      </c>
      <c r="Y30" s="95">
        <f t="shared" si="39"/>
        <v>0.50504472499603625</v>
      </c>
      <c r="Z30" s="95">
        <f t="shared" si="40"/>
        <v>0</v>
      </c>
      <c r="AA30" s="95">
        <f t="shared" si="41"/>
        <v>0.47193431130139174</v>
      </c>
      <c r="AB30" s="95">
        <f t="shared" si="42"/>
        <v>0</v>
      </c>
      <c r="AC30" s="95">
        <f t="shared" si="43"/>
        <v>0.4516475527601303</v>
      </c>
      <c r="AD30" s="95">
        <f t="shared" si="44"/>
        <v>0</v>
      </c>
      <c r="AE30" s="95">
        <f t="shared" si="45"/>
        <v>0.4207464348970793</v>
      </c>
      <c r="AF30" s="132"/>
      <c r="AI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S30" s="138"/>
      <c r="CT30" s="139"/>
    </row>
    <row r="31" spans="1:98" ht="27.95" customHeight="1" x14ac:dyDescent="0.3">
      <c r="A31" s="87"/>
      <c r="B31" s="9" t="s">
        <v>31</v>
      </c>
      <c r="C31" s="9" t="s">
        <v>32</v>
      </c>
      <c r="D31" s="9" t="s">
        <v>103</v>
      </c>
      <c r="E31" s="197">
        <v>0.39323896000000003</v>
      </c>
      <c r="F31" s="12">
        <f t="shared" si="29"/>
        <v>0.39323896000000003</v>
      </c>
      <c r="G31" s="9"/>
      <c r="H31" s="38" t="s">
        <v>161</v>
      </c>
      <c r="I31" s="25">
        <v>40360</v>
      </c>
      <c r="J31" s="41" t="s">
        <v>171</v>
      </c>
      <c r="K31" s="26">
        <v>290</v>
      </c>
      <c r="L31" s="10" t="s">
        <v>168</v>
      </c>
      <c r="M31" s="25">
        <v>49188</v>
      </c>
      <c r="N31" s="10" t="s">
        <v>163</v>
      </c>
      <c r="O31" s="13"/>
      <c r="P31" s="95">
        <f t="shared" si="46"/>
        <v>0</v>
      </c>
      <c r="Q31" s="95">
        <f t="shared" si="31"/>
        <v>3.0962855934398802E-2</v>
      </c>
      <c r="R31" s="95">
        <f t="shared" si="32"/>
        <v>0</v>
      </c>
      <c r="S31" s="95">
        <f t="shared" si="33"/>
        <v>3.0962857812724238E-2</v>
      </c>
      <c r="T31" s="95">
        <f t="shared" si="34"/>
        <v>0</v>
      </c>
      <c r="U31" s="95">
        <f t="shared" si="35"/>
        <v>3.0962859307629324E-2</v>
      </c>
      <c r="V31" s="95">
        <f t="shared" si="36"/>
        <v>0</v>
      </c>
      <c r="W31" s="95">
        <f t="shared" si="37"/>
        <v>3.0962854633739899E-2</v>
      </c>
      <c r="X31" s="95">
        <f t="shared" si="38"/>
        <v>0</v>
      </c>
      <c r="Y31" s="95">
        <f t="shared" si="39"/>
        <v>3.0962857458399686E-2</v>
      </c>
      <c r="Z31" s="95">
        <f t="shared" si="40"/>
        <v>0</v>
      </c>
      <c r="AA31" s="95">
        <f t="shared" si="41"/>
        <v>3.0962860895128431E-2</v>
      </c>
      <c r="AB31" s="95">
        <f t="shared" si="42"/>
        <v>0</v>
      </c>
      <c r="AC31" s="95">
        <f t="shared" si="43"/>
        <v>3.0962857497001992E-2</v>
      </c>
      <c r="AD31" s="95">
        <f t="shared" si="44"/>
        <v>0</v>
      </c>
      <c r="AE31" s="95">
        <f t="shared" si="45"/>
        <v>2.8382614471655798E-2</v>
      </c>
      <c r="AF31" s="132"/>
      <c r="AI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S31" s="138"/>
      <c r="CT31" s="139"/>
    </row>
    <row r="32" spans="1:98" ht="27.95" customHeight="1" x14ac:dyDescent="0.3">
      <c r="A32" s="87"/>
      <c r="B32" s="9" t="s">
        <v>29</v>
      </c>
      <c r="C32" s="9" t="s">
        <v>30</v>
      </c>
      <c r="D32" s="9" t="s">
        <v>103</v>
      </c>
      <c r="E32" s="197">
        <v>0.24051971</v>
      </c>
      <c r="F32" s="12">
        <f t="shared" si="29"/>
        <v>0.24051971</v>
      </c>
      <c r="G32" s="9"/>
      <c r="H32" s="38" t="s">
        <v>161</v>
      </c>
      <c r="I32" s="25">
        <v>38643</v>
      </c>
      <c r="J32" s="41" t="s">
        <v>171</v>
      </c>
      <c r="K32" s="26">
        <v>228</v>
      </c>
      <c r="L32" s="10" t="s">
        <v>169</v>
      </c>
      <c r="M32" s="25">
        <v>45583</v>
      </c>
      <c r="N32" s="10" t="s">
        <v>163</v>
      </c>
      <c r="O32" s="13"/>
      <c r="P32" s="95">
        <f t="shared" si="46"/>
        <v>0</v>
      </c>
      <c r="Q32" s="95">
        <f t="shared" si="31"/>
        <v>0.26345761004240192</v>
      </c>
      <c r="R32" s="95">
        <f t="shared" si="32"/>
        <v>0</v>
      </c>
      <c r="S32" s="95">
        <f t="shared" si="33"/>
        <v>0.25035959555866599</v>
      </c>
      <c r="T32" s="95">
        <f t="shared" si="34"/>
        <v>0</v>
      </c>
      <c r="U32" s="95">
        <f t="shared" si="35"/>
        <v>0</v>
      </c>
      <c r="V32" s="95">
        <f t="shared" si="36"/>
        <v>0</v>
      </c>
      <c r="W32" s="95">
        <f t="shared" si="37"/>
        <v>0</v>
      </c>
      <c r="X32" s="95">
        <f t="shared" si="38"/>
        <v>0</v>
      </c>
      <c r="Y32" s="95">
        <f t="shared" si="39"/>
        <v>0</v>
      </c>
      <c r="Z32" s="95">
        <f t="shared" si="40"/>
        <v>0</v>
      </c>
      <c r="AA32" s="95">
        <f t="shared" si="41"/>
        <v>0</v>
      </c>
      <c r="AB32" s="95">
        <f t="shared" si="42"/>
        <v>0</v>
      </c>
      <c r="AC32" s="95">
        <f t="shared" si="43"/>
        <v>0</v>
      </c>
      <c r="AD32" s="95">
        <f t="shared" si="44"/>
        <v>0</v>
      </c>
      <c r="AE32" s="95">
        <f t="shared" si="45"/>
        <v>0</v>
      </c>
      <c r="AF32" s="132"/>
      <c r="AI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S32" s="138"/>
      <c r="CT32" s="139"/>
    </row>
    <row r="33" spans="1:98" ht="27.95" customHeight="1" x14ac:dyDescent="0.3">
      <c r="A33" s="87"/>
      <c r="B33" s="9" t="s">
        <v>33</v>
      </c>
      <c r="C33" s="9" t="s">
        <v>34</v>
      </c>
      <c r="D33" s="9" t="s">
        <v>103</v>
      </c>
      <c r="E33" s="197">
        <v>6.5215330000000002E-2</v>
      </c>
      <c r="F33" s="12">
        <f t="shared" si="29"/>
        <v>6.5215330000000002E-2</v>
      </c>
      <c r="G33" s="9"/>
      <c r="H33" s="38" t="s">
        <v>161</v>
      </c>
      <c r="I33" s="25">
        <v>40360</v>
      </c>
      <c r="J33" s="41" t="s">
        <v>171</v>
      </c>
      <c r="K33" s="26">
        <v>158</v>
      </c>
      <c r="L33" s="10" t="s">
        <v>168</v>
      </c>
      <c r="M33" s="25">
        <v>45170</v>
      </c>
      <c r="N33" s="10" t="s">
        <v>163</v>
      </c>
      <c r="O33" s="13"/>
      <c r="P33" s="95">
        <f t="shared" si="46"/>
        <v>0</v>
      </c>
      <c r="Q33" s="95">
        <f t="shared" si="31"/>
        <v>2.8081935434782608E-2</v>
      </c>
      <c r="R33" s="95">
        <f t="shared" si="32"/>
        <v>0</v>
      </c>
      <c r="S33" s="95">
        <f t="shared" si="33"/>
        <v>0</v>
      </c>
      <c r="T33" s="95">
        <f t="shared" si="34"/>
        <v>0</v>
      </c>
      <c r="U33" s="95">
        <f t="shared" si="35"/>
        <v>0</v>
      </c>
      <c r="V33" s="95">
        <f t="shared" si="36"/>
        <v>0</v>
      </c>
      <c r="W33" s="95">
        <f t="shared" si="37"/>
        <v>0</v>
      </c>
      <c r="X33" s="95">
        <f t="shared" si="38"/>
        <v>0</v>
      </c>
      <c r="Y33" s="95">
        <f t="shared" si="39"/>
        <v>0</v>
      </c>
      <c r="Z33" s="95">
        <f t="shared" si="40"/>
        <v>0</v>
      </c>
      <c r="AA33" s="95">
        <f t="shared" si="41"/>
        <v>0</v>
      </c>
      <c r="AB33" s="95">
        <f t="shared" si="42"/>
        <v>0</v>
      </c>
      <c r="AC33" s="95">
        <f t="shared" si="43"/>
        <v>0</v>
      </c>
      <c r="AD33" s="95">
        <f t="shared" si="44"/>
        <v>0</v>
      </c>
      <c r="AE33" s="95">
        <f t="shared" si="45"/>
        <v>0</v>
      </c>
      <c r="AF33" s="132"/>
      <c r="AI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S33" s="138"/>
      <c r="CT33" s="139"/>
    </row>
    <row r="34" spans="1:98" ht="27.95" customHeight="1" x14ac:dyDescent="0.3">
      <c r="A34" s="87"/>
      <c r="B34" s="17" t="s">
        <v>35</v>
      </c>
      <c r="C34" s="17"/>
      <c r="D34" s="17"/>
      <c r="E34" s="17"/>
      <c r="F34" s="34">
        <f>+SUM(F35:F37)</f>
        <v>33.224852630000001</v>
      </c>
      <c r="G34" s="17"/>
      <c r="H34" s="40"/>
      <c r="I34" s="17"/>
      <c r="J34" s="43"/>
      <c r="K34" s="17"/>
      <c r="L34" s="17"/>
      <c r="M34" s="17"/>
      <c r="N34" s="17"/>
      <c r="O34" s="30"/>
      <c r="P34" s="97">
        <f>+SUM(P35:P37)</f>
        <v>0</v>
      </c>
      <c r="Q34" s="97">
        <f t="shared" ref="Q34:AD34" si="47">+SUM(Q35:Q37)</f>
        <v>3.0204043924008133</v>
      </c>
      <c r="R34" s="97">
        <f t="shared" si="47"/>
        <v>0</v>
      </c>
      <c r="S34" s="97">
        <f t="shared" si="47"/>
        <v>4.0815331994019957</v>
      </c>
      <c r="T34" s="97">
        <f t="shared" si="47"/>
        <v>0</v>
      </c>
      <c r="U34" s="97">
        <f t="shared" si="47"/>
        <v>4.1518242614051468</v>
      </c>
      <c r="V34" s="97">
        <f t="shared" si="47"/>
        <v>0</v>
      </c>
      <c r="W34" s="97">
        <f t="shared" si="47"/>
        <v>3.8246099721868663</v>
      </c>
      <c r="X34" s="97">
        <f t="shared" si="47"/>
        <v>0</v>
      </c>
      <c r="Y34" s="97">
        <f t="shared" si="47"/>
        <v>3.5226493106055994</v>
      </c>
      <c r="Z34" s="97">
        <f t="shared" si="47"/>
        <v>0</v>
      </c>
      <c r="AA34" s="97">
        <f t="shared" si="47"/>
        <v>3.3900702311917814</v>
      </c>
      <c r="AB34" s="97">
        <f t="shared" si="47"/>
        <v>0</v>
      </c>
      <c r="AC34" s="97">
        <f t="shared" si="47"/>
        <v>3.280898606277117</v>
      </c>
      <c r="AD34" s="97">
        <f t="shared" si="47"/>
        <v>0</v>
      </c>
      <c r="AE34" s="97">
        <f>+SUM(AE35:AE37)</f>
        <v>2.810591238778323</v>
      </c>
      <c r="AF34" s="133"/>
      <c r="AI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S34" s="138"/>
      <c r="CT34" s="139"/>
    </row>
    <row r="35" spans="1:98" ht="27.95" customHeight="1" x14ac:dyDescent="0.3">
      <c r="A35" s="87"/>
      <c r="B35" s="9" t="s">
        <v>36</v>
      </c>
      <c r="C35" s="9" t="s">
        <v>37</v>
      </c>
      <c r="D35" s="9" t="s">
        <v>103</v>
      </c>
      <c r="E35" s="197">
        <v>26.768365540000001</v>
      </c>
      <c r="F35" s="12">
        <f>+IF($D35="USD",$E35,$E35/$C$58)</f>
        <v>26.768365540000001</v>
      </c>
      <c r="G35" s="9"/>
      <c r="H35" s="38" t="s">
        <v>161</v>
      </c>
      <c r="I35" s="25">
        <v>39706</v>
      </c>
      <c r="J35" s="41" t="s">
        <v>171</v>
      </c>
      <c r="K35" s="26">
        <v>360</v>
      </c>
      <c r="L35" s="10" t="s">
        <v>169</v>
      </c>
      <c r="M35" s="25">
        <v>50663</v>
      </c>
      <c r="N35" s="10" t="s">
        <v>163</v>
      </c>
      <c r="O35" s="13"/>
      <c r="P35" s="95">
        <f t="shared" ref="P35" si="48">+F94+F142</f>
        <v>0</v>
      </c>
      <c r="Q35" s="95">
        <f t="shared" ref="Q35:Q37" si="49">+G94+G142</f>
        <v>2.7518043224008135</v>
      </c>
      <c r="R35" s="95">
        <f t="shared" ref="R35:R37" si="50">+H94+H142</f>
        <v>0</v>
      </c>
      <c r="S35" s="95">
        <f t="shared" ref="S35:S37" si="51">+I94+I142</f>
        <v>3.6608651571096145</v>
      </c>
      <c r="T35" s="95">
        <f t="shared" ref="T35:T37" si="52">+J94+J142</f>
        <v>0</v>
      </c>
      <c r="U35" s="95">
        <f t="shared" ref="U35:U37" si="53">+K94+K142</f>
        <v>3.3552134938026477</v>
      </c>
      <c r="V35" s="95">
        <f t="shared" ref="V35:V37" si="54">+L94+L142</f>
        <v>0</v>
      </c>
      <c r="W35" s="95">
        <f t="shared" ref="W35:W37" si="55">+M94+M142</f>
        <v>3.0309225253643408</v>
      </c>
      <c r="X35" s="95">
        <f t="shared" ref="X35:X37" si="56">+N94+N142</f>
        <v>0</v>
      </c>
      <c r="Y35" s="95">
        <f t="shared" ref="Y35:Y37" si="57">+O94+O142</f>
        <v>2.7974868785892566</v>
      </c>
      <c r="Z35" s="95">
        <f t="shared" ref="Z35:Z37" si="58">+P94+P142</f>
        <v>0</v>
      </c>
      <c r="AA35" s="95">
        <f t="shared" ref="AA35:AA37" si="59">+Q94+Q142</f>
        <v>2.6969230068203522</v>
      </c>
      <c r="AB35" s="95">
        <f t="shared" ref="AB35:AB37" si="60">+R94+R142</f>
        <v>0</v>
      </c>
      <c r="AC35" s="95">
        <f t="shared" ref="AC35:AC37" si="61">+S94+S142</f>
        <v>2.6097218491461867</v>
      </c>
      <c r="AD35" s="95">
        <f t="shared" ref="AD35:AD37" si="62">+T94+T142</f>
        <v>0</v>
      </c>
      <c r="AE35" s="95">
        <f t="shared" ref="AE35:AE37" si="63">+U94+U142</f>
        <v>2.1867292359010837</v>
      </c>
      <c r="AF35" s="132"/>
      <c r="AI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S35" s="138"/>
      <c r="CT35" s="139"/>
    </row>
    <row r="36" spans="1:98" ht="27.95" customHeight="1" x14ac:dyDescent="0.3">
      <c r="A36" s="87"/>
      <c r="B36" s="9" t="s">
        <v>215</v>
      </c>
      <c r="C36" s="9" t="s">
        <v>187</v>
      </c>
      <c r="D36" s="9" t="s">
        <v>103</v>
      </c>
      <c r="E36" s="197">
        <v>4.5530083899999996</v>
      </c>
      <c r="F36" s="12">
        <f>+IF($D36="USD",$E36,$E36/$C$58)</f>
        <v>4.5530083899999996</v>
      </c>
      <c r="G36" s="9"/>
      <c r="H36" s="38" t="s">
        <v>161</v>
      </c>
      <c r="I36" s="25">
        <v>43918</v>
      </c>
      <c r="J36" s="41" t="s">
        <v>172</v>
      </c>
      <c r="K36" s="26">
        <v>180</v>
      </c>
      <c r="L36" s="10" t="s">
        <v>169</v>
      </c>
      <c r="M36" s="25">
        <v>49396</v>
      </c>
      <c r="N36" s="10" t="s">
        <v>163</v>
      </c>
      <c r="O36" s="13"/>
      <c r="P36" s="95">
        <f t="shared" ref="P36:P37" si="64">+F95+F143</f>
        <v>0</v>
      </c>
      <c r="Q36" s="95">
        <f t="shared" si="49"/>
        <v>0.26246900999999995</v>
      </c>
      <c r="R36" s="95">
        <f t="shared" si="50"/>
        <v>0</v>
      </c>
      <c r="S36" s="95">
        <f t="shared" si="51"/>
        <v>0.31657373091985069</v>
      </c>
      <c r="T36" s="95">
        <f t="shared" si="52"/>
        <v>0</v>
      </c>
      <c r="U36" s="95">
        <f t="shared" si="53"/>
        <v>0.6735482023571272</v>
      </c>
      <c r="V36" s="95">
        <f t="shared" si="54"/>
        <v>0</v>
      </c>
      <c r="W36" s="95">
        <f t="shared" si="55"/>
        <v>0.61161344559185915</v>
      </c>
      <c r="X36" s="95">
        <f t="shared" si="56"/>
        <v>0</v>
      </c>
      <c r="Y36" s="95">
        <f t="shared" si="57"/>
        <v>0.56058462183963864</v>
      </c>
      <c r="Z36" s="95">
        <f t="shared" si="58"/>
        <v>0</v>
      </c>
      <c r="AA36" s="95">
        <f t="shared" si="59"/>
        <v>0.53464011840310455</v>
      </c>
      <c r="AB36" s="95">
        <f t="shared" si="60"/>
        <v>0</v>
      </c>
      <c r="AC36" s="95">
        <f t="shared" si="61"/>
        <v>0.51650979065135738</v>
      </c>
      <c r="AD36" s="95">
        <f t="shared" si="62"/>
        <v>0</v>
      </c>
      <c r="AE36" s="95">
        <f t="shared" si="63"/>
        <v>0.50901142407468269</v>
      </c>
      <c r="AF36" s="132"/>
      <c r="AI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S36" s="138"/>
      <c r="CT36" s="139"/>
    </row>
    <row r="37" spans="1:98" ht="27.95" customHeight="1" x14ac:dyDescent="0.3">
      <c r="A37" s="87"/>
      <c r="B37" s="9" t="s">
        <v>214</v>
      </c>
      <c r="C37" s="9" t="s">
        <v>160</v>
      </c>
      <c r="D37" s="9" t="s">
        <v>103</v>
      </c>
      <c r="E37" s="197">
        <v>1.9034787</v>
      </c>
      <c r="F37" s="12">
        <f>+IF($D37="USD",$E37,$E37/$C$58)</f>
        <v>1.9034787</v>
      </c>
      <c r="G37" s="9"/>
      <c r="H37" s="38" t="s">
        <v>161</v>
      </c>
      <c r="I37" s="25">
        <v>44837</v>
      </c>
      <c r="J37" s="41" t="s">
        <v>172</v>
      </c>
      <c r="K37" s="26">
        <v>327</v>
      </c>
      <c r="L37" s="10" t="s">
        <v>169</v>
      </c>
      <c r="M37" s="25">
        <v>54803</v>
      </c>
      <c r="N37" s="10" t="s">
        <v>163</v>
      </c>
      <c r="O37" s="13"/>
      <c r="P37" s="95">
        <f t="shared" si="64"/>
        <v>0</v>
      </c>
      <c r="Q37" s="95">
        <f t="shared" si="49"/>
        <v>6.1310600000000007E-3</v>
      </c>
      <c r="R37" s="95">
        <f t="shared" si="50"/>
        <v>0</v>
      </c>
      <c r="S37" s="95">
        <f t="shared" si="51"/>
        <v>0.10409431137253047</v>
      </c>
      <c r="T37" s="95">
        <f t="shared" si="52"/>
        <v>0</v>
      </c>
      <c r="U37" s="95">
        <f t="shared" si="53"/>
        <v>0.12306256524537257</v>
      </c>
      <c r="V37" s="95">
        <f t="shared" si="54"/>
        <v>0</v>
      </c>
      <c r="W37" s="95">
        <f t="shared" si="55"/>
        <v>0.18207400123066642</v>
      </c>
      <c r="X37" s="95">
        <f t="shared" si="56"/>
        <v>0</v>
      </c>
      <c r="Y37" s="95">
        <f t="shared" si="57"/>
        <v>0.16457781017670384</v>
      </c>
      <c r="Z37" s="95">
        <f t="shared" si="58"/>
        <v>0</v>
      </c>
      <c r="AA37" s="95">
        <f t="shared" si="59"/>
        <v>0.15850710596832454</v>
      </c>
      <c r="AB37" s="95">
        <f t="shared" si="60"/>
        <v>0</v>
      </c>
      <c r="AC37" s="95">
        <f t="shared" si="61"/>
        <v>0.15466696647957298</v>
      </c>
      <c r="AD37" s="95">
        <f t="shared" si="62"/>
        <v>0</v>
      </c>
      <c r="AE37" s="95">
        <f t="shared" si="63"/>
        <v>0.11485057880255686</v>
      </c>
      <c r="AF37" s="132"/>
      <c r="AI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S37" s="138"/>
      <c r="CT37" s="139"/>
    </row>
    <row r="38" spans="1:98" ht="27.95" customHeight="1" x14ac:dyDescent="0.3">
      <c r="A38" s="87"/>
      <c r="B38" s="16" t="s">
        <v>97</v>
      </c>
      <c r="C38" s="16"/>
      <c r="D38" s="16"/>
      <c r="E38" s="16"/>
      <c r="F38" s="33">
        <f>+SUM(F39:F46)</f>
        <v>463.70688103336482</v>
      </c>
      <c r="G38" s="83">
        <f>+F38/$F$48</f>
        <v>0.6782530910995398</v>
      </c>
      <c r="H38" s="39"/>
      <c r="I38" s="16"/>
      <c r="J38" s="42"/>
      <c r="K38" s="16"/>
      <c r="L38" s="16"/>
      <c r="M38" s="16"/>
      <c r="N38" s="16"/>
      <c r="O38" s="29"/>
      <c r="P38" s="94">
        <f>+SUM(P39:P46)</f>
        <v>22662.240446979886</v>
      </c>
      <c r="Q38" s="94">
        <f t="shared" ref="Q38:AE38" si="65">+SUM(Q39:Q46)</f>
        <v>104.5290126923077</v>
      </c>
      <c r="R38" s="94">
        <f t="shared" si="65"/>
        <v>23825.718484227564</v>
      </c>
      <c r="S38" s="94">
        <f t="shared" si="65"/>
        <v>103.75362913461539</v>
      </c>
      <c r="T38" s="94">
        <f t="shared" si="65"/>
        <v>5007.9886947320174</v>
      </c>
      <c r="U38" s="94">
        <f t="shared" si="65"/>
        <v>99.171135673076932</v>
      </c>
      <c r="V38" s="94">
        <f t="shared" si="65"/>
        <v>1947.9631450845632</v>
      </c>
      <c r="W38" s="94">
        <f t="shared" si="65"/>
        <v>94.58864221153847</v>
      </c>
      <c r="X38" s="94">
        <f t="shared" si="65"/>
        <v>1319.0258818496081</v>
      </c>
      <c r="Y38" s="94">
        <f t="shared" si="65"/>
        <v>90.006148750000008</v>
      </c>
      <c r="Z38" s="94">
        <f t="shared" si="65"/>
        <v>946.89080351134999</v>
      </c>
      <c r="AA38" s="94">
        <f t="shared" si="65"/>
        <v>85.423655288461546</v>
      </c>
      <c r="AB38" s="94">
        <f t="shared" si="65"/>
        <v>892.55726627412457</v>
      </c>
      <c r="AC38" s="94">
        <f t="shared" si="65"/>
        <v>40.993392596153825</v>
      </c>
      <c r="AD38" s="94">
        <f t="shared" si="65"/>
        <v>632.1306185235635</v>
      </c>
      <c r="AE38" s="94">
        <f t="shared" si="65"/>
        <v>0</v>
      </c>
      <c r="AF38" s="137"/>
      <c r="AI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row>
    <row r="39" spans="1:98" ht="27.95" customHeight="1" x14ac:dyDescent="0.3">
      <c r="A39" s="87"/>
      <c r="B39" s="9" t="s">
        <v>142</v>
      </c>
      <c r="C39" s="9" t="s">
        <v>131</v>
      </c>
      <c r="D39" s="9" t="s">
        <v>103</v>
      </c>
      <c r="E39" s="197">
        <v>438.32546153999999</v>
      </c>
      <c r="F39" s="12">
        <f t="shared" ref="F39" si="66">+IF($D39="USD",$E39,$E39/$C$58)</f>
        <v>438.32546153999999</v>
      </c>
      <c r="G39" s="9"/>
      <c r="H39" s="38" t="s">
        <v>173</v>
      </c>
      <c r="I39" s="25">
        <v>43970</v>
      </c>
      <c r="J39" s="41">
        <v>5.7500000000000002E-2</v>
      </c>
      <c r="K39" s="26">
        <v>106</v>
      </c>
      <c r="L39" s="10" t="s">
        <v>169</v>
      </c>
      <c r="M39" s="25">
        <v>47196</v>
      </c>
      <c r="N39" s="10" t="s">
        <v>141</v>
      </c>
      <c r="O39" s="13"/>
      <c r="P39" s="95">
        <f t="shared" ref="P39" si="67">+F98+F146</f>
        <v>0</v>
      </c>
      <c r="Q39" s="95">
        <f t="shared" ref="Q39:Q46" si="68">+G98+G146</f>
        <v>104.5290126923077</v>
      </c>
      <c r="R39" s="95">
        <f t="shared" ref="R39:R46" si="69">+H98+H146</f>
        <v>0</v>
      </c>
      <c r="S39" s="95">
        <f t="shared" ref="S39:S46" si="70">+I98+I146</f>
        <v>103.75362913461539</v>
      </c>
      <c r="T39" s="95">
        <f t="shared" ref="T39:T46" si="71">+J98+J146</f>
        <v>0</v>
      </c>
      <c r="U39" s="95">
        <f t="shared" ref="U39:U46" si="72">+K98+K146</f>
        <v>99.171135673076932</v>
      </c>
      <c r="V39" s="95">
        <f t="shared" ref="V39:V46" si="73">+L98+L146</f>
        <v>0</v>
      </c>
      <c r="W39" s="95">
        <f t="shared" ref="W39:W46" si="74">+M98+M146</f>
        <v>94.58864221153847</v>
      </c>
      <c r="X39" s="95">
        <f t="shared" ref="X39:X46" si="75">+N98+N146</f>
        <v>0</v>
      </c>
      <c r="Y39" s="95">
        <f t="shared" ref="Y39:Y46" si="76">+O98+O146</f>
        <v>90.006148750000008</v>
      </c>
      <c r="Z39" s="95">
        <f t="shared" ref="Z39:Z46" si="77">+P98+P146</f>
        <v>0</v>
      </c>
      <c r="AA39" s="95">
        <f t="shared" ref="AA39:AA46" si="78">+Q98+Q146</f>
        <v>85.423655288461546</v>
      </c>
      <c r="AB39" s="95">
        <f t="shared" ref="AB39:AB46" si="79">+R98+R146</f>
        <v>0</v>
      </c>
      <c r="AC39" s="95">
        <f t="shared" ref="AC39:AC46" si="80">+S98+S146</f>
        <v>40.993392596153825</v>
      </c>
      <c r="AD39" s="95">
        <f t="shared" ref="AD39:AD46" si="81">+T98+T146</f>
        <v>0</v>
      </c>
      <c r="AE39" s="95">
        <f t="shared" ref="AE39:AE46" si="82">+U98+U146</f>
        <v>0</v>
      </c>
      <c r="AF39" s="132"/>
      <c r="AI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row>
    <row r="40" spans="1:98" ht="27.95" customHeight="1" x14ac:dyDescent="0.3">
      <c r="A40" s="87"/>
      <c r="B40" s="9" t="s">
        <v>143</v>
      </c>
      <c r="C40" s="9" t="s">
        <v>144</v>
      </c>
      <c r="D40" s="9" t="s">
        <v>2</v>
      </c>
      <c r="E40" s="196">
        <v>9003.2402341100005</v>
      </c>
      <c r="F40" s="12">
        <f t="shared" ref="F40:F46" si="83">+IF($D40="USD",$E40,$E40/$C$58)</f>
        <v>11.135963147426793</v>
      </c>
      <c r="G40" s="9"/>
      <c r="H40" s="38" t="s">
        <v>161</v>
      </c>
      <c r="I40" s="25">
        <v>44547</v>
      </c>
      <c r="J40" s="41" t="s">
        <v>174</v>
      </c>
      <c r="K40" s="26">
        <v>36</v>
      </c>
      <c r="L40" s="10" t="s">
        <v>169</v>
      </c>
      <c r="M40" s="25">
        <v>45643</v>
      </c>
      <c r="N40" s="10" t="s">
        <v>141</v>
      </c>
      <c r="O40" s="13"/>
      <c r="P40" s="95">
        <f t="shared" ref="P40:P46" si="84">+F99+F147</f>
        <v>4962.362899691434</v>
      </c>
      <c r="Q40" s="95">
        <f t="shared" si="68"/>
        <v>0</v>
      </c>
      <c r="R40" s="95">
        <f t="shared" si="69"/>
        <v>9291.0191459511589</v>
      </c>
      <c r="S40" s="95">
        <f t="shared" si="70"/>
        <v>0</v>
      </c>
      <c r="T40" s="95">
        <f t="shared" si="71"/>
        <v>0</v>
      </c>
      <c r="U40" s="95">
        <f t="shared" si="72"/>
        <v>0</v>
      </c>
      <c r="V40" s="95">
        <f t="shared" si="73"/>
        <v>0</v>
      </c>
      <c r="W40" s="95">
        <f t="shared" si="74"/>
        <v>0</v>
      </c>
      <c r="X40" s="95">
        <f t="shared" si="75"/>
        <v>0</v>
      </c>
      <c r="Y40" s="95">
        <f t="shared" si="76"/>
        <v>0</v>
      </c>
      <c r="Z40" s="95">
        <f t="shared" si="77"/>
        <v>0</v>
      </c>
      <c r="AA40" s="95">
        <f t="shared" si="78"/>
        <v>0</v>
      </c>
      <c r="AB40" s="95">
        <f t="shared" si="79"/>
        <v>0</v>
      </c>
      <c r="AC40" s="95">
        <f t="shared" si="80"/>
        <v>0</v>
      </c>
      <c r="AD40" s="95">
        <f t="shared" si="81"/>
        <v>0</v>
      </c>
      <c r="AE40" s="95">
        <f t="shared" si="82"/>
        <v>0</v>
      </c>
      <c r="AF40" s="132"/>
      <c r="AI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row>
    <row r="41" spans="1:98" ht="27.95" customHeight="1" x14ac:dyDescent="0.3">
      <c r="A41" s="87"/>
      <c r="B41" s="9" t="s">
        <v>147</v>
      </c>
      <c r="C41" s="9" t="s">
        <v>148</v>
      </c>
      <c r="D41" s="9" t="s">
        <v>2</v>
      </c>
      <c r="E41" s="196">
        <v>4878.6538609999998</v>
      </c>
      <c r="F41" s="12">
        <f t="shared" si="83"/>
        <v>6.0343285519935908</v>
      </c>
      <c r="G41" s="9"/>
      <c r="H41" s="38" t="s">
        <v>161</v>
      </c>
      <c r="I41" s="25">
        <v>44635</v>
      </c>
      <c r="J41" s="41" t="s">
        <v>176</v>
      </c>
      <c r="K41" s="26">
        <v>108</v>
      </c>
      <c r="L41" s="10" t="s">
        <v>168</v>
      </c>
      <c r="M41" s="25">
        <v>47922</v>
      </c>
      <c r="N41" s="10" t="s">
        <v>141</v>
      </c>
      <c r="O41" s="13"/>
      <c r="P41" s="95">
        <f t="shared" si="84"/>
        <v>4463.2576047601806</v>
      </c>
      <c r="Q41" s="95">
        <f t="shared" si="68"/>
        <v>0</v>
      </c>
      <c r="R41" s="95">
        <f t="shared" si="69"/>
        <v>4579.1998568859899</v>
      </c>
      <c r="S41" s="95">
        <f t="shared" si="70"/>
        <v>0</v>
      </c>
      <c r="T41" s="95">
        <f t="shared" si="71"/>
        <v>2974.4084773397772</v>
      </c>
      <c r="U41" s="95">
        <f t="shared" si="72"/>
        <v>0</v>
      </c>
      <c r="V41" s="95">
        <f t="shared" si="73"/>
        <v>1947.9631450845632</v>
      </c>
      <c r="W41" s="95">
        <f t="shared" si="74"/>
        <v>0</v>
      </c>
      <c r="X41" s="95">
        <f t="shared" si="75"/>
        <v>1319.0258818496081</v>
      </c>
      <c r="Y41" s="95">
        <f t="shared" si="76"/>
        <v>0</v>
      </c>
      <c r="Z41" s="95">
        <f t="shared" si="77"/>
        <v>946.89080351134999</v>
      </c>
      <c r="AA41" s="95">
        <f t="shared" si="78"/>
        <v>0</v>
      </c>
      <c r="AB41" s="95">
        <f t="shared" si="79"/>
        <v>892.55726627412457</v>
      </c>
      <c r="AC41" s="95">
        <f t="shared" si="80"/>
        <v>0</v>
      </c>
      <c r="AD41" s="95">
        <f t="shared" si="81"/>
        <v>632.1306185235635</v>
      </c>
      <c r="AE41" s="95">
        <f t="shared" si="82"/>
        <v>0</v>
      </c>
      <c r="AF41" s="132"/>
      <c r="AI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row>
    <row r="42" spans="1:98" ht="27.95" customHeight="1" x14ac:dyDescent="0.3">
      <c r="A42" s="87"/>
      <c r="B42" s="9" t="s">
        <v>180</v>
      </c>
      <c r="C42" s="9" t="s">
        <v>182</v>
      </c>
      <c r="D42" s="9" t="s">
        <v>2</v>
      </c>
      <c r="E42" s="196">
        <v>3657.5049990000002</v>
      </c>
      <c r="F42" s="12">
        <f t="shared" si="83"/>
        <v>4.5239091506280964</v>
      </c>
      <c r="G42" s="9"/>
      <c r="H42" s="38" t="s">
        <v>161</v>
      </c>
      <c r="I42" s="25">
        <v>45098</v>
      </c>
      <c r="J42" s="41" t="s">
        <v>184</v>
      </c>
      <c r="K42" s="26">
        <v>24</v>
      </c>
      <c r="L42" s="10" t="s">
        <v>168</v>
      </c>
      <c r="M42" s="25">
        <v>45829</v>
      </c>
      <c r="N42" s="10" t="s">
        <v>141</v>
      </c>
      <c r="O42" s="13"/>
      <c r="P42" s="95">
        <f t="shared" si="84"/>
        <v>3858.9772741905799</v>
      </c>
      <c r="Q42" s="95">
        <f t="shared" si="68"/>
        <v>0</v>
      </c>
      <c r="R42" s="95">
        <f t="shared" si="69"/>
        <v>5258.1959765559304</v>
      </c>
      <c r="S42" s="95">
        <f t="shared" si="70"/>
        <v>0</v>
      </c>
      <c r="T42" s="95">
        <f t="shared" si="71"/>
        <v>1519.0693417808302</v>
      </c>
      <c r="U42" s="95">
        <f t="shared" si="72"/>
        <v>0</v>
      </c>
      <c r="V42" s="95">
        <f t="shared" si="73"/>
        <v>0</v>
      </c>
      <c r="W42" s="95">
        <f t="shared" si="74"/>
        <v>0</v>
      </c>
      <c r="X42" s="95">
        <f t="shared" si="75"/>
        <v>0</v>
      </c>
      <c r="Y42" s="95">
        <f t="shared" si="76"/>
        <v>0</v>
      </c>
      <c r="Z42" s="95">
        <f t="shared" si="77"/>
        <v>0</v>
      </c>
      <c r="AA42" s="95">
        <f t="shared" si="78"/>
        <v>0</v>
      </c>
      <c r="AB42" s="95">
        <f t="shared" si="79"/>
        <v>0</v>
      </c>
      <c r="AC42" s="95">
        <f t="shared" si="80"/>
        <v>0</v>
      </c>
      <c r="AD42" s="95">
        <f t="shared" si="81"/>
        <v>0</v>
      </c>
      <c r="AE42" s="95">
        <f t="shared" si="82"/>
        <v>0</v>
      </c>
      <c r="AF42" s="132"/>
      <c r="AI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row>
    <row r="43" spans="1:98" ht="27.95" customHeight="1" x14ac:dyDescent="0.3">
      <c r="A43" s="87"/>
      <c r="B43" s="9" t="s">
        <v>202</v>
      </c>
      <c r="C43" s="9" t="s">
        <v>183</v>
      </c>
      <c r="D43" s="9" t="s">
        <v>2</v>
      </c>
      <c r="E43" s="196">
        <v>1755.4136739999999</v>
      </c>
      <c r="F43" s="12">
        <f>+IF($D43="USD",$E43,$E43/$C$58)</f>
        <v>2.1712429607389541</v>
      </c>
      <c r="G43" s="9"/>
      <c r="H43" s="38" t="s">
        <v>161</v>
      </c>
      <c r="I43" s="25">
        <v>45098</v>
      </c>
      <c r="J43" s="41" t="s">
        <v>185</v>
      </c>
      <c r="K43" s="26">
        <v>18</v>
      </c>
      <c r="L43" s="10" t="s">
        <v>168</v>
      </c>
      <c r="M43" s="25">
        <v>45647</v>
      </c>
      <c r="N43" s="10" t="s">
        <v>141</v>
      </c>
      <c r="O43" s="13"/>
      <c r="P43" s="95">
        <f t="shared" si="84"/>
        <v>2266.1159289238904</v>
      </c>
      <c r="Q43" s="95">
        <f t="shared" si="68"/>
        <v>0</v>
      </c>
      <c r="R43" s="95">
        <f t="shared" si="69"/>
        <v>2915.3309347813397</v>
      </c>
      <c r="S43" s="95">
        <f t="shared" si="70"/>
        <v>0</v>
      </c>
      <c r="T43" s="95">
        <f t="shared" si="71"/>
        <v>0</v>
      </c>
      <c r="U43" s="95">
        <f t="shared" si="72"/>
        <v>0</v>
      </c>
      <c r="V43" s="95">
        <f t="shared" si="73"/>
        <v>0</v>
      </c>
      <c r="W43" s="95">
        <f t="shared" si="74"/>
        <v>0</v>
      </c>
      <c r="X43" s="95">
        <f t="shared" si="75"/>
        <v>0</v>
      </c>
      <c r="Y43" s="95">
        <f t="shared" si="76"/>
        <v>0</v>
      </c>
      <c r="Z43" s="95">
        <f t="shared" si="77"/>
        <v>0</v>
      </c>
      <c r="AA43" s="95">
        <f t="shared" si="78"/>
        <v>0</v>
      </c>
      <c r="AB43" s="95">
        <f t="shared" si="79"/>
        <v>0</v>
      </c>
      <c r="AC43" s="95">
        <f t="shared" si="80"/>
        <v>0</v>
      </c>
      <c r="AD43" s="95">
        <f t="shared" si="81"/>
        <v>0</v>
      </c>
      <c r="AE43" s="95">
        <f t="shared" si="82"/>
        <v>0</v>
      </c>
      <c r="AF43" s="132"/>
      <c r="AI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row>
    <row r="44" spans="1:98" ht="27.95" customHeight="1" x14ac:dyDescent="0.3">
      <c r="A44" s="87"/>
      <c r="B44" s="9" t="s">
        <v>136</v>
      </c>
      <c r="C44" s="9" t="s">
        <v>137</v>
      </c>
      <c r="D44" s="9" t="s">
        <v>2</v>
      </c>
      <c r="E44" s="196">
        <v>1211.5384615400001</v>
      </c>
      <c r="F44" s="12">
        <f t="shared" si="83"/>
        <v>1.4985324514928138</v>
      </c>
      <c r="G44" s="9"/>
      <c r="H44" s="38" t="s">
        <v>161</v>
      </c>
      <c r="I44" s="25">
        <v>44385</v>
      </c>
      <c r="J44" s="41" t="s">
        <v>177</v>
      </c>
      <c r="K44" s="26">
        <v>48</v>
      </c>
      <c r="L44" s="10" t="s">
        <v>168</v>
      </c>
      <c r="M44" s="25">
        <v>45805</v>
      </c>
      <c r="N44" s="10" t="s">
        <v>141</v>
      </c>
      <c r="O44" s="13"/>
      <c r="P44" s="95">
        <f t="shared" si="84"/>
        <v>2350.5783553213878</v>
      </c>
      <c r="Q44" s="95">
        <f t="shared" si="68"/>
        <v>0</v>
      </c>
      <c r="R44" s="95">
        <f t="shared" si="69"/>
        <v>1762.0465822750666</v>
      </c>
      <c r="S44" s="95">
        <f t="shared" si="70"/>
        <v>0</v>
      </c>
      <c r="T44" s="95">
        <f t="shared" si="71"/>
        <v>503.51667535203097</v>
      </c>
      <c r="U44" s="95">
        <f t="shared" si="72"/>
        <v>0</v>
      </c>
      <c r="V44" s="95">
        <f t="shared" si="73"/>
        <v>0</v>
      </c>
      <c r="W44" s="95">
        <f t="shared" si="74"/>
        <v>0</v>
      </c>
      <c r="X44" s="95">
        <f t="shared" si="75"/>
        <v>0</v>
      </c>
      <c r="Y44" s="95">
        <f t="shared" si="76"/>
        <v>0</v>
      </c>
      <c r="Z44" s="95">
        <f t="shared" si="77"/>
        <v>0</v>
      </c>
      <c r="AA44" s="95">
        <f t="shared" si="78"/>
        <v>0</v>
      </c>
      <c r="AB44" s="95">
        <f t="shared" si="79"/>
        <v>0</v>
      </c>
      <c r="AC44" s="95">
        <f t="shared" si="80"/>
        <v>0</v>
      </c>
      <c r="AD44" s="95">
        <f t="shared" si="81"/>
        <v>0</v>
      </c>
      <c r="AE44" s="95">
        <f t="shared" si="82"/>
        <v>0</v>
      </c>
      <c r="AF44" s="132"/>
      <c r="AI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row>
    <row r="45" spans="1:98" ht="27.95" customHeight="1" x14ac:dyDescent="0.3">
      <c r="A45" s="87"/>
      <c r="B45" s="9" t="s">
        <v>38</v>
      </c>
      <c r="C45" s="9" t="s">
        <v>39</v>
      </c>
      <c r="D45" s="9" t="s">
        <v>2</v>
      </c>
      <c r="E45" s="196">
        <v>14.10256103</v>
      </c>
      <c r="F45" s="12">
        <f t="shared" si="83"/>
        <v>1.7443231084674229E-2</v>
      </c>
      <c r="G45" s="9"/>
      <c r="H45" s="38" t="s">
        <v>161</v>
      </c>
      <c r="I45" s="25">
        <v>43494</v>
      </c>
      <c r="J45" s="41" t="s">
        <v>178</v>
      </c>
      <c r="K45" s="26">
        <v>84</v>
      </c>
      <c r="L45" s="10" t="s">
        <v>169</v>
      </c>
      <c r="M45" s="25">
        <v>45870</v>
      </c>
      <c r="N45" s="10" t="s">
        <v>141</v>
      </c>
      <c r="O45" s="13"/>
      <c r="P45" s="95">
        <f t="shared" si="84"/>
        <v>19.4518342338739</v>
      </c>
      <c r="Q45" s="95">
        <f t="shared" si="68"/>
        <v>0</v>
      </c>
      <c r="R45" s="95">
        <f t="shared" si="69"/>
        <v>19.925987778079399</v>
      </c>
      <c r="S45" s="95">
        <f t="shared" si="70"/>
        <v>0</v>
      </c>
      <c r="T45" s="95">
        <f t="shared" si="71"/>
        <v>10.994200259379109</v>
      </c>
      <c r="U45" s="95">
        <f t="shared" si="72"/>
        <v>0</v>
      </c>
      <c r="V45" s="95">
        <f t="shared" si="73"/>
        <v>0</v>
      </c>
      <c r="W45" s="95">
        <f t="shared" si="74"/>
        <v>0</v>
      </c>
      <c r="X45" s="95">
        <f t="shared" si="75"/>
        <v>0</v>
      </c>
      <c r="Y45" s="95">
        <f t="shared" si="76"/>
        <v>0</v>
      </c>
      <c r="Z45" s="95">
        <f t="shared" si="77"/>
        <v>0</v>
      </c>
      <c r="AA45" s="95">
        <f t="shared" si="78"/>
        <v>0</v>
      </c>
      <c r="AB45" s="95">
        <f t="shared" si="79"/>
        <v>0</v>
      </c>
      <c r="AC45" s="95">
        <f t="shared" si="80"/>
        <v>0</v>
      </c>
      <c r="AD45" s="95">
        <f t="shared" si="81"/>
        <v>0</v>
      </c>
      <c r="AE45" s="95">
        <f t="shared" si="82"/>
        <v>0</v>
      </c>
      <c r="AF45" s="132"/>
      <c r="AI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row>
    <row r="46" spans="1:98" ht="27.95" customHeight="1" x14ac:dyDescent="0.3">
      <c r="A46" s="87"/>
      <c r="B46" s="9" t="s">
        <v>200</v>
      </c>
      <c r="C46" s="9" t="s">
        <v>146</v>
      </c>
      <c r="D46" s="9" t="s">
        <v>2</v>
      </c>
      <c r="E46" s="196">
        <v>0</v>
      </c>
      <c r="F46" s="12">
        <f t="shared" si="83"/>
        <v>0</v>
      </c>
      <c r="G46" s="9"/>
      <c r="H46" s="38" t="s">
        <v>161</v>
      </c>
      <c r="I46" s="25">
        <v>44547</v>
      </c>
      <c r="J46" s="41" t="s">
        <v>175</v>
      </c>
      <c r="K46" s="26">
        <v>18</v>
      </c>
      <c r="L46" s="10" t="s">
        <v>168</v>
      </c>
      <c r="M46" s="25">
        <v>45094</v>
      </c>
      <c r="N46" s="10" t="s">
        <v>141</v>
      </c>
      <c r="O46" s="13"/>
      <c r="P46" s="95">
        <f t="shared" si="84"/>
        <v>4741.4965498585425</v>
      </c>
      <c r="Q46" s="95">
        <f t="shared" si="68"/>
        <v>0</v>
      </c>
      <c r="R46" s="95">
        <f t="shared" si="69"/>
        <v>0</v>
      </c>
      <c r="S46" s="95">
        <f t="shared" si="70"/>
        <v>0</v>
      </c>
      <c r="T46" s="95">
        <f t="shared" si="71"/>
        <v>0</v>
      </c>
      <c r="U46" s="95">
        <f t="shared" si="72"/>
        <v>0</v>
      </c>
      <c r="V46" s="95">
        <f t="shared" si="73"/>
        <v>0</v>
      </c>
      <c r="W46" s="95">
        <f t="shared" si="74"/>
        <v>0</v>
      </c>
      <c r="X46" s="95">
        <f t="shared" si="75"/>
        <v>0</v>
      </c>
      <c r="Y46" s="95">
        <f t="shared" si="76"/>
        <v>0</v>
      </c>
      <c r="Z46" s="95">
        <f t="shared" si="77"/>
        <v>0</v>
      </c>
      <c r="AA46" s="95">
        <f t="shared" si="78"/>
        <v>0</v>
      </c>
      <c r="AB46" s="95">
        <f t="shared" si="79"/>
        <v>0</v>
      </c>
      <c r="AC46" s="95">
        <f t="shared" si="80"/>
        <v>0</v>
      </c>
      <c r="AD46" s="95">
        <f t="shared" si="81"/>
        <v>0</v>
      </c>
      <c r="AE46" s="95">
        <f t="shared" si="82"/>
        <v>0</v>
      </c>
      <c r="AF46" s="132"/>
      <c r="AI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row>
    <row r="47" spans="1:98" ht="6.75" customHeight="1" x14ac:dyDescent="0.3">
      <c r="A47" s="87"/>
      <c r="B47" s="19"/>
      <c r="C47" s="13"/>
      <c r="D47" s="13"/>
      <c r="E47" s="13"/>
      <c r="F47" s="172"/>
      <c r="G47" s="13"/>
      <c r="H47" s="13"/>
      <c r="I47" s="13"/>
      <c r="J47" s="13"/>
      <c r="K47" s="13"/>
      <c r="L47" s="13"/>
      <c r="M47" s="13"/>
      <c r="N47" s="13"/>
      <c r="O47" s="13"/>
      <c r="P47" s="98"/>
      <c r="Q47" s="98"/>
      <c r="R47" s="98"/>
      <c r="S47" s="98"/>
      <c r="T47" s="98"/>
      <c r="U47" s="98"/>
      <c r="V47" s="98"/>
      <c r="W47" s="98"/>
      <c r="X47" s="99"/>
      <c r="Y47" s="99"/>
      <c r="Z47" s="99"/>
      <c r="AA47" s="99"/>
      <c r="AB47" s="99"/>
      <c r="AC47" s="99"/>
      <c r="AD47" s="99"/>
      <c r="AE47" s="99"/>
      <c r="AF47" s="99"/>
      <c r="AI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row>
    <row r="48" spans="1:98" ht="29.25" customHeight="1" x14ac:dyDescent="0.3">
      <c r="B48" s="222" t="s">
        <v>52</v>
      </c>
      <c r="C48" s="223"/>
      <c r="D48" s="223"/>
      <c r="E48" s="124"/>
      <c r="F48" s="32">
        <f>+SUM($F$9,$F$19,$F$21,$F$38)</f>
        <v>683.67824211701475</v>
      </c>
      <c r="G48" s="211"/>
      <c r="H48" s="210"/>
      <c r="I48" s="31"/>
      <c r="J48" s="31"/>
      <c r="K48" s="31"/>
      <c r="L48" s="31"/>
      <c r="M48" s="31"/>
      <c r="N48" s="31"/>
      <c r="O48" s="31"/>
      <c r="P48" s="93">
        <f>+P38+P21+P19+P9</f>
        <v>57379.118437812736</v>
      </c>
      <c r="Q48" s="93">
        <f t="shared" ref="Q48:AE48" si="85">+Q38+Q21+Q19+Q9</f>
        <v>130.1440193267137</v>
      </c>
      <c r="R48" s="93">
        <f t="shared" si="85"/>
        <v>42330.872264007121</v>
      </c>
      <c r="S48" s="93">
        <f t="shared" si="85"/>
        <v>133.06696466155492</v>
      </c>
      <c r="T48" s="93">
        <f t="shared" si="85"/>
        <v>14619.238973267578</v>
      </c>
      <c r="U48" s="93">
        <f t="shared" si="85"/>
        <v>127.77483497182544</v>
      </c>
      <c r="V48" s="93">
        <f t="shared" si="85"/>
        <v>7799.2472993371366</v>
      </c>
      <c r="W48" s="93">
        <f t="shared" si="85"/>
        <v>116.13318092050437</v>
      </c>
      <c r="X48" s="93">
        <f t="shared" si="85"/>
        <v>3265.4622990341522</v>
      </c>
      <c r="Y48" s="93">
        <f t="shared" si="85"/>
        <v>109.85935202190797</v>
      </c>
      <c r="Z48" s="93">
        <f t="shared" si="85"/>
        <v>1002.1265108420055</v>
      </c>
      <c r="AA48" s="93">
        <f t="shared" si="85"/>
        <v>103.87035506579824</v>
      </c>
      <c r="AB48" s="93">
        <f t="shared" si="85"/>
        <v>947.72595574570119</v>
      </c>
      <c r="AC48" s="93">
        <f t="shared" si="85"/>
        <v>58.654321187669218</v>
      </c>
      <c r="AD48" s="93">
        <f t="shared" si="85"/>
        <v>685.02799124584237</v>
      </c>
      <c r="AE48" s="93">
        <f t="shared" si="85"/>
        <v>15.091423273376698</v>
      </c>
      <c r="AF48" s="134"/>
      <c r="AI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row>
    <row r="49" spans="2:96" x14ac:dyDescent="0.3">
      <c r="B49" s="35"/>
      <c r="C49" s="35"/>
      <c r="D49" s="35"/>
      <c r="E49" s="35"/>
      <c r="F49" s="143"/>
      <c r="G49" s="143"/>
      <c r="H49" s="35"/>
      <c r="I49" s="35"/>
      <c r="J49" s="35"/>
      <c r="K49" s="35"/>
      <c r="L49" s="35"/>
      <c r="M49" s="35"/>
      <c r="N49" s="35"/>
      <c r="O49" s="116"/>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row>
    <row r="50" spans="2:96" x14ac:dyDescent="0.3">
      <c r="B50" s="19"/>
      <c r="C50" s="13"/>
      <c r="D50" s="13"/>
      <c r="E50" s="20"/>
      <c r="F50" s="143"/>
      <c r="G50" s="35"/>
      <c r="H50" s="35"/>
      <c r="I50" s="35"/>
      <c r="J50" s="35"/>
      <c r="K50" s="35"/>
      <c r="L50" s="35"/>
      <c r="M50" s="35"/>
      <c r="N50" s="35"/>
      <c r="O50" s="35"/>
      <c r="P50" s="141"/>
      <c r="Q50" s="141"/>
      <c r="R50" s="141"/>
      <c r="S50" s="141"/>
      <c r="T50" s="141"/>
      <c r="U50" s="141"/>
      <c r="V50" s="141"/>
      <c r="W50" s="141"/>
      <c r="X50" s="141"/>
      <c r="Y50" s="141"/>
      <c r="Z50" s="141"/>
      <c r="AA50" s="141"/>
      <c r="AB50" s="141"/>
      <c r="AC50" s="141"/>
      <c r="AD50" s="141"/>
      <c r="AE50" s="141"/>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row>
    <row r="51" spans="2:96" x14ac:dyDescent="0.3">
      <c r="B51" s="35"/>
      <c r="C51" s="35"/>
      <c r="D51" s="35"/>
      <c r="E51" s="35"/>
      <c r="F51" s="143"/>
      <c r="G51" s="35"/>
      <c r="H51" s="35"/>
      <c r="I51" s="35"/>
      <c r="J51" s="35"/>
      <c r="K51" s="35"/>
      <c r="L51" s="35"/>
      <c r="M51" s="35"/>
      <c r="N51" s="35"/>
      <c r="O51" s="116"/>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row>
    <row r="52" spans="2:96" x14ac:dyDescent="0.3">
      <c r="B52" s="228" t="s">
        <v>201</v>
      </c>
      <c r="C52" s="228"/>
      <c r="D52" s="228"/>
      <c r="E52" s="228"/>
      <c r="F52" s="228"/>
      <c r="G52" s="228"/>
      <c r="H52" s="228"/>
      <c r="I52" s="228"/>
      <c r="J52" s="228"/>
      <c r="K52" s="228"/>
      <c r="L52" s="228"/>
      <c r="M52" s="228"/>
      <c r="N52" s="228"/>
      <c r="O52" s="3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row>
    <row r="53" spans="2:96" x14ac:dyDescent="0.3">
      <c r="B53" s="228" t="s">
        <v>149</v>
      </c>
      <c r="C53" s="228"/>
      <c r="D53" s="228"/>
      <c r="E53" s="228"/>
      <c r="F53" s="228"/>
      <c r="G53" s="228"/>
      <c r="H53" s="228"/>
      <c r="I53" s="228"/>
      <c r="J53" s="228"/>
      <c r="K53" s="228"/>
      <c r="L53" s="228"/>
      <c r="M53" s="228"/>
      <c r="N53" s="228"/>
      <c r="O53" s="3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row>
    <row r="54" spans="2:96" x14ac:dyDescent="0.3">
      <c r="B54" s="228" t="s">
        <v>199</v>
      </c>
      <c r="C54" s="228"/>
      <c r="D54" s="228"/>
      <c r="E54" s="228"/>
      <c r="F54" s="228"/>
      <c r="G54" s="228"/>
      <c r="H54" s="228"/>
      <c r="I54" s="228"/>
      <c r="J54" s="228"/>
      <c r="K54" s="228"/>
      <c r="L54" s="228"/>
      <c r="M54" s="228"/>
      <c r="N54" s="228"/>
      <c r="O54" s="3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row>
    <row r="55" spans="2:96" x14ac:dyDescent="0.3">
      <c r="B55" s="228" t="s">
        <v>203</v>
      </c>
      <c r="C55" s="228"/>
      <c r="D55" s="228"/>
      <c r="E55" s="228"/>
      <c r="F55" s="228"/>
      <c r="G55" s="228"/>
      <c r="H55" s="228"/>
      <c r="I55" s="228"/>
      <c r="J55" s="228"/>
      <c r="K55" s="228"/>
      <c r="L55" s="228"/>
      <c r="M55" s="228"/>
      <c r="N55" s="228"/>
      <c r="O55" s="3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row>
    <row r="56" spans="2:96" x14ac:dyDescent="0.3">
      <c r="B56" s="228" t="s">
        <v>213</v>
      </c>
      <c r="C56" s="228"/>
      <c r="D56" s="228"/>
      <c r="E56" s="228"/>
      <c r="F56" s="228"/>
      <c r="G56" s="228"/>
      <c r="H56" s="228"/>
      <c r="I56" s="228"/>
      <c r="J56" s="228"/>
      <c r="K56" s="228"/>
      <c r="L56" s="228"/>
      <c r="M56" s="228"/>
      <c r="N56" s="228"/>
      <c r="O56" s="3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row>
    <row r="57" spans="2:96" x14ac:dyDescent="0.3">
      <c r="B57" s="35"/>
      <c r="C57" s="35"/>
      <c r="D57" s="35"/>
      <c r="E57" s="35"/>
      <c r="F57" s="143"/>
      <c r="G57" s="35"/>
      <c r="H57" s="35"/>
      <c r="I57" s="35"/>
      <c r="J57" s="35"/>
      <c r="K57" s="35"/>
      <c r="L57" s="35"/>
      <c r="M57" s="35"/>
      <c r="N57" s="35"/>
      <c r="O57" s="3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row>
    <row r="58" spans="2:96" x14ac:dyDescent="0.3">
      <c r="B58" s="36" t="s">
        <v>54</v>
      </c>
      <c r="C58" s="85">
        <v>808.48329999999999</v>
      </c>
      <c r="D58" s="35"/>
      <c r="E58" s="35"/>
      <c r="F58" s="143"/>
      <c r="G58" s="35"/>
      <c r="H58" s="35"/>
      <c r="I58" s="35"/>
      <c r="J58" s="35"/>
      <c r="K58" s="35"/>
      <c r="L58" s="35"/>
      <c r="M58" s="35"/>
      <c r="N58" s="35"/>
      <c r="O58" s="35"/>
      <c r="P58" s="35"/>
      <c r="Q58" s="35"/>
      <c r="R58" s="35"/>
      <c r="S58" s="35"/>
      <c r="T58" s="35"/>
      <c r="U58" s="35"/>
      <c r="V58" s="35"/>
      <c r="W58" s="35"/>
      <c r="X58" s="35"/>
      <c r="Y58" s="35"/>
      <c r="Z58" s="35"/>
    </row>
    <row r="59" spans="2:96" x14ac:dyDescent="0.3">
      <c r="B59" s="36" t="s">
        <v>53</v>
      </c>
      <c r="C59" s="86">
        <v>1.0974999999999999</v>
      </c>
      <c r="D59" s="35"/>
      <c r="E59" s="78"/>
      <c r="F59" s="143"/>
      <c r="G59" s="35"/>
      <c r="H59" s="35"/>
      <c r="I59" s="35"/>
      <c r="J59" s="35"/>
      <c r="K59" s="35"/>
      <c r="L59" s="35"/>
      <c r="M59" s="35"/>
      <c r="N59" s="35"/>
      <c r="O59" s="35"/>
      <c r="P59" s="35"/>
      <c r="Q59" s="35"/>
      <c r="R59" s="35"/>
      <c r="S59" s="35"/>
      <c r="T59" s="35"/>
      <c r="U59" s="35"/>
      <c r="V59" s="35"/>
      <c r="W59" s="35"/>
      <c r="X59" s="35"/>
      <c r="Y59" s="35"/>
      <c r="Z59" s="35"/>
    </row>
    <row r="60" spans="2:96" x14ac:dyDescent="0.3">
      <c r="B60" s="36" t="s">
        <v>212</v>
      </c>
      <c r="C60" s="85">
        <v>183.50163580376</v>
      </c>
      <c r="D60" s="35"/>
      <c r="E60" s="35"/>
      <c r="F60" s="143"/>
      <c r="G60" s="35"/>
      <c r="H60" s="35"/>
      <c r="I60" s="35"/>
      <c r="J60" s="35"/>
      <c r="K60" s="35"/>
      <c r="L60" s="35"/>
      <c r="M60" s="35"/>
      <c r="N60" s="35"/>
      <c r="O60" s="35"/>
      <c r="P60" s="35"/>
      <c r="Q60" s="35"/>
      <c r="R60" s="35"/>
      <c r="S60" s="35"/>
      <c r="T60" s="35"/>
      <c r="U60" s="35"/>
      <c r="V60" s="35"/>
      <c r="W60" s="35"/>
      <c r="X60" s="35"/>
      <c r="Y60" s="35"/>
      <c r="Z60" s="35"/>
    </row>
    <row r="61" spans="2:96" x14ac:dyDescent="0.3">
      <c r="D61" s="35"/>
      <c r="Q61" s="23"/>
      <c r="R61" s="23"/>
      <c r="S61" s="23"/>
      <c r="T61" s="23"/>
      <c r="U61" s="23"/>
      <c r="V61" s="23"/>
      <c r="W61" s="23"/>
      <c r="X61" s="23"/>
      <c r="Y61" s="23"/>
      <c r="Z61" s="23"/>
      <c r="AA61" s="23"/>
      <c r="AB61" s="23"/>
      <c r="AC61" s="23"/>
      <c r="AD61" s="23"/>
      <c r="AE61" s="23"/>
      <c r="AF61" s="23"/>
      <c r="AG61" s="23"/>
      <c r="AH61" s="23"/>
      <c r="AI61" s="23"/>
      <c r="AJ61" s="23"/>
      <c r="AK61" s="23"/>
    </row>
    <row r="63" spans="2:96" ht="20.25" x14ac:dyDescent="0.3">
      <c r="B63" s="212" t="s">
        <v>46</v>
      </c>
      <c r="C63" s="212"/>
      <c r="D63" s="212"/>
      <c r="E63" s="212"/>
      <c r="F63" s="212"/>
      <c r="G63" s="212"/>
      <c r="H63" s="212"/>
      <c r="I63" s="212"/>
      <c r="J63" s="212"/>
      <c r="K63" s="212"/>
      <c r="L63" s="212"/>
      <c r="M63" s="212"/>
      <c r="N63" s="212"/>
      <c r="O63" s="212"/>
      <c r="P63" s="212"/>
      <c r="Q63" s="212"/>
      <c r="R63" s="212"/>
      <c r="S63" s="212"/>
      <c r="T63" s="212"/>
      <c r="U63" s="212"/>
    </row>
    <row r="64" spans="2:96" ht="17.25" x14ac:dyDescent="0.3">
      <c r="B64" s="5" t="s">
        <v>50</v>
      </c>
      <c r="C64" s="2"/>
      <c r="D64" s="2"/>
      <c r="E64" s="2"/>
      <c r="F64" s="171"/>
      <c r="G64" s="2"/>
      <c r="H64" s="2"/>
      <c r="I64" s="2"/>
      <c r="J64" s="2"/>
      <c r="K64" s="2"/>
      <c r="L64" s="2"/>
      <c r="M64" s="2"/>
      <c r="N64" s="2"/>
      <c r="O64" s="2"/>
      <c r="P64" s="2"/>
      <c r="Q64" s="2"/>
      <c r="R64" s="2"/>
      <c r="S64" s="2"/>
      <c r="T64" s="2"/>
      <c r="U64" s="2"/>
    </row>
    <row r="66" spans="1:88" ht="32.25" customHeight="1" x14ac:dyDescent="0.3">
      <c r="F66" s="65">
        <v>2023</v>
      </c>
      <c r="G66" s="65">
        <v>2023</v>
      </c>
      <c r="H66" s="65">
        <v>2024</v>
      </c>
      <c r="I66" s="65">
        <v>2024</v>
      </c>
      <c r="J66" s="65">
        <v>2025</v>
      </c>
      <c r="K66" s="65">
        <v>2025</v>
      </c>
      <c r="L66" s="65">
        <v>2026</v>
      </c>
      <c r="M66" s="65">
        <v>2026</v>
      </c>
      <c r="N66" s="65">
        <v>2027</v>
      </c>
      <c r="O66" s="65">
        <v>2027</v>
      </c>
      <c r="P66" s="65">
        <v>2028</v>
      </c>
      <c r="Q66" s="65">
        <v>2028</v>
      </c>
      <c r="R66" s="65">
        <v>2029</v>
      </c>
      <c r="S66" s="65">
        <v>2029</v>
      </c>
      <c r="T66" s="66" t="s">
        <v>188</v>
      </c>
      <c r="U66" s="66" t="s">
        <v>188</v>
      </c>
      <c r="V66" s="135"/>
      <c r="AC66" s="136"/>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row>
    <row r="67" spans="1:88" ht="33.75" customHeight="1" x14ac:dyDescent="0.3">
      <c r="B67" s="18" t="s">
        <v>0</v>
      </c>
      <c r="C67" s="18" t="s">
        <v>1</v>
      </c>
      <c r="D67" s="37" t="s">
        <v>140</v>
      </c>
      <c r="E67" s="37" t="s">
        <v>99</v>
      </c>
      <c r="F67" s="174" t="s">
        <v>2</v>
      </c>
      <c r="G67" s="27" t="s">
        <v>103</v>
      </c>
      <c r="H67" s="18" t="s">
        <v>2</v>
      </c>
      <c r="I67" s="27" t="s">
        <v>103</v>
      </c>
      <c r="J67" s="18" t="s">
        <v>2</v>
      </c>
      <c r="K67" s="27" t="s">
        <v>103</v>
      </c>
      <c r="L67" s="18" t="s">
        <v>2</v>
      </c>
      <c r="M67" s="27" t="s">
        <v>103</v>
      </c>
      <c r="N67" s="18" t="s">
        <v>2</v>
      </c>
      <c r="O67" s="27" t="s">
        <v>103</v>
      </c>
      <c r="P67" s="18" t="s">
        <v>2</v>
      </c>
      <c r="Q67" s="27" t="s">
        <v>103</v>
      </c>
      <c r="R67" s="18" t="s">
        <v>2</v>
      </c>
      <c r="S67" s="27" t="s">
        <v>103</v>
      </c>
      <c r="T67" s="18" t="s">
        <v>2</v>
      </c>
      <c r="U67" s="18" t="s">
        <v>103</v>
      </c>
      <c r="V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row>
    <row r="68" spans="1:88" ht="27.95" customHeight="1" x14ac:dyDescent="0.3">
      <c r="B68" s="16" t="s">
        <v>93</v>
      </c>
      <c r="C68" s="16"/>
      <c r="D68" s="16"/>
      <c r="E68" s="16"/>
      <c r="F68" s="94">
        <f>+SUM(F69:F77)</f>
        <v>14292.018510828713</v>
      </c>
      <c r="G68" s="94">
        <f t="shared" ref="G68:U68" si="86">+SUM(G69:G77)</f>
        <v>0</v>
      </c>
      <c r="H68" s="94">
        <f t="shared" si="86"/>
        <v>1010.0065990325302</v>
      </c>
      <c r="I68" s="94">
        <f t="shared" si="86"/>
        <v>0</v>
      </c>
      <c r="J68" s="94">
        <f t="shared" si="86"/>
        <v>208.79718640578531</v>
      </c>
      <c r="K68" s="94">
        <f t="shared" si="86"/>
        <v>0</v>
      </c>
      <c r="L68" s="94">
        <f t="shared" si="86"/>
        <v>74.366165857350296</v>
      </c>
      <c r="M68" s="94">
        <f t="shared" si="86"/>
        <v>0</v>
      </c>
      <c r="N68" s="94">
        <f t="shared" si="86"/>
        <v>33.365331900944398</v>
      </c>
      <c r="O68" s="94">
        <f t="shared" si="86"/>
        <v>0</v>
      </c>
      <c r="P68" s="94">
        <f t="shared" si="86"/>
        <v>33.365331900944398</v>
      </c>
      <c r="Q68" s="94">
        <f t="shared" si="86"/>
        <v>0</v>
      </c>
      <c r="R68" s="94">
        <f t="shared" si="86"/>
        <v>33.365331900944398</v>
      </c>
      <c r="S68" s="94">
        <f t="shared" si="86"/>
        <v>0</v>
      </c>
      <c r="T68" s="94">
        <f>+SUM(T69:T77)</f>
        <v>31.975109738405092</v>
      </c>
      <c r="U68" s="94">
        <f t="shared" si="86"/>
        <v>0</v>
      </c>
      <c r="V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row>
    <row r="69" spans="1:88" ht="27.95" customHeight="1" x14ac:dyDescent="0.3">
      <c r="A69" s="87"/>
      <c r="B69" s="9" t="s">
        <v>7</v>
      </c>
      <c r="C69" s="9" t="s">
        <v>8</v>
      </c>
      <c r="D69" s="9" t="s">
        <v>2</v>
      </c>
      <c r="E69" s="9" t="s">
        <v>93</v>
      </c>
      <c r="F69" s="96">
        <v>572.52541062824798</v>
      </c>
      <c r="G69" s="96">
        <v>0</v>
      </c>
      <c r="H69" s="96">
        <v>720.33184954042395</v>
      </c>
      <c r="I69" s="96">
        <v>0</v>
      </c>
      <c r="J69" s="96">
        <v>0</v>
      </c>
      <c r="K69" s="96">
        <v>0</v>
      </c>
      <c r="L69" s="96">
        <v>0</v>
      </c>
      <c r="M69" s="96">
        <v>0</v>
      </c>
      <c r="N69" s="96">
        <v>0</v>
      </c>
      <c r="O69" s="96">
        <v>0</v>
      </c>
      <c r="P69" s="96">
        <v>0</v>
      </c>
      <c r="Q69" s="96">
        <v>0</v>
      </c>
      <c r="R69" s="96">
        <v>0</v>
      </c>
      <c r="S69" s="96">
        <v>0</v>
      </c>
      <c r="T69" s="96">
        <v>0</v>
      </c>
      <c r="U69" s="96">
        <v>0</v>
      </c>
      <c r="V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row>
    <row r="70" spans="1:88" ht="27.95" customHeight="1" x14ac:dyDescent="0.3">
      <c r="A70" s="87"/>
      <c r="B70" s="9" t="s">
        <v>217</v>
      </c>
      <c r="C70" s="9" t="s">
        <v>216</v>
      </c>
      <c r="D70" s="9" t="str">
        <f t="shared" ref="D70:D77" si="87">+VLOOKUP($C70,$C$10:$D$46,2,FALSE)</f>
        <v>Pesos</v>
      </c>
      <c r="E70" s="9" t="s">
        <v>93</v>
      </c>
      <c r="F70" s="96">
        <v>0</v>
      </c>
      <c r="G70" s="96">
        <v>0</v>
      </c>
      <c r="H70" s="96">
        <v>8.3413329752361101</v>
      </c>
      <c r="I70" s="96">
        <v>0</v>
      </c>
      <c r="J70" s="96">
        <v>33.365331900944398</v>
      </c>
      <c r="K70" s="96">
        <v>0</v>
      </c>
      <c r="L70" s="96">
        <v>33.365331900944398</v>
      </c>
      <c r="M70" s="96">
        <v>0</v>
      </c>
      <c r="N70" s="96">
        <v>33.365331900944398</v>
      </c>
      <c r="O70" s="96">
        <v>0</v>
      </c>
      <c r="P70" s="96">
        <v>33.365331900944398</v>
      </c>
      <c r="Q70" s="96">
        <v>0</v>
      </c>
      <c r="R70" s="96">
        <v>33.365331900944398</v>
      </c>
      <c r="S70" s="96">
        <v>0</v>
      </c>
      <c r="T70" s="96">
        <v>31.975109738405092</v>
      </c>
      <c r="U70" s="96">
        <v>0</v>
      </c>
      <c r="V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row>
    <row r="71" spans="1:88" ht="27.95" customHeight="1" x14ac:dyDescent="0.3">
      <c r="A71" s="87"/>
      <c r="B71" s="9" t="s">
        <v>9</v>
      </c>
      <c r="C71" s="9" t="s">
        <v>10</v>
      </c>
      <c r="D71" s="9" t="str">
        <f t="shared" si="87"/>
        <v>Pesos</v>
      </c>
      <c r="E71" s="9" t="s">
        <v>93</v>
      </c>
      <c r="F71" s="96">
        <v>120.750744654402</v>
      </c>
      <c r="G71" s="96">
        <v>0</v>
      </c>
      <c r="H71" s="96">
        <v>129.62798385843502</v>
      </c>
      <c r="I71" s="96">
        <v>0</v>
      </c>
      <c r="J71" s="96">
        <v>129.62798385843502</v>
      </c>
      <c r="K71" s="96">
        <v>0</v>
      </c>
      <c r="L71" s="96">
        <v>21.604663976405899</v>
      </c>
      <c r="M71" s="96">
        <v>0</v>
      </c>
      <c r="N71" s="96">
        <v>0</v>
      </c>
      <c r="O71" s="96">
        <v>0</v>
      </c>
      <c r="P71" s="96">
        <v>0</v>
      </c>
      <c r="Q71" s="96">
        <v>0</v>
      </c>
      <c r="R71" s="96">
        <v>0</v>
      </c>
      <c r="S71" s="96">
        <v>0</v>
      </c>
      <c r="T71" s="96">
        <v>0</v>
      </c>
      <c r="U71" s="96">
        <v>0</v>
      </c>
      <c r="V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row>
    <row r="72" spans="1:88" ht="27.95" customHeight="1" x14ac:dyDescent="0.3">
      <c r="A72" s="87"/>
      <c r="B72" s="9" t="s">
        <v>11</v>
      </c>
      <c r="C72" s="9" t="s">
        <v>12</v>
      </c>
      <c r="D72" s="9" t="str">
        <f t="shared" si="87"/>
        <v>Pesos</v>
      </c>
      <c r="E72" s="9" t="s">
        <v>93</v>
      </c>
      <c r="F72" s="96">
        <v>20.167955399999997</v>
      </c>
      <c r="G72" s="96">
        <v>0</v>
      </c>
      <c r="H72" s="96">
        <v>22.077448799999999</v>
      </c>
      <c r="I72" s="96">
        <v>0</v>
      </c>
      <c r="J72" s="96">
        <v>24.199206670000002</v>
      </c>
      <c r="K72" s="96">
        <v>0</v>
      </c>
      <c r="L72" s="96">
        <v>19.39616998</v>
      </c>
      <c r="M72" s="96">
        <v>0</v>
      </c>
      <c r="N72" s="96">
        <v>0</v>
      </c>
      <c r="O72" s="96">
        <v>0</v>
      </c>
      <c r="P72" s="96">
        <v>0</v>
      </c>
      <c r="Q72" s="96">
        <v>0</v>
      </c>
      <c r="R72" s="96">
        <v>0</v>
      </c>
      <c r="S72" s="96">
        <v>0</v>
      </c>
      <c r="T72" s="96">
        <v>0</v>
      </c>
      <c r="U72" s="96">
        <v>0</v>
      </c>
      <c r="V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row>
    <row r="73" spans="1:88" ht="27.95" customHeight="1" x14ac:dyDescent="0.3">
      <c r="A73" s="87"/>
      <c r="B73" s="9" t="s">
        <v>13</v>
      </c>
      <c r="C73" s="9" t="s">
        <v>14</v>
      </c>
      <c r="D73" s="9" t="str">
        <f t="shared" si="87"/>
        <v>Pesos</v>
      </c>
      <c r="E73" s="9" t="s">
        <v>93</v>
      </c>
      <c r="F73" s="96">
        <v>120.750744654402</v>
      </c>
      <c r="G73" s="96">
        <v>0</v>
      </c>
      <c r="H73" s="96">
        <v>129.62798385843502</v>
      </c>
      <c r="I73" s="96">
        <v>0</v>
      </c>
      <c r="J73" s="96">
        <v>21.604663976405899</v>
      </c>
      <c r="K73" s="96">
        <v>0</v>
      </c>
      <c r="L73" s="96">
        <v>0</v>
      </c>
      <c r="M73" s="96">
        <v>0</v>
      </c>
      <c r="N73" s="96">
        <v>0</v>
      </c>
      <c r="O73" s="96">
        <v>0</v>
      </c>
      <c r="P73" s="96">
        <v>0</v>
      </c>
      <c r="Q73" s="96">
        <v>0</v>
      </c>
      <c r="R73" s="96">
        <v>0</v>
      </c>
      <c r="S73" s="96">
        <v>0</v>
      </c>
      <c r="T73" s="96">
        <v>0</v>
      </c>
      <c r="U73" s="96">
        <v>0</v>
      </c>
      <c r="V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CJ73" s="139"/>
    </row>
    <row r="74" spans="1:88" ht="27.95" customHeight="1" x14ac:dyDescent="0.3">
      <c r="A74" s="87"/>
      <c r="B74" s="9" t="s">
        <v>129</v>
      </c>
      <c r="C74" s="9" t="s">
        <v>130</v>
      </c>
      <c r="D74" s="9" t="s">
        <v>2</v>
      </c>
      <c r="E74" s="9" t="s">
        <v>93</v>
      </c>
      <c r="F74" s="96">
        <v>4833.8424209222603</v>
      </c>
      <c r="G74" s="96">
        <v>0</v>
      </c>
      <c r="H74" s="96">
        <v>0</v>
      </c>
      <c r="I74" s="96">
        <v>0</v>
      </c>
      <c r="J74" s="96">
        <v>0</v>
      </c>
      <c r="K74" s="96">
        <v>0</v>
      </c>
      <c r="L74" s="96">
        <v>0</v>
      </c>
      <c r="M74" s="96">
        <v>0</v>
      </c>
      <c r="N74" s="96">
        <v>0</v>
      </c>
      <c r="O74" s="96">
        <v>0</v>
      </c>
      <c r="P74" s="96">
        <v>0</v>
      </c>
      <c r="Q74" s="96">
        <v>0</v>
      </c>
      <c r="R74" s="96">
        <v>0</v>
      </c>
      <c r="S74" s="96">
        <v>0</v>
      </c>
      <c r="T74" s="96">
        <v>0</v>
      </c>
      <c r="U74" s="96">
        <v>0</v>
      </c>
      <c r="V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row>
    <row r="75" spans="1:88" ht="27.95" customHeight="1" x14ac:dyDescent="0.3">
      <c r="A75" s="87"/>
      <c r="B75" s="9" t="s">
        <v>124</v>
      </c>
      <c r="C75" s="9" t="s">
        <v>125</v>
      </c>
      <c r="D75" s="9" t="s">
        <v>2</v>
      </c>
      <c r="E75" s="9" t="s">
        <v>93</v>
      </c>
      <c r="F75" s="96">
        <v>3391.8435165982601</v>
      </c>
      <c r="G75" s="96">
        <v>0</v>
      </c>
      <c r="H75" s="96">
        <v>0</v>
      </c>
      <c r="I75" s="96">
        <v>0</v>
      </c>
      <c r="J75" s="96">
        <v>0</v>
      </c>
      <c r="K75" s="96">
        <v>0</v>
      </c>
      <c r="L75" s="96">
        <v>0</v>
      </c>
      <c r="M75" s="96">
        <v>0</v>
      </c>
      <c r="N75" s="96">
        <v>0</v>
      </c>
      <c r="O75" s="96">
        <v>0</v>
      </c>
      <c r="P75" s="96">
        <v>0</v>
      </c>
      <c r="Q75" s="96">
        <v>0</v>
      </c>
      <c r="R75" s="96">
        <v>0</v>
      </c>
      <c r="S75" s="96">
        <v>0</v>
      </c>
      <c r="T75" s="96">
        <v>0</v>
      </c>
      <c r="U75" s="96">
        <v>0</v>
      </c>
      <c r="V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row>
    <row r="76" spans="1:88" ht="27.95" customHeight="1" x14ac:dyDescent="0.3">
      <c r="A76" s="87"/>
      <c r="B76" s="9" t="s">
        <v>3</v>
      </c>
      <c r="C76" s="9" t="s">
        <v>4</v>
      </c>
      <c r="D76" s="9" t="s">
        <v>2</v>
      </c>
      <c r="E76" s="9" t="s">
        <v>93</v>
      </c>
      <c r="F76" s="96">
        <v>5232.1377179711399</v>
      </c>
      <c r="G76" s="96">
        <v>0</v>
      </c>
      <c r="H76" s="96">
        <v>0</v>
      </c>
      <c r="I76" s="96">
        <v>0</v>
      </c>
      <c r="J76" s="96">
        <v>0</v>
      </c>
      <c r="K76" s="96">
        <v>0</v>
      </c>
      <c r="L76" s="96">
        <v>0</v>
      </c>
      <c r="M76" s="96">
        <v>0</v>
      </c>
      <c r="N76" s="96">
        <v>0</v>
      </c>
      <c r="O76" s="96">
        <v>0</v>
      </c>
      <c r="P76" s="96">
        <v>0</v>
      </c>
      <c r="Q76" s="96">
        <v>0</v>
      </c>
      <c r="R76" s="96">
        <v>0</v>
      </c>
      <c r="S76" s="96">
        <v>0</v>
      </c>
      <c r="T76" s="96">
        <v>0</v>
      </c>
      <c r="U76" s="96">
        <v>0</v>
      </c>
      <c r="V76" s="101"/>
      <c r="W76" s="99"/>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row>
    <row r="77" spans="1:88" ht="27.95" customHeight="1" x14ac:dyDescent="0.3">
      <c r="A77" s="87"/>
      <c r="B77" s="9" t="s">
        <v>5</v>
      </c>
      <c r="C77" s="9" t="s">
        <v>6</v>
      </c>
      <c r="D77" s="9" t="str">
        <f t="shared" si="87"/>
        <v>Pesos</v>
      </c>
      <c r="E77" s="9" t="s">
        <v>93</v>
      </c>
      <c r="F77" s="96">
        <v>0</v>
      </c>
      <c r="G77" s="96">
        <v>0</v>
      </c>
      <c r="H77" s="96">
        <v>0</v>
      </c>
      <c r="I77" s="96">
        <v>0</v>
      </c>
      <c r="J77" s="96">
        <v>0</v>
      </c>
      <c r="K77" s="96">
        <v>0</v>
      </c>
      <c r="L77" s="96">
        <v>0</v>
      </c>
      <c r="M77" s="96">
        <v>0</v>
      </c>
      <c r="N77" s="96">
        <v>0</v>
      </c>
      <c r="O77" s="96">
        <v>0</v>
      </c>
      <c r="P77" s="96">
        <v>0</v>
      </c>
      <c r="Q77" s="96">
        <v>0</v>
      </c>
      <c r="R77" s="96">
        <v>0</v>
      </c>
      <c r="S77" s="96">
        <v>0</v>
      </c>
      <c r="T77" s="96">
        <v>0</v>
      </c>
      <c r="U77" s="96">
        <v>0</v>
      </c>
      <c r="V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row>
    <row r="78" spans="1:88" ht="27.95" customHeight="1" x14ac:dyDescent="0.3">
      <c r="A78" s="87"/>
      <c r="B78" s="16" t="s">
        <v>94</v>
      </c>
      <c r="C78" s="16"/>
      <c r="D78" s="16"/>
      <c r="E78" s="16"/>
      <c r="F78" s="94">
        <f>+F79</f>
        <v>4306.9815159600003</v>
      </c>
      <c r="G78" s="94">
        <f t="shared" ref="G78:U78" si="88">+G79</f>
        <v>0</v>
      </c>
      <c r="H78" s="94">
        <f t="shared" si="88"/>
        <v>4306.9815159600003</v>
      </c>
      <c r="I78" s="94">
        <f t="shared" si="88"/>
        <v>0</v>
      </c>
      <c r="J78" s="94">
        <f t="shared" si="88"/>
        <v>4306.9815159600003</v>
      </c>
      <c r="K78" s="94">
        <f t="shared" si="88"/>
        <v>0</v>
      </c>
      <c r="L78" s="94">
        <f t="shared" si="88"/>
        <v>4306.9815159600003</v>
      </c>
      <c r="M78" s="94">
        <f t="shared" si="88"/>
        <v>0</v>
      </c>
      <c r="N78" s="94">
        <f t="shared" si="88"/>
        <v>1794.5756316499999</v>
      </c>
      <c r="O78" s="94">
        <f t="shared" si="88"/>
        <v>0</v>
      </c>
      <c r="P78" s="94">
        <f t="shared" si="88"/>
        <v>0</v>
      </c>
      <c r="Q78" s="94">
        <f t="shared" si="88"/>
        <v>0</v>
      </c>
      <c r="R78" s="94">
        <f t="shared" si="88"/>
        <v>0</v>
      </c>
      <c r="S78" s="94">
        <f t="shared" si="88"/>
        <v>0</v>
      </c>
      <c r="T78" s="94">
        <f t="shared" si="88"/>
        <v>0</v>
      </c>
      <c r="U78" s="94">
        <f t="shared" si="88"/>
        <v>0</v>
      </c>
      <c r="V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row>
    <row r="79" spans="1:88" ht="27.95" customHeight="1" x14ac:dyDescent="0.3">
      <c r="A79" s="87"/>
      <c r="B79" s="9" t="s">
        <v>154</v>
      </c>
      <c r="C79" s="9" t="s">
        <v>155</v>
      </c>
      <c r="D79" s="9" t="str">
        <f>+VLOOKUP($C79,$C$10:$D$46,2,FALSE)</f>
        <v>Pesos</v>
      </c>
      <c r="E79" s="9" t="s">
        <v>94</v>
      </c>
      <c r="F79" s="96">
        <v>4306.9815159600003</v>
      </c>
      <c r="G79" s="96">
        <v>0</v>
      </c>
      <c r="H79" s="96">
        <v>4306.9815159600003</v>
      </c>
      <c r="I79" s="96">
        <v>0</v>
      </c>
      <c r="J79" s="96">
        <v>4306.9815159600003</v>
      </c>
      <c r="K79" s="96">
        <v>0</v>
      </c>
      <c r="L79" s="96">
        <v>4306.9815159600003</v>
      </c>
      <c r="M79" s="96">
        <v>0</v>
      </c>
      <c r="N79" s="96">
        <v>1794.5756316499999</v>
      </c>
      <c r="O79" s="96">
        <v>0</v>
      </c>
      <c r="P79" s="96">
        <v>0</v>
      </c>
      <c r="Q79" s="96">
        <v>0</v>
      </c>
      <c r="R79" s="96">
        <v>0</v>
      </c>
      <c r="S79" s="96">
        <v>0</v>
      </c>
      <c r="T79" s="96">
        <v>0</v>
      </c>
      <c r="U79" s="96">
        <v>0</v>
      </c>
      <c r="V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row>
    <row r="80" spans="1:88" ht="27.95" customHeight="1" x14ac:dyDescent="0.3">
      <c r="A80" s="87"/>
      <c r="B80" s="16" t="s">
        <v>15</v>
      </c>
      <c r="C80" s="16"/>
      <c r="D80" s="16"/>
      <c r="E80" s="16"/>
      <c r="F80" s="94">
        <f>+SUM(F81,F93)</f>
        <v>0</v>
      </c>
      <c r="G80" s="94">
        <f t="shared" ref="G80:U80" si="89">+SUM(G81,G93)</f>
        <v>16.248643775276598</v>
      </c>
      <c r="H80" s="94">
        <f t="shared" si="89"/>
        <v>0</v>
      </c>
      <c r="I80" s="94">
        <f t="shared" si="89"/>
        <v>16.342787942947979</v>
      </c>
      <c r="J80" s="94">
        <f t="shared" si="89"/>
        <v>0</v>
      </c>
      <c r="K80" s="94">
        <f t="shared" si="89"/>
        <v>18.05638464014087</v>
      </c>
      <c r="L80" s="94">
        <f t="shared" si="89"/>
        <v>0</v>
      </c>
      <c r="M80" s="94">
        <f t="shared" si="89"/>
        <v>13.453521973583669</v>
      </c>
      <c r="N80" s="94">
        <f t="shared" si="89"/>
        <v>0</v>
      </c>
      <c r="O80" s="94">
        <f t="shared" si="89"/>
        <v>13.453854053583669</v>
      </c>
      <c r="P80" s="94">
        <f t="shared" si="89"/>
        <v>0</v>
      </c>
      <c r="Q80" s="94">
        <f t="shared" si="89"/>
        <v>13.454190103583668</v>
      </c>
      <c r="R80" s="94">
        <f t="shared" si="89"/>
        <v>0</v>
      </c>
      <c r="S80" s="94">
        <f t="shared" si="89"/>
        <v>13.454530163583669</v>
      </c>
      <c r="T80" s="94">
        <f t="shared" si="89"/>
        <v>0</v>
      </c>
      <c r="U80" s="94">
        <f t="shared" si="89"/>
        <v>13.154925352889226</v>
      </c>
      <c r="V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BL80" s="137"/>
      <c r="BM80" s="137"/>
      <c r="BN80" s="137"/>
      <c r="BO80" s="137"/>
      <c r="BP80" s="137"/>
      <c r="BQ80" s="137"/>
      <c r="BR80" s="137"/>
      <c r="BS80" s="137"/>
      <c r="BT80" s="137"/>
      <c r="BU80" s="137"/>
      <c r="BV80" s="137"/>
    </row>
    <row r="81" spans="1:74" ht="27.95" customHeight="1" x14ac:dyDescent="0.3">
      <c r="A81" s="87"/>
      <c r="B81" s="17" t="s">
        <v>16</v>
      </c>
      <c r="C81" s="17"/>
      <c r="D81" s="17"/>
      <c r="E81" s="17"/>
      <c r="F81" s="100">
        <f>+SUM(F82:F92)</f>
        <v>0</v>
      </c>
      <c r="G81" s="100">
        <f t="shared" ref="G81:U81" si="90">+SUM(G82:G92)</f>
        <v>14.464086072419457</v>
      </c>
      <c r="H81" s="100">
        <f t="shared" si="90"/>
        <v>0</v>
      </c>
      <c r="I81" s="100">
        <f t="shared" si="90"/>
        <v>14.558230240090838</v>
      </c>
      <c r="J81" s="100">
        <f t="shared" si="90"/>
        <v>0</v>
      </c>
      <c r="K81" s="100">
        <f t="shared" si="90"/>
        <v>15.892409571450397</v>
      </c>
      <c r="L81" s="100">
        <f t="shared" si="90"/>
        <v>0</v>
      </c>
      <c r="M81" s="100">
        <f t="shared" si="90"/>
        <v>11.211884973913723</v>
      </c>
      <c r="N81" s="100">
        <f t="shared" si="90"/>
        <v>0</v>
      </c>
      <c r="O81" s="100">
        <f t="shared" si="90"/>
        <v>11.212217053913722</v>
      </c>
      <c r="P81" s="100">
        <f t="shared" si="90"/>
        <v>0</v>
      </c>
      <c r="Q81" s="100">
        <f t="shared" si="90"/>
        <v>11.212553103913722</v>
      </c>
      <c r="R81" s="100">
        <f t="shared" si="90"/>
        <v>0</v>
      </c>
      <c r="S81" s="100">
        <f t="shared" si="90"/>
        <v>11.212893163913723</v>
      </c>
      <c r="T81" s="100">
        <f t="shared" si="90"/>
        <v>0</v>
      </c>
      <c r="U81" s="100">
        <f t="shared" si="90"/>
        <v>10.85005212558039</v>
      </c>
      <c r="V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row>
    <row r="82" spans="1:74" ht="27.95" customHeight="1" x14ac:dyDescent="0.3">
      <c r="A82" s="87"/>
      <c r="B82" s="9" t="s">
        <v>23</v>
      </c>
      <c r="C82" s="9" t="s">
        <v>24</v>
      </c>
      <c r="D82" s="9" t="str">
        <f t="shared" ref="D82:D86" si="91">+VLOOKUP($C82,$C$10:$D$46,2,FALSE)</f>
        <v>USD</v>
      </c>
      <c r="E82" s="9" t="s">
        <v>96</v>
      </c>
      <c r="F82" s="96">
        <v>0</v>
      </c>
      <c r="G82" s="96">
        <v>2.5338304935614002</v>
      </c>
      <c r="H82" s="96">
        <v>0</v>
      </c>
      <c r="I82" s="96">
        <v>2.5612265689638711</v>
      </c>
      <c r="J82" s="96">
        <v>0</v>
      </c>
      <c r="K82" s="96">
        <v>2.5412667102166986</v>
      </c>
      <c r="L82" s="96">
        <v>0</v>
      </c>
      <c r="M82" s="96">
        <v>2.5412667102166986</v>
      </c>
      <c r="N82" s="96">
        <v>0</v>
      </c>
      <c r="O82" s="96">
        <v>2.5412667102166986</v>
      </c>
      <c r="P82" s="96">
        <v>0</v>
      </c>
      <c r="Q82" s="96">
        <v>2.5412667102166986</v>
      </c>
      <c r="R82" s="96">
        <v>0</v>
      </c>
      <c r="S82" s="96">
        <v>2.5412667102166986</v>
      </c>
      <c r="T82" s="96">
        <v>0</v>
      </c>
      <c r="U82" s="96">
        <v>2.5412667102166986</v>
      </c>
      <c r="V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row>
    <row r="83" spans="1:74" ht="27.95" customHeight="1" x14ac:dyDescent="0.3">
      <c r="A83" s="87"/>
      <c r="B83" s="9" t="s">
        <v>17</v>
      </c>
      <c r="C83" s="9" t="s">
        <v>18</v>
      </c>
      <c r="D83" s="9" t="str">
        <f t="shared" si="91"/>
        <v>USD</v>
      </c>
      <c r="E83" s="9" t="s">
        <v>96</v>
      </c>
      <c r="F83" s="96">
        <v>0</v>
      </c>
      <c r="G83" s="96">
        <v>2.8515320943328861</v>
      </c>
      <c r="H83" s="96">
        <v>0</v>
      </c>
      <c r="I83" s="96">
        <v>2.8515320943328861</v>
      </c>
      <c r="J83" s="96">
        <v>0</v>
      </c>
      <c r="K83" s="96">
        <v>2.8515320943328861</v>
      </c>
      <c r="L83" s="96">
        <v>0</v>
      </c>
      <c r="M83" s="96">
        <v>2.8515320943328861</v>
      </c>
      <c r="N83" s="96">
        <v>0</v>
      </c>
      <c r="O83" s="96">
        <v>2.8515320943328861</v>
      </c>
      <c r="P83" s="96">
        <v>0</v>
      </c>
      <c r="Q83" s="96">
        <v>2.8515320943328861</v>
      </c>
      <c r="R83" s="96">
        <v>0</v>
      </c>
      <c r="S83" s="96">
        <v>2.8515320943328861</v>
      </c>
      <c r="T83" s="96">
        <v>0</v>
      </c>
      <c r="U83" s="96">
        <v>2.8515320943328861</v>
      </c>
      <c r="V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row>
    <row r="84" spans="1:74" ht="27.95" customHeight="1" x14ac:dyDescent="0.3">
      <c r="A84" s="87"/>
      <c r="B84" s="9" t="s">
        <v>19</v>
      </c>
      <c r="C84" s="9" t="s">
        <v>20</v>
      </c>
      <c r="D84" s="9" t="str">
        <f t="shared" si="91"/>
        <v>USD</v>
      </c>
      <c r="E84" s="9" t="s">
        <v>96</v>
      </c>
      <c r="F84" s="96">
        <v>0</v>
      </c>
      <c r="G84" s="96">
        <v>2.8918855299999984</v>
      </c>
      <c r="H84" s="96">
        <v>0</v>
      </c>
      <c r="I84" s="96">
        <v>2.891885519999998</v>
      </c>
      <c r="J84" s="96">
        <v>0</v>
      </c>
      <c r="K84" s="96">
        <v>2.891885519999998</v>
      </c>
      <c r="L84" s="96">
        <v>0</v>
      </c>
      <c r="M84" s="96">
        <v>2.891885519999998</v>
      </c>
      <c r="N84" s="96">
        <v>0</v>
      </c>
      <c r="O84" s="96">
        <v>2.891885519999998</v>
      </c>
      <c r="P84" s="96">
        <v>0</v>
      </c>
      <c r="Q84" s="96">
        <v>2.891885519999998</v>
      </c>
      <c r="R84" s="96">
        <v>0</v>
      </c>
      <c r="S84" s="96">
        <v>2.891885519999998</v>
      </c>
      <c r="T84" s="96">
        <v>0</v>
      </c>
      <c r="U84" s="96">
        <v>2.5303998299999999</v>
      </c>
      <c r="V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row>
    <row r="85" spans="1:74" ht="27.95" customHeight="1" x14ac:dyDescent="0.3">
      <c r="A85" s="87"/>
      <c r="B85" s="9" t="s">
        <v>133</v>
      </c>
      <c r="C85" s="9" t="s">
        <v>134</v>
      </c>
      <c r="D85" s="9" t="str">
        <f t="shared" si="91"/>
        <v>USD</v>
      </c>
      <c r="E85" s="9" t="s">
        <v>96</v>
      </c>
      <c r="F85" s="96">
        <v>0</v>
      </c>
      <c r="G85" s="96">
        <v>0</v>
      </c>
      <c r="H85" s="96">
        <v>0</v>
      </c>
      <c r="I85" s="96">
        <v>0</v>
      </c>
      <c r="J85" s="96">
        <v>0</v>
      </c>
      <c r="K85" s="96">
        <v>1.36575</v>
      </c>
      <c r="L85" s="96">
        <v>0</v>
      </c>
      <c r="M85" s="96">
        <v>1.36575</v>
      </c>
      <c r="N85" s="96">
        <v>0</v>
      </c>
      <c r="O85" s="96">
        <v>1.36575</v>
      </c>
      <c r="P85" s="96">
        <v>0</v>
      </c>
      <c r="Q85" s="96">
        <v>1.36575</v>
      </c>
      <c r="R85" s="96">
        <v>0</v>
      </c>
      <c r="S85" s="96">
        <v>1.36575</v>
      </c>
      <c r="T85" s="96">
        <v>0</v>
      </c>
      <c r="U85" s="96">
        <v>1.36575</v>
      </c>
      <c r="V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row>
    <row r="86" spans="1:74" ht="27.95" customHeight="1" x14ac:dyDescent="0.3">
      <c r="A86" s="87"/>
      <c r="B86" s="9" t="s">
        <v>27</v>
      </c>
      <c r="C86" s="9" t="s">
        <v>28</v>
      </c>
      <c r="D86" s="9" t="str">
        <f t="shared" si="91"/>
        <v>USD</v>
      </c>
      <c r="E86" s="9" t="s">
        <v>96</v>
      </c>
      <c r="F86" s="96">
        <v>0</v>
      </c>
      <c r="G86" s="96">
        <v>0.62821235128457309</v>
      </c>
      <c r="H86" s="96">
        <v>0</v>
      </c>
      <c r="I86" s="96">
        <v>0.72131042191605366</v>
      </c>
      <c r="J86" s="96">
        <v>0</v>
      </c>
      <c r="K86" s="96">
        <v>0.75993793384517283</v>
      </c>
      <c r="L86" s="96">
        <v>0</v>
      </c>
      <c r="M86" s="96">
        <v>0.75993793384517283</v>
      </c>
      <c r="N86" s="96">
        <v>0</v>
      </c>
      <c r="O86" s="96">
        <v>0.75993793384517283</v>
      </c>
      <c r="P86" s="96">
        <v>0</v>
      </c>
      <c r="Q86" s="96">
        <v>0.75993793384517283</v>
      </c>
      <c r="R86" s="96">
        <v>0</v>
      </c>
      <c r="S86" s="96">
        <v>0.75993793384517283</v>
      </c>
      <c r="T86" s="96">
        <v>0</v>
      </c>
      <c r="U86" s="96">
        <v>0.75993793384517283</v>
      </c>
      <c r="V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row>
    <row r="87" spans="1:74" ht="27.95" customHeight="1" x14ac:dyDescent="0.3">
      <c r="A87" s="87"/>
      <c r="B87" s="9" t="s">
        <v>21</v>
      </c>
      <c r="C87" s="9" t="s">
        <v>22</v>
      </c>
      <c r="D87" s="9" t="s">
        <v>103</v>
      </c>
      <c r="E87" s="9" t="s">
        <v>96</v>
      </c>
      <c r="F87" s="96">
        <v>0</v>
      </c>
      <c r="G87" s="96">
        <v>4.8708098557142856</v>
      </c>
      <c r="H87" s="96">
        <v>0</v>
      </c>
      <c r="I87" s="96">
        <v>4.8708098557142856</v>
      </c>
      <c r="J87" s="96">
        <v>0</v>
      </c>
      <c r="K87" s="96">
        <v>4.8708098557142856</v>
      </c>
      <c r="L87" s="96">
        <v>0</v>
      </c>
      <c r="M87" s="96">
        <v>0</v>
      </c>
      <c r="N87" s="96">
        <v>0</v>
      </c>
      <c r="O87" s="96">
        <v>0</v>
      </c>
      <c r="P87" s="96">
        <v>0</v>
      </c>
      <c r="Q87" s="96">
        <v>0</v>
      </c>
      <c r="R87" s="96">
        <v>0</v>
      </c>
      <c r="S87" s="96">
        <v>0</v>
      </c>
      <c r="T87" s="96">
        <v>0</v>
      </c>
      <c r="U87" s="96">
        <v>0</v>
      </c>
      <c r="V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row>
    <row r="88" spans="1:74" ht="27.95" customHeight="1" x14ac:dyDescent="0.3">
      <c r="A88" s="87"/>
      <c r="B88" s="9" t="s">
        <v>157</v>
      </c>
      <c r="C88" s="9" t="s">
        <v>32</v>
      </c>
      <c r="D88" s="9" t="s">
        <v>103</v>
      </c>
      <c r="E88" s="9" t="s">
        <v>96</v>
      </c>
      <c r="F88" s="96">
        <v>0</v>
      </c>
      <c r="G88" s="96">
        <v>0</v>
      </c>
      <c r="H88" s="96">
        <v>0</v>
      </c>
      <c r="I88" s="96">
        <v>0</v>
      </c>
      <c r="J88" s="96">
        <v>0</v>
      </c>
      <c r="K88" s="96">
        <v>0.18995710817761119</v>
      </c>
      <c r="L88" s="96">
        <v>0</v>
      </c>
      <c r="M88" s="96">
        <v>0.37991421635522238</v>
      </c>
      <c r="N88" s="96">
        <v>0</v>
      </c>
      <c r="O88" s="96">
        <v>0.37991421635522238</v>
      </c>
      <c r="P88" s="96">
        <v>0</v>
      </c>
      <c r="Q88" s="96">
        <v>0.37991421635522238</v>
      </c>
      <c r="R88" s="96">
        <v>0</v>
      </c>
      <c r="S88" s="96">
        <v>0.37991421635522238</v>
      </c>
      <c r="T88" s="96">
        <v>0</v>
      </c>
      <c r="U88" s="96">
        <v>0.37991421635522238</v>
      </c>
      <c r="V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row>
    <row r="89" spans="1:74" ht="27.95" customHeight="1" x14ac:dyDescent="0.3">
      <c r="A89" s="87"/>
      <c r="B89" s="9" t="s">
        <v>25</v>
      </c>
      <c r="C89" s="9" t="s">
        <v>26</v>
      </c>
      <c r="D89" s="9" t="s">
        <v>103</v>
      </c>
      <c r="E89" s="9" t="s">
        <v>96</v>
      </c>
      <c r="F89" s="96">
        <v>0</v>
      </c>
      <c r="G89" s="96">
        <v>0.39381705752631546</v>
      </c>
      <c r="H89" s="96">
        <v>0</v>
      </c>
      <c r="I89" s="96">
        <v>0.39381707916374237</v>
      </c>
      <c r="J89" s="96">
        <v>0</v>
      </c>
      <c r="K89" s="96">
        <v>0.39381707916374237</v>
      </c>
      <c r="L89" s="96">
        <v>0</v>
      </c>
      <c r="M89" s="96">
        <v>0.39381707916374237</v>
      </c>
      <c r="N89" s="96">
        <v>0</v>
      </c>
      <c r="O89" s="96">
        <v>0.39381707916374237</v>
      </c>
      <c r="P89" s="96">
        <v>0</v>
      </c>
      <c r="Q89" s="96">
        <v>0.39381707916374237</v>
      </c>
      <c r="R89" s="96">
        <v>0</v>
      </c>
      <c r="S89" s="96">
        <v>0.39381707916374237</v>
      </c>
      <c r="T89" s="96">
        <v>0</v>
      </c>
      <c r="U89" s="96">
        <v>0.39381707916374237</v>
      </c>
      <c r="V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row>
    <row r="90" spans="1:74" ht="27.95" customHeight="1" x14ac:dyDescent="0.3">
      <c r="A90" s="87"/>
      <c r="B90" s="198" t="s">
        <v>31</v>
      </c>
      <c r="C90" s="9" t="s">
        <v>32</v>
      </c>
      <c r="D90" s="9" t="str">
        <f>+VLOOKUP($C90,$C$10:$D$46,2,FALSE)</f>
        <v>USD</v>
      </c>
      <c r="E90" s="9" t="s">
        <v>96</v>
      </c>
      <c r="F90" s="96">
        <v>0</v>
      </c>
      <c r="G90" s="96">
        <v>2.6808540000000002E-2</v>
      </c>
      <c r="H90" s="96">
        <v>0</v>
      </c>
      <c r="I90" s="96">
        <v>2.7128990000000002E-2</v>
      </c>
      <c r="J90" s="96">
        <v>0</v>
      </c>
      <c r="K90" s="96">
        <v>2.7453270000000002E-2</v>
      </c>
      <c r="L90" s="96">
        <v>0</v>
      </c>
      <c r="M90" s="96">
        <v>2.7781419999999998E-2</v>
      </c>
      <c r="N90" s="96">
        <v>0</v>
      </c>
      <c r="O90" s="96">
        <v>2.81135E-2</v>
      </c>
      <c r="P90" s="96">
        <v>0</v>
      </c>
      <c r="Q90" s="96">
        <v>2.8449550000000004E-2</v>
      </c>
      <c r="R90" s="96">
        <v>0</v>
      </c>
      <c r="S90" s="96">
        <v>2.878961E-2</v>
      </c>
      <c r="T90" s="96">
        <v>0</v>
      </c>
      <c r="U90" s="96">
        <v>2.7434261666666668E-2</v>
      </c>
      <c r="V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row>
    <row r="91" spans="1:74" ht="27.95" customHeight="1" x14ac:dyDescent="0.3">
      <c r="A91" s="87"/>
      <c r="B91" s="9" t="s">
        <v>29</v>
      </c>
      <c r="C91" s="9" t="s">
        <v>30</v>
      </c>
      <c r="D91" s="9" t="str">
        <f>+VLOOKUP($C91,$C$10:$D$46,2,FALSE)</f>
        <v>USD</v>
      </c>
      <c r="E91" s="9" t="s">
        <v>96</v>
      </c>
      <c r="F91" s="96">
        <v>0</v>
      </c>
      <c r="G91" s="96">
        <v>0.24052004000000002</v>
      </c>
      <c r="H91" s="96">
        <v>0</v>
      </c>
      <c r="I91" s="96">
        <v>0.24051971000000044</v>
      </c>
      <c r="J91" s="96">
        <v>0</v>
      </c>
      <c r="K91" s="96">
        <v>0</v>
      </c>
      <c r="L91" s="96">
        <v>0</v>
      </c>
      <c r="M91" s="96">
        <v>0</v>
      </c>
      <c r="N91" s="96">
        <v>0</v>
      </c>
      <c r="O91" s="96">
        <v>0</v>
      </c>
      <c r="P91" s="96">
        <v>0</v>
      </c>
      <c r="Q91" s="96">
        <v>0</v>
      </c>
      <c r="R91" s="96">
        <v>0</v>
      </c>
      <c r="S91" s="96">
        <v>0</v>
      </c>
      <c r="T91" s="96">
        <v>0</v>
      </c>
      <c r="U91" s="96">
        <v>0</v>
      </c>
      <c r="V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row>
    <row r="92" spans="1:74" ht="27.95" customHeight="1" x14ac:dyDescent="0.3">
      <c r="A92" s="87"/>
      <c r="B92" s="198" t="s">
        <v>33</v>
      </c>
      <c r="C92" s="9" t="s">
        <v>34</v>
      </c>
      <c r="D92" s="9" t="str">
        <f>+VLOOKUP($C92,$C$10:$D$46,2,FALSE)</f>
        <v>USD</v>
      </c>
      <c r="E92" s="9" t="s">
        <v>96</v>
      </c>
      <c r="F92" s="96">
        <v>0</v>
      </c>
      <c r="G92" s="96">
        <v>2.667011E-2</v>
      </c>
      <c r="H92" s="96">
        <v>0</v>
      </c>
      <c r="I92" s="96">
        <v>0</v>
      </c>
      <c r="J92" s="96">
        <v>0</v>
      </c>
      <c r="K92" s="96">
        <v>0</v>
      </c>
      <c r="L92" s="96">
        <v>0</v>
      </c>
      <c r="M92" s="96">
        <v>0</v>
      </c>
      <c r="N92" s="96">
        <v>0</v>
      </c>
      <c r="O92" s="96">
        <v>0</v>
      </c>
      <c r="P92" s="96">
        <v>0</v>
      </c>
      <c r="Q92" s="96">
        <v>0</v>
      </c>
      <c r="R92" s="96">
        <v>0</v>
      </c>
      <c r="S92" s="96">
        <v>0</v>
      </c>
      <c r="T92" s="96">
        <v>0</v>
      </c>
      <c r="U92" s="96">
        <v>0</v>
      </c>
      <c r="V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row>
    <row r="93" spans="1:74" ht="27.95" customHeight="1" x14ac:dyDescent="0.3">
      <c r="A93" s="87"/>
      <c r="B93" s="17" t="s">
        <v>35</v>
      </c>
      <c r="C93" s="17"/>
      <c r="D93" s="17"/>
      <c r="E93" s="17"/>
      <c r="F93" s="100">
        <f>+SUM(F94:F96)</f>
        <v>0</v>
      </c>
      <c r="G93" s="100">
        <f t="shared" ref="G93:U93" si="92">+SUM(G94:G96)</f>
        <v>1.7845577028571411</v>
      </c>
      <c r="H93" s="100">
        <f t="shared" si="92"/>
        <v>0</v>
      </c>
      <c r="I93" s="100">
        <f t="shared" si="92"/>
        <v>1.7845577028571411</v>
      </c>
      <c r="J93" s="100">
        <f t="shared" si="92"/>
        <v>0</v>
      </c>
      <c r="K93" s="100">
        <f t="shared" si="92"/>
        <v>2.1639750686904744</v>
      </c>
      <c r="L93" s="100">
        <f t="shared" si="92"/>
        <v>0</v>
      </c>
      <c r="M93" s="100">
        <f t="shared" si="92"/>
        <v>2.2416369996699466</v>
      </c>
      <c r="N93" s="100">
        <f t="shared" si="92"/>
        <v>0</v>
      </c>
      <c r="O93" s="100">
        <f t="shared" si="92"/>
        <v>2.2416369996699466</v>
      </c>
      <c r="P93" s="100">
        <f t="shared" si="92"/>
        <v>0</v>
      </c>
      <c r="Q93" s="100">
        <f t="shared" si="92"/>
        <v>2.2416369996699466</v>
      </c>
      <c r="R93" s="100">
        <f t="shared" si="92"/>
        <v>0</v>
      </c>
      <c r="S93" s="100">
        <f t="shared" si="92"/>
        <v>2.2416369996699466</v>
      </c>
      <c r="T93" s="100">
        <f t="shared" si="92"/>
        <v>0</v>
      </c>
      <c r="U93" s="100">
        <f t="shared" si="92"/>
        <v>2.304873227308835</v>
      </c>
      <c r="V93" s="140"/>
      <c r="AC93" s="140"/>
      <c r="AD93" s="140"/>
      <c r="AE93" s="140"/>
      <c r="AF93" s="140"/>
      <c r="AG93" s="140"/>
      <c r="AH93" s="140"/>
      <c r="AI93" s="140"/>
      <c r="AJ93" s="140"/>
      <c r="AK93" s="140"/>
      <c r="AL93" s="140"/>
      <c r="AM93" s="140"/>
      <c r="AN93" s="140"/>
      <c r="AO93" s="140"/>
      <c r="AP93" s="140"/>
      <c r="AQ93" s="140"/>
      <c r="AR93" s="140"/>
      <c r="AS93" s="140"/>
      <c r="AT93" s="140"/>
      <c r="AU93" s="140"/>
      <c r="AV93" s="140"/>
      <c r="AW93" s="140"/>
      <c r="AX93" s="140"/>
      <c r="AY93" s="140"/>
      <c r="AZ93" s="140"/>
      <c r="BA93" s="140"/>
      <c r="BB93" s="140"/>
      <c r="BC93" s="140"/>
      <c r="BD93" s="140"/>
      <c r="BE93" s="140"/>
      <c r="BF93" s="140"/>
      <c r="BG93" s="140"/>
      <c r="BH93" s="140"/>
      <c r="BI93" s="140"/>
      <c r="BJ93" s="140"/>
      <c r="BK93" s="140"/>
      <c r="BL93" s="140"/>
      <c r="BM93" s="140"/>
      <c r="BN93" s="140"/>
      <c r="BO93" s="140"/>
      <c r="BP93" s="140"/>
      <c r="BQ93" s="140"/>
      <c r="BR93" s="140"/>
      <c r="BS93" s="140"/>
      <c r="BT93" s="140"/>
      <c r="BU93" s="140"/>
      <c r="BV93" s="140"/>
    </row>
    <row r="94" spans="1:74" ht="27.95" customHeight="1" x14ac:dyDescent="0.3">
      <c r="A94" s="87"/>
      <c r="B94" s="9" t="s">
        <v>36</v>
      </c>
      <c r="C94" s="9" t="s">
        <v>37</v>
      </c>
      <c r="D94" s="9" t="str">
        <f>+VLOOKUP($C94,$C$10:$D$46,2,FALSE)</f>
        <v>USD</v>
      </c>
      <c r="E94" s="9" t="s">
        <v>96</v>
      </c>
      <c r="F94" s="96">
        <v>0</v>
      </c>
      <c r="G94" s="96">
        <v>1.7845577028571411</v>
      </c>
      <c r="H94" s="96">
        <v>0</v>
      </c>
      <c r="I94" s="96">
        <v>1.7845577028571411</v>
      </c>
      <c r="J94" s="96">
        <v>0</v>
      </c>
      <c r="K94" s="96">
        <v>1.7845577028571411</v>
      </c>
      <c r="L94" s="96">
        <v>0</v>
      </c>
      <c r="M94" s="96">
        <v>1.7845577028571411</v>
      </c>
      <c r="N94" s="96">
        <v>0</v>
      </c>
      <c r="O94" s="96">
        <v>1.7845577028571411</v>
      </c>
      <c r="P94" s="96">
        <v>0</v>
      </c>
      <c r="Q94" s="96">
        <v>1.7845577028571411</v>
      </c>
      <c r="R94" s="96">
        <v>0</v>
      </c>
      <c r="S94" s="96">
        <v>1.7845577028571411</v>
      </c>
      <c r="T94" s="96">
        <v>0</v>
      </c>
      <c r="U94" s="96">
        <v>1.7845577028571407</v>
      </c>
      <c r="V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row>
    <row r="95" spans="1:74" ht="27.95" customHeight="1" x14ac:dyDescent="0.3">
      <c r="A95" s="87"/>
      <c r="B95" s="9" t="s">
        <v>186</v>
      </c>
      <c r="C95" s="9" t="s">
        <v>187</v>
      </c>
      <c r="D95" s="9" t="s">
        <v>103</v>
      </c>
      <c r="E95" s="9" t="s">
        <v>96</v>
      </c>
      <c r="F95" s="96">
        <v>0</v>
      </c>
      <c r="G95" s="96">
        <v>0</v>
      </c>
      <c r="H95" s="96">
        <v>0</v>
      </c>
      <c r="I95" s="96">
        <v>0</v>
      </c>
      <c r="J95" s="96">
        <v>0</v>
      </c>
      <c r="K95" s="96">
        <v>0.37941736583333335</v>
      </c>
      <c r="L95" s="96">
        <v>0</v>
      </c>
      <c r="M95" s="96">
        <v>0.37941736583333335</v>
      </c>
      <c r="N95" s="96">
        <v>0</v>
      </c>
      <c r="O95" s="96">
        <v>0.37941736583333335</v>
      </c>
      <c r="P95" s="96">
        <v>0</v>
      </c>
      <c r="Q95" s="96">
        <v>0.37941736583333335</v>
      </c>
      <c r="R95" s="96">
        <v>0</v>
      </c>
      <c r="S95" s="96">
        <v>0.37941736583333335</v>
      </c>
      <c r="T95" s="96">
        <v>0</v>
      </c>
      <c r="U95" s="96">
        <v>0.44265359347222222</v>
      </c>
      <c r="V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row>
    <row r="96" spans="1:74" ht="27.95" customHeight="1" x14ac:dyDescent="0.3">
      <c r="A96" s="87"/>
      <c r="B96" s="9" t="s">
        <v>159</v>
      </c>
      <c r="C96" s="9" t="s">
        <v>160</v>
      </c>
      <c r="D96" s="9" t="s">
        <v>103</v>
      </c>
      <c r="E96" s="9" t="s">
        <v>96</v>
      </c>
      <c r="F96" s="96">
        <v>0</v>
      </c>
      <c r="G96" s="96">
        <v>0</v>
      </c>
      <c r="H96" s="96">
        <v>0</v>
      </c>
      <c r="I96" s="96">
        <v>0</v>
      </c>
      <c r="J96" s="96">
        <v>0</v>
      </c>
      <c r="K96" s="96">
        <v>0</v>
      </c>
      <c r="L96" s="96">
        <v>0</v>
      </c>
      <c r="M96" s="96">
        <v>7.7661930979472049E-2</v>
      </c>
      <c r="N96" s="96">
        <v>0</v>
      </c>
      <c r="O96" s="96">
        <v>7.7661930979472049E-2</v>
      </c>
      <c r="P96" s="96">
        <v>0</v>
      </c>
      <c r="Q96" s="96">
        <v>7.7661930979472049E-2</v>
      </c>
      <c r="R96" s="96">
        <v>0</v>
      </c>
      <c r="S96" s="96">
        <v>7.7661930979472049E-2</v>
      </c>
      <c r="T96" s="96">
        <v>0</v>
      </c>
      <c r="U96" s="96">
        <v>7.7661930979472049E-2</v>
      </c>
      <c r="V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row>
    <row r="97" spans="1:86" ht="27.95" customHeight="1" x14ac:dyDescent="0.3">
      <c r="A97" s="87"/>
      <c r="B97" s="16" t="s">
        <v>97</v>
      </c>
      <c r="C97" s="16"/>
      <c r="D97" s="16"/>
      <c r="E97" s="16"/>
      <c r="F97" s="94">
        <f>+SUM(F98:F105)</f>
        <v>9998.1873002247085</v>
      </c>
      <c r="G97" s="94">
        <f t="shared" ref="G97:U97" si="93">+SUM(G98:G105)</f>
        <v>79.756692307692319</v>
      </c>
      <c r="H97" s="94">
        <f t="shared" si="93"/>
        <v>14011.725707546939</v>
      </c>
      <c r="I97" s="94">
        <f t="shared" si="93"/>
        <v>79.695538461538462</v>
      </c>
      <c r="J97" s="94">
        <f t="shared" si="93"/>
        <v>2036.6287105508209</v>
      </c>
      <c r="K97" s="94">
        <f t="shared" si="93"/>
        <v>79.695538461538462</v>
      </c>
      <c r="L97" s="94">
        <f t="shared" si="93"/>
        <v>813.10897683333303</v>
      </c>
      <c r="M97" s="94">
        <f t="shared" si="93"/>
        <v>79.695538461538462</v>
      </c>
      <c r="N97" s="94">
        <f t="shared" si="93"/>
        <v>813.10897683333303</v>
      </c>
      <c r="O97" s="94">
        <f t="shared" si="93"/>
        <v>79.695538461538462</v>
      </c>
      <c r="P97" s="94">
        <f t="shared" si="93"/>
        <v>813.10897683333303</v>
      </c>
      <c r="Q97" s="94">
        <f t="shared" si="93"/>
        <v>79.695538461538462</v>
      </c>
      <c r="R97" s="94">
        <f t="shared" si="93"/>
        <v>813.10897683333303</v>
      </c>
      <c r="S97" s="94">
        <f t="shared" si="93"/>
        <v>39.847769230769202</v>
      </c>
      <c r="T97" s="94">
        <f t="shared" si="93"/>
        <v>609.83173262499997</v>
      </c>
      <c r="U97" s="94">
        <f t="shared" si="93"/>
        <v>0</v>
      </c>
      <c r="V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row>
    <row r="98" spans="1:86" ht="27.95" customHeight="1" x14ac:dyDescent="0.3">
      <c r="A98" s="87"/>
      <c r="B98" s="9" t="s">
        <v>132</v>
      </c>
      <c r="C98" s="9" t="s">
        <v>131</v>
      </c>
      <c r="D98" s="9" t="str">
        <f>+VLOOKUP($C98,$C$10:$D$46,2,FALSE)</f>
        <v>USD</v>
      </c>
      <c r="E98" s="9" t="s">
        <v>97</v>
      </c>
      <c r="F98" s="96">
        <v>0</v>
      </c>
      <c r="G98" s="96">
        <v>79.756692307692319</v>
      </c>
      <c r="H98" s="96">
        <v>0</v>
      </c>
      <c r="I98" s="96">
        <v>79.695538461538462</v>
      </c>
      <c r="J98" s="96">
        <v>0</v>
      </c>
      <c r="K98" s="96">
        <v>79.695538461538462</v>
      </c>
      <c r="L98" s="96">
        <v>0</v>
      </c>
      <c r="M98" s="96">
        <v>79.695538461538462</v>
      </c>
      <c r="N98" s="96">
        <v>0</v>
      </c>
      <c r="O98" s="96">
        <v>79.695538461538462</v>
      </c>
      <c r="P98" s="96">
        <v>0</v>
      </c>
      <c r="Q98" s="96">
        <v>79.695538461538462</v>
      </c>
      <c r="R98" s="96">
        <v>0</v>
      </c>
      <c r="S98" s="96">
        <v>39.847769230769202</v>
      </c>
      <c r="T98" s="96">
        <v>0</v>
      </c>
      <c r="U98" s="96">
        <v>0</v>
      </c>
      <c r="V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row>
    <row r="99" spans="1:86" ht="27.95" customHeight="1" x14ac:dyDescent="0.3">
      <c r="A99" s="87"/>
      <c r="B99" s="9" t="s">
        <v>143</v>
      </c>
      <c r="C99" s="9" t="s">
        <v>144</v>
      </c>
      <c r="D99" s="9" t="str">
        <f>+VLOOKUP($C99,$C$10:$D$46,2,FALSE)</f>
        <v>Pesos</v>
      </c>
      <c r="E99" s="9" t="s">
        <v>97</v>
      </c>
      <c r="F99" s="96">
        <v>4500.9449077899999</v>
      </c>
      <c r="G99" s="96">
        <v>0</v>
      </c>
      <c r="H99" s="96">
        <v>9003.2402341122306</v>
      </c>
      <c r="I99" s="96">
        <v>0</v>
      </c>
      <c r="J99" s="96">
        <v>0</v>
      </c>
      <c r="K99" s="96">
        <v>0</v>
      </c>
      <c r="L99" s="96">
        <v>0</v>
      </c>
      <c r="M99" s="96">
        <v>0</v>
      </c>
      <c r="N99" s="96">
        <v>0</v>
      </c>
      <c r="O99" s="96">
        <v>0</v>
      </c>
      <c r="P99" s="96">
        <v>0</v>
      </c>
      <c r="Q99" s="96">
        <v>0</v>
      </c>
      <c r="R99" s="96">
        <v>0</v>
      </c>
      <c r="S99" s="96">
        <v>0</v>
      </c>
      <c r="T99" s="96">
        <v>0</v>
      </c>
      <c r="U99" s="96">
        <v>0</v>
      </c>
      <c r="V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row>
    <row r="100" spans="1:86" ht="27.95" customHeight="1" x14ac:dyDescent="0.3">
      <c r="A100" s="87"/>
      <c r="B100" s="9" t="s">
        <v>147</v>
      </c>
      <c r="C100" s="9" t="s">
        <v>148</v>
      </c>
      <c r="D100" s="9" t="s">
        <v>2</v>
      </c>
      <c r="E100" s="9" t="s">
        <v>97</v>
      </c>
      <c r="F100" s="96">
        <v>0</v>
      </c>
      <c r="G100" s="96">
        <v>0</v>
      </c>
      <c r="H100" s="96">
        <v>0</v>
      </c>
      <c r="I100" s="96">
        <v>0</v>
      </c>
      <c r="J100" s="96">
        <v>406.55448841666697</v>
      </c>
      <c r="K100" s="96">
        <v>0</v>
      </c>
      <c r="L100" s="96">
        <v>813.10897683333303</v>
      </c>
      <c r="M100" s="96">
        <v>0</v>
      </c>
      <c r="N100" s="96">
        <v>813.10897683333303</v>
      </c>
      <c r="O100" s="96">
        <v>0</v>
      </c>
      <c r="P100" s="96">
        <v>813.10897683333303</v>
      </c>
      <c r="Q100" s="96">
        <v>0</v>
      </c>
      <c r="R100" s="96">
        <v>813.10897683333303</v>
      </c>
      <c r="S100" s="96">
        <v>0</v>
      </c>
      <c r="T100" s="96">
        <v>609.83173262499997</v>
      </c>
      <c r="U100" s="96">
        <v>0</v>
      </c>
      <c r="V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c r="BI100" s="101"/>
      <c r="BJ100" s="101"/>
      <c r="BK100" s="101"/>
      <c r="BL100" s="101"/>
      <c r="BM100" s="101"/>
      <c r="BN100" s="101"/>
      <c r="BO100" s="101"/>
      <c r="BP100" s="101"/>
      <c r="BQ100" s="101"/>
      <c r="BR100" s="101"/>
      <c r="BS100" s="101"/>
      <c r="BT100" s="101"/>
      <c r="BU100" s="101"/>
      <c r="BV100" s="101"/>
    </row>
    <row r="101" spans="1:86" ht="27.95" customHeight="1" x14ac:dyDescent="0.3">
      <c r="A101" s="87"/>
      <c r="B101" s="9" t="s">
        <v>180</v>
      </c>
      <c r="C101" s="9" t="s">
        <v>182</v>
      </c>
      <c r="D101" s="9" t="s">
        <v>2</v>
      </c>
      <c r="E101" s="9" t="s">
        <v>97</v>
      </c>
      <c r="F101" s="96">
        <v>1219.1683330000001</v>
      </c>
      <c r="G101" s="96">
        <v>0</v>
      </c>
      <c r="H101" s="96">
        <v>2438.3366660000002</v>
      </c>
      <c r="I101" s="96">
        <v>0</v>
      </c>
      <c r="J101" s="96">
        <v>1219.1683330000001</v>
      </c>
      <c r="K101" s="96">
        <v>0</v>
      </c>
      <c r="L101" s="96">
        <v>0</v>
      </c>
      <c r="M101" s="96">
        <v>0</v>
      </c>
      <c r="N101" s="96">
        <v>0</v>
      </c>
      <c r="O101" s="96">
        <v>0</v>
      </c>
      <c r="P101" s="96">
        <v>0</v>
      </c>
      <c r="Q101" s="96">
        <v>0</v>
      </c>
      <c r="R101" s="96">
        <v>0</v>
      </c>
      <c r="S101" s="96">
        <v>0</v>
      </c>
      <c r="T101" s="96">
        <v>0</v>
      </c>
      <c r="U101" s="96">
        <v>0</v>
      </c>
      <c r="V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row>
    <row r="102" spans="1:86" ht="27.95" customHeight="1" x14ac:dyDescent="0.3">
      <c r="A102" s="87"/>
      <c r="B102" s="9" t="s">
        <v>181</v>
      </c>
      <c r="C102" s="9" t="s">
        <v>183</v>
      </c>
      <c r="D102" s="9" t="s">
        <v>2</v>
      </c>
      <c r="E102" s="9" t="s">
        <v>97</v>
      </c>
      <c r="F102" s="96">
        <v>877.70683699999995</v>
      </c>
      <c r="G102" s="96">
        <v>0</v>
      </c>
      <c r="H102" s="96">
        <v>1755.4136739999999</v>
      </c>
      <c r="I102" s="96">
        <v>0</v>
      </c>
      <c r="J102" s="96">
        <v>0</v>
      </c>
      <c r="K102" s="96">
        <v>0</v>
      </c>
      <c r="L102" s="96">
        <v>0</v>
      </c>
      <c r="M102" s="96">
        <v>0</v>
      </c>
      <c r="N102" s="96">
        <v>0</v>
      </c>
      <c r="O102" s="96">
        <v>0</v>
      </c>
      <c r="P102" s="96">
        <v>0</v>
      </c>
      <c r="Q102" s="96">
        <v>0</v>
      </c>
      <c r="R102" s="96">
        <v>0</v>
      </c>
      <c r="S102" s="96">
        <v>0</v>
      </c>
      <c r="T102" s="96">
        <v>0</v>
      </c>
      <c r="U102" s="96">
        <v>0</v>
      </c>
      <c r="V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row>
    <row r="103" spans="1:86" ht="27.95" customHeight="1" x14ac:dyDescent="0.3">
      <c r="A103" s="87"/>
      <c r="B103" s="9" t="s">
        <v>136</v>
      </c>
      <c r="C103" s="9" t="s">
        <v>137</v>
      </c>
      <c r="D103" s="9" t="s">
        <v>2</v>
      </c>
      <c r="E103" s="9" t="s">
        <v>97</v>
      </c>
      <c r="F103" s="96">
        <v>807.69230769230774</v>
      </c>
      <c r="G103" s="96">
        <v>0</v>
      </c>
      <c r="H103" s="96">
        <v>807.69230769230774</v>
      </c>
      <c r="I103" s="96">
        <v>0</v>
      </c>
      <c r="J103" s="96">
        <v>403.84615384615387</v>
      </c>
      <c r="K103" s="96">
        <v>0</v>
      </c>
      <c r="L103" s="96">
        <v>0</v>
      </c>
      <c r="M103" s="96">
        <v>0</v>
      </c>
      <c r="N103" s="96">
        <v>0</v>
      </c>
      <c r="O103" s="96">
        <v>0</v>
      </c>
      <c r="P103" s="96">
        <v>0</v>
      </c>
      <c r="Q103" s="96">
        <v>0</v>
      </c>
      <c r="R103" s="96">
        <v>0</v>
      </c>
      <c r="S103" s="96">
        <v>0</v>
      </c>
      <c r="T103" s="96">
        <v>0</v>
      </c>
      <c r="U103" s="96">
        <v>0</v>
      </c>
      <c r="V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row>
    <row r="104" spans="1:86" ht="27.95" customHeight="1" x14ac:dyDescent="0.3">
      <c r="A104" s="87"/>
      <c r="B104" s="9" t="s">
        <v>38</v>
      </c>
      <c r="C104" s="9" t="s">
        <v>39</v>
      </c>
      <c r="D104" s="9" t="s">
        <v>2</v>
      </c>
      <c r="E104" s="9" t="s">
        <v>97</v>
      </c>
      <c r="F104" s="96">
        <v>7.0428257423999998</v>
      </c>
      <c r="G104" s="96">
        <v>0</v>
      </c>
      <c r="H104" s="96">
        <v>7.0428257423999998</v>
      </c>
      <c r="I104" s="96">
        <v>0</v>
      </c>
      <c r="J104" s="96">
        <v>7.0597352879999997</v>
      </c>
      <c r="K104" s="96">
        <v>0</v>
      </c>
      <c r="L104" s="96">
        <v>0</v>
      </c>
      <c r="M104" s="96">
        <v>0</v>
      </c>
      <c r="N104" s="96">
        <v>0</v>
      </c>
      <c r="O104" s="96">
        <v>0</v>
      </c>
      <c r="P104" s="96">
        <v>0</v>
      </c>
      <c r="Q104" s="96">
        <v>0</v>
      </c>
      <c r="R104" s="96">
        <v>0</v>
      </c>
      <c r="S104" s="96">
        <v>0</v>
      </c>
      <c r="T104" s="96">
        <v>0</v>
      </c>
      <c r="U104" s="96">
        <v>0</v>
      </c>
      <c r="V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1"/>
      <c r="BR104" s="101"/>
      <c r="BS104" s="101"/>
      <c r="BT104" s="101"/>
      <c r="BU104" s="101"/>
      <c r="BV104" s="101"/>
    </row>
    <row r="105" spans="1:86" ht="27.95" customHeight="1" x14ac:dyDescent="0.3">
      <c r="A105" s="87"/>
      <c r="B105" s="9" t="s">
        <v>145</v>
      </c>
      <c r="C105" s="9" t="s">
        <v>146</v>
      </c>
      <c r="D105" s="9" t="s">
        <v>2</v>
      </c>
      <c r="E105" s="9" t="s">
        <v>97</v>
      </c>
      <c r="F105" s="96">
        <v>2585.6320890000002</v>
      </c>
      <c r="G105" s="96">
        <v>0</v>
      </c>
      <c r="H105" s="96">
        <v>0</v>
      </c>
      <c r="I105" s="96">
        <v>0</v>
      </c>
      <c r="J105" s="96">
        <v>0</v>
      </c>
      <c r="K105" s="96">
        <v>0</v>
      </c>
      <c r="L105" s="96">
        <v>0</v>
      </c>
      <c r="M105" s="96">
        <v>0</v>
      </c>
      <c r="N105" s="96">
        <v>0</v>
      </c>
      <c r="O105" s="96">
        <v>0</v>
      </c>
      <c r="P105" s="96">
        <v>0</v>
      </c>
      <c r="Q105" s="96">
        <v>0</v>
      </c>
      <c r="R105" s="96">
        <v>0</v>
      </c>
      <c r="S105" s="96">
        <v>0</v>
      </c>
      <c r="T105" s="96">
        <v>0</v>
      </c>
      <c r="U105" s="96">
        <v>0</v>
      </c>
      <c r="V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c r="BL105" s="101"/>
      <c r="BM105" s="101"/>
      <c r="BN105" s="101"/>
      <c r="BO105" s="101"/>
      <c r="BP105" s="101"/>
      <c r="BQ105" s="101"/>
      <c r="BR105" s="101"/>
      <c r="BS105" s="101"/>
      <c r="BT105" s="101"/>
      <c r="BU105" s="101"/>
      <c r="BV105" s="101"/>
    </row>
    <row r="106" spans="1:86" ht="6.75" customHeight="1" x14ac:dyDescent="0.3">
      <c r="B106" s="19"/>
      <c r="C106" s="13"/>
      <c r="D106" s="13"/>
      <c r="E106" s="44"/>
      <c r="F106" s="44"/>
      <c r="G106" s="44"/>
      <c r="H106" s="44"/>
      <c r="I106" s="44"/>
      <c r="J106" s="44"/>
      <c r="K106" s="44"/>
      <c r="L106" s="44"/>
      <c r="M106" s="44"/>
      <c r="N106" s="44"/>
      <c r="O106" s="44"/>
      <c r="P106" s="44"/>
      <c r="Q106" s="44"/>
      <c r="R106" s="44"/>
      <c r="S106" s="44"/>
      <c r="T106" s="44"/>
      <c r="U106" s="44"/>
      <c r="V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row>
    <row r="107" spans="1:86" ht="29.25" customHeight="1" x14ac:dyDescent="0.3">
      <c r="B107" s="222" t="s">
        <v>40</v>
      </c>
      <c r="C107" s="223"/>
      <c r="D107" s="223"/>
      <c r="E107" s="224"/>
      <c r="F107" s="94">
        <f>+F97+F80+F78+F68</f>
        <v>28597.187327013424</v>
      </c>
      <c r="G107" s="94">
        <f t="shared" ref="G107:U107" si="94">+G97+G80+G78+G68</f>
        <v>96.00533608296891</v>
      </c>
      <c r="H107" s="94">
        <f t="shared" si="94"/>
        <v>19328.71382253947</v>
      </c>
      <c r="I107" s="94">
        <f t="shared" si="94"/>
        <v>96.03832640448644</v>
      </c>
      <c r="J107" s="94">
        <f t="shared" si="94"/>
        <v>6552.4074129166065</v>
      </c>
      <c r="K107" s="94">
        <f t="shared" si="94"/>
        <v>97.751923101679324</v>
      </c>
      <c r="L107" s="94">
        <f t="shared" si="94"/>
        <v>5194.4566586506835</v>
      </c>
      <c r="M107" s="94">
        <f t="shared" si="94"/>
        <v>93.149060435122124</v>
      </c>
      <c r="N107" s="94">
        <f t="shared" si="94"/>
        <v>2641.0499403842773</v>
      </c>
      <c r="O107" s="94">
        <f t="shared" si="94"/>
        <v>93.14939251512213</v>
      </c>
      <c r="P107" s="94">
        <f t="shared" si="94"/>
        <v>846.47430873427743</v>
      </c>
      <c r="Q107" s="94">
        <f t="shared" si="94"/>
        <v>93.149728565122132</v>
      </c>
      <c r="R107" s="94">
        <f t="shared" si="94"/>
        <v>846.47430873427743</v>
      </c>
      <c r="S107" s="94">
        <f t="shared" si="94"/>
        <v>53.302299394352872</v>
      </c>
      <c r="T107" s="94">
        <f t="shared" si="94"/>
        <v>641.80684236340505</v>
      </c>
      <c r="U107" s="94">
        <f t="shared" si="94"/>
        <v>13.154925352889226</v>
      </c>
      <c r="V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c r="BD107" s="137"/>
      <c r="BE107" s="137"/>
      <c r="BF107" s="137"/>
      <c r="BG107" s="137"/>
      <c r="BH107" s="137"/>
      <c r="BI107" s="137"/>
      <c r="BJ107" s="137"/>
      <c r="BK107" s="137"/>
      <c r="BL107" s="137"/>
      <c r="BM107" s="137"/>
      <c r="BN107" s="137"/>
      <c r="BO107" s="137"/>
      <c r="BP107" s="137"/>
      <c r="BQ107" s="137"/>
      <c r="BR107" s="137"/>
      <c r="BS107" s="137"/>
      <c r="BT107" s="137"/>
      <c r="BU107" s="137"/>
      <c r="BV107" s="137"/>
    </row>
    <row r="108" spans="1:86" x14ac:dyDescent="0.3">
      <c r="B108" s="49"/>
      <c r="C108" s="49"/>
      <c r="D108" s="49"/>
      <c r="E108" s="116"/>
      <c r="F108" s="175"/>
      <c r="G108" s="119"/>
      <c r="H108" s="119"/>
      <c r="I108" s="119"/>
      <c r="J108" s="119"/>
      <c r="K108" s="119"/>
      <c r="L108" s="119"/>
      <c r="M108" s="119"/>
      <c r="N108" s="119"/>
      <c r="O108" s="119"/>
      <c r="P108" s="119"/>
      <c r="Q108" s="119"/>
      <c r="R108" s="119"/>
      <c r="S108" s="119"/>
      <c r="T108" s="119"/>
      <c r="U108" s="119"/>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1"/>
      <c r="BN108" s="131"/>
      <c r="BO108" s="131"/>
      <c r="BP108" s="131"/>
      <c r="BQ108" s="131"/>
      <c r="BR108" s="131"/>
      <c r="BS108" s="131"/>
      <c r="BT108" s="131"/>
      <c r="BU108" s="131"/>
      <c r="BV108" s="131"/>
      <c r="BW108" s="131"/>
      <c r="BX108" s="131"/>
      <c r="BY108" s="131"/>
      <c r="BZ108" s="131"/>
      <c r="CA108" s="131"/>
      <c r="CB108" s="131"/>
      <c r="CC108" s="131"/>
      <c r="CD108" s="131"/>
      <c r="CE108" s="131"/>
      <c r="CF108" s="131"/>
      <c r="CG108" s="131"/>
      <c r="CH108" s="131"/>
    </row>
    <row r="109" spans="1:86" x14ac:dyDescent="0.3">
      <c r="B109" s="50"/>
      <c r="C109" s="50"/>
      <c r="D109" s="50"/>
      <c r="E109" s="50"/>
      <c r="F109" s="176"/>
      <c r="G109" s="50"/>
      <c r="H109" s="50"/>
      <c r="I109" s="50"/>
      <c r="J109" s="50"/>
      <c r="K109" s="50"/>
      <c r="L109" s="50"/>
      <c r="M109" s="50"/>
      <c r="N109" s="50"/>
      <c r="O109" s="50"/>
      <c r="P109" s="50"/>
      <c r="Q109" s="50"/>
      <c r="R109" s="50"/>
      <c r="S109" s="50"/>
      <c r="T109" s="50"/>
      <c r="U109" s="50"/>
      <c r="V109" s="50"/>
      <c r="W109" s="50"/>
      <c r="X109" s="50"/>
      <c r="Y109" s="50"/>
      <c r="Z109" s="50"/>
    </row>
    <row r="110" spans="1:86" x14ac:dyDescent="0.3">
      <c r="B110" s="50"/>
      <c r="C110" s="50"/>
      <c r="D110" s="50"/>
      <c r="E110" s="50"/>
      <c r="F110" s="176"/>
      <c r="G110" s="50"/>
      <c r="H110" s="50"/>
      <c r="I110" s="50"/>
      <c r="J110" s="50"/>
      <c r="K110" s="50"/>
      <c r="L110" s="50"/>
      <c r="M110" s="50"/>
      <c r="N110" s="50"/>
      <c r="O110" s="50"/>
      <c r="P110" s="50"/>
      <c r="Q110" s="50"/>
      <c r="R110" s="50"/>
      <c r="S110" s="50"/>
      <c r="T110" s="50"/>
      <c r="U110" s="50"/>
      <c r="V110" s="50"/>
      <c r="W110" s="50"/>
      <c r="X110" s="50"/>
      <c r="Y110" s="50"/>
      <c r="Z110" s="50"/>
    </row>
    <row r="111" spans="1:86" ht="20.25" x14ac:dyDescent="0.3">
      <c r="B111" s="212" t="s">
        <v>47</v>
      </c>
      <c r="C111" s="212"/>
      <c r="D111" s="212"/>
      <c r="E111" s="212"/>
      <c r="F111" s="212"/>
      <c r="G111" s="212"/>
      <c r="H111" s="212"/>
      <c r="I111" s="212"/>
      <c r="J111" s="212"/>
      <c r="K111" s="212"/>
      <c r="L111" s="212"/>
      <c r="M111" s="212"/>
      <c r="N111" s="212"/>
      <c r="O111" s="212"/>
      <c r="P111" s="212"/>
      <c r="Q111" s="212"/>
      <c r="R111" s="212"/>
      <c r="S111" s="212"/>
      <c r="T111" s="212"/>
      <c r="U111" s="212"/>
    </row>
    <row r="112" spans="1:86" ht="17.25" x14ac:dyDescent="0.3">
      <c r="B112" s="5" t="s">
        <v>50</v>
      </c>
      <c r="C112" s="2"/>
      <c r="D112" s="2"/>
      <c r="E112" s="2"/>
      <c r="F112" s="171"/>
      <c r="G112" s="2"/>
      <c r="H112" s="2"/>
      <c r="I112" s="2"/>
      <c r="J112" s="2"/>
      <c r="K112" s="2"/>
      <c r="L112" s="2"/>
      <c r="M112" s="2"/>
      <c r="N112" s="2"/>
      <c r="O112" s="2"/>
      <c r="P112" s="2"/>
      <c r="Q112" s="2"/>
      <c r="R112" s="1"/>
    </row>
    <row r="114" spans="1:74" ht="32.25" customHeight="1" x14ac:dyDescent="0.3">
      <c r="F114" s="65">
        <v>2023</v>
      </c>
      <c r="G114" s="65">
        <v>2023</v>
      </c>
      <c r="H114" s="65">
        <v>2024</v>
      </c>
      <c r="I114" s="65">
        <v>2024</v>
      </c>
      <c r="J114" s="65">
        <v>2025</v>
      </c>
      <c r="K114" s="65">
        <v>2025</v>
      </c>
      <c r="L114" s="65">
        <v>2026</v>
      </c>
      <c r="M114" s="65">
        <v>2026</v>
      </c>
      <c r="N114" s="65">
        <v>2027</v>
      </c>
      <c r="O114" s="65">
        <v>2027</v>
      </c>
      <c r="P114" s="65">
        <v>2028</v>
      </c>
      <c r="Q114" s="65">
        <v>2028</v>
      </c>
      <c r="R114" s="65">
        <v>2029</v>
      </c>
      <c r="S114" s="65">
        <v>2029</v>
      </c>
      <c r="T114" s="66" t="s">
        <v>188</v>
      </c>
      <c r="U114" s="66" t="s">
        <v>188</v>
      </c>
      <c r="W114" s="135"/>
      <c r="AC114" s="136"/>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5"/>
      <c r="AZ114" s="135"/>
      <c r="BA114" s="135"/>
      <c r="BB114" s="135"/>
      <c r="BC114" s="135"/>
      <c r="BD114" s="135"/>
      <c r="BE114" s="135"/>
      <c r="BF114" s="135"/>
      <c r="BG114" s="135"/>
      <c r="BH114" s="135"/>
      <c r="BI114" s="135"/>
      <c r="BJ114" s="135"/>
      <c r="BK114" s="135"/>
      <c r="BL114" s="135"/>
      <c r="BM114" s="135"/>
      <c r="BN114" s="135"/>
      <c r="BO114" s="135"/>
      <c r="BP114" s="135"/>
      <c r="BQ114" s="135"/>
      <c r="BR114" s="135"/>
      <c r="BS114" s="135"/>
      <c r="BT114" s="135"/>
      <c r="BU114" s="135"/>
      <c r="BV114" s="135"/>
    </row>
    <row r="115" spans="1:74" ht="33.75" customHeight="1" x14ac:dyDescent="0.3">
      <c r="B115" s="18" t="s">
        <v>0</v>
      </c>
      <c r="C115" s="18" t="s">
        <v>1</v>
      </c>
      <c r="D115" s="37" t="s">
        <v>140</v>
      </c>
      <c r="E115" s="37" t="s">
        <v>99</v>
      </c>
      <c r="F115" s="174" t="s">
        <v>2</v>
      </c>
      <c r="G115" s="27" t="s">
        <v>103</v>
      </c>
      <c r="H115" s="18" t="s">
        <v>2</v>
      </c>
      <c r="I115" s="27" t="s">
        <v>103</v>
      </c>
      <c r="J115" s="18" t="s">
        <v>2</v>
      </c>
      <c r="K115" s="27" t="s">
        <v>103</v>
      </c>
      <c r="L115" s="18" t="s">
        <v>2</v>
      </c>
      <c r="M115" s="27" t="s">
        <v>103</v>
      </c>
      <c r="N115" s="18" t="s">
        <v>2</v>
      </c>
      <c r="O115" s="27" t="s">
        <v>103</v>
      </c>
      <c r="P115" s="18" t="s">
        <v>2</v>
      </c>
      <c r="Q115" s="27" t="s">
        <v>103</v>
      </c>
      <c r="R115" s="18" t="s">
        <v>2</v>
      </c>
      <c r="S115" s="27" t="s">
        <v>103</v>
      </c>
      <c r="T115" s="18" t="s">
        <v>2</v>
      </c>
      <c r="U115" s="27" t="s">
        <v>103</v>
      </c>
      <c r="W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row>
    <row r="116" spans="1:74" ht="27.95" customHeight="1" x14ac:dyDescent="0.3">
      <c r="B116" s="16" t="s">
        <v>93</v>
      </c>
      <c r="C116" s="16"/>
      <c r="D116" s="16"/>
      <c r="E116" s="16"/>
      <c r="F116" s="94">
        <f>+SUM(F117:F125)</f>
        <v>878.3146540511342</v>
      </c>
      <c r="G116" s="94">
        <f t="shared" ref="G116:U116" si="95">+SUM(G117:G125)</f>
        <v>0</v>
      </c>
      <c r="H116" s="94">
        <f t="shared" si="95"/>
        <v>134.66596353192838</v>
      </c>
      <c r="I116" s="94">
        <f t="shared" si="95"/>
        <v>0</v>
      </c>
      <c r="J116" s="94">
        <f t="shared" si="95"/>
        <v>54.404225959666462</v>
      </c>
      <c r="K116" s="94">
        <f t="shared" si="95"/>
        <v>0</v>
      </c>
      <c r="L116" s="94">
        <f t="shared" si="95"/>
        <v>27.999265394813275</v>
      </c>
      <c r="M116" s="94">
        <f t="shared" si="95"/>
        <v>0</v>
      </c>
      <c r="N116" s="94">
        <f t="shared" si="95"/>
        <v>22.512730671857099</v>
      </c>
      <c r="O116" s="94">
        <f t="shared" si="95"/>
        <v>0</v>
      </c>
      <c r="P116" s="94">
        <f t="shared" si="95"/>
        <v>21.8703754297111</v>
      </c>
      <c r="Q116" s="94">
        <f t="shared" si="95"/>
        <v>0</v>
      </c>
      <c r="R116" s="94">
        <f t="shared" si="95"/>
        <v>21.803357570632201</v>
      </c>
      <c r="S116" s="94">
        <f t="shared" si="95"/>
        <v>0</v>
      </c>
      <c r="T116" s="94">
        <f t="shared" si="95"/>
        <v>20.922262983873761</v>
      </c>
      <c r="U116" s="94">
        <f t="shared" si="95"/>
        <v>0</v>
      </c>
      <c r="W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c r="BA116" s="137"/>
      <c r="BB116" s="137"/>
      <c r="BC116" s="137"/>
      <c r="BD116" s="137"/>
      <c r="BE116" s="137"/>
      <c r="BF116" s="137"/>
      <c r="BG116" s="137"/>
      <c r="BH116" s="137"/>
      <c r="BI116" s="137"/>
      <c r="BJ116" s="137"/>
      <c r="BK116" s="137"/>
      <c r="BL116" s="137"/>
      <c r="BM116" s="137"/>
      <c r="BN116" s="137"/>
      <c r="BO116" s="137"/>
      <c r="BP116" s="137"/>
      <c r="BQ116" s="137"/>
      <c r="BR116" s="137"/>
      <c r="BS116" s="137"/>
      <c r="BT116" s="137"/>
      <c r="BU116" s="137"/>
      <c r="BV116" s="137"/>
    </row>
    <row r="117" spans="1:74" ht="27.95" customHeight="1" x14ac:dyDescent="0.3">
      <c r="A117" s="87"/>
      <c r="B117" s="9" t="s">
        <v>7</v>
      </c>
      <c r="C117" s="9" t="s">
        <v>8</v>
      </c>
      <c r="D117" s="9" t="str">
        <f t="shared" ref="D117:D125" si="96">+VLOOKUP($C117,$C$10:$D$46,2,FALSE)</f>
        <v>Pesos</v>
      </c>
      <c r="E117" s="9" t="s">
        <v>93</v>
      </c>
      <c r="F117" s="96">
        <v>66.497846129999999</v>
      </c>
      <c r="G117" s="96">
        <v>0</v>
      </c>
      <c r="H117" s="96">
        <v>28.86270717</v>
      </c>
      <c r="I117" s="96">
        <v>0</v>
      </c>
      <c r="J117" s="96">
        <v>0</v>
      </c>
      <c r="K117" s="96">
        <v>0</v>
      </c>
      <c r="L117" s="96">
        <v>0</v>
      </c>
      <c r="M117" s="96">
        <v>0</v>
      </c>
      <c r="N117" s="96">
        <v>0</v>
      </c>
      <c r="O117" s="96">
        <v>0</v>
      </c>
      <c r="P117" s="96">
        <v>0</v>
      </c>
      <c r="Q117" s="96">
        <v>0</v>
      </c>
      <c r="R117" s="96">
        <v>0</v>
      </c>
      <c r="S117" s="96">
        <v>0</v>
      </c>
      <c r="T117" s="96">
        <v>0</v>
      </c>
      <c r="U117" s="96">
        <v>0</v>
      </c>
      <c r="W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row>
    <row r="118" spans="1:74" ht="27.95" customHeight="1" x14ac:dyDescent="0.3">
      <c r="A118" s="87"/>
      <c r="B118" s="9" t="s">
        <v>217</v>
      </c>
      <c r="C118" s="9" t="s">
        <v>216</v>
      </c>
      <c r="D118" s="9" t="str">
        <f t="shared" si="96"/>
        <v>Pesos</v>
      </c>
      <c r="E118" s="9" t="s">
        <v>93</v>
      </c>
      <c r="F118" s="96">
        <v>6.7753447348776401</v>
      </c>
      <c r="G118" s="96">
        <v>0</v>
      </c>
      <c r="H118" s="96">
        <v>28.648287206544801</v>
      </c>
      <c r="I118" s="96">
        <v>0</v>
      </c>
      <c r="J118" s="96">
        <v>26.9380396733828</v>
      </c>
      <c r="K118" s="96">
        <v>0</v>
      </c>
      <c r="L118" s="96">
        <v>24.284966576021102</v>
      </c>
      <c r="M118" s="96">
        <v>0</v>
      </c>
      <c r="N118" s="96">
        <v>22.512730671857099</v>
      </c>
      <c r="O118" s="96">
        <v>0</v>
      </c>
      <c r="P118" s="96">
        <v>21.8703754297111</v>
      </c>
      <c r="Q118" s="96">
        <v>0</v>
      </c>
      <c r="R118" s="96">
        <v>21.803357570632201</v>
      </c>
      <c r="S118" s="96">
        <v>0</v>
      </c>
      <c r="T118" s="96">
        <v>20.922262983873761</v>
      </c>
      <c r="U118" s="96">
        <v>0</v>
      </c>
      <c r="W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row>
    <row r="119" spans="1:74" ht="27.95" customHeight="1" x14ac:dyDescent="0.3">
      <c r="A119" s="87"/>
      <c r="B119" s="9" t="s">
        <v>9</v>
      </c>
      <c r="C119" s="9" t="s">
        <v>10</v>
      </c>
      <c r="D119" s="9" t="str">
        <f t="shared" si="96"/>
        <v>Pesos</v>
      </c>
      <c r="E119" s="9" t="s">
        <v>93</v>
      </c>
      <c r="F119" s="96">
        <v>29.085478094389099</v>
      </c>
      <c r="G119" s="96">
        <v>0</v>
      </c>
      <c r="H119" s="96">
        <v>20.76107220035502</v>
      </c>
      <c r="I119" s="96">
        <v>0</v>
      </c>
      <c r="J119" s="96">
        <v>7.5386693870141812</v>
      </c>
      <c r="K119" s="96">
        <v>0</v>
      </c>
      <c r="L119" s="96">
        <v>0.18767983694875334</v>
      </c>
      <c r="M119" s="96">
        <v>0</v>
      </c>
      <c r="N119" s="96">
        <v>0</v>
      </c>
      <c r="O119" s="96">
        <v>0</v>
      </c>
      <c r="P119" s="96">
        <v>0</v>
      </c>
      <c r="Q119" s="96">
        <v>0</v>
      </c>
      <c r="R119" s="96">
        <v>0</v>
      </c>
      <c r="S119" s="96">
        <v>0</v>
      </c>
      <c r="T119" s="96">
        <v>0</v>
      </c>
      <c r="U119" s="96">
        <v>0</v>
      </c>
      <c r="W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row>
    <row r="120" spans="1:74" ht="27.95" customHeight="1" x14ac:dyDescent="0.3">
      <c r="A120" s="87"/>
      <c r="B120" s="9" t="s">
        <v>11</v>
      </c>
      <c r="C120" s="9" t="s">
        <v>12</v>
      </c>
      <c r="D120" s="9" t="str">
        <f t="shared" si="96"/>
        <v>Pesos</v>
      </c>
      <c r="E120" s="9" t="s">
        <v>93</v>
      </c>
      <c r="F120" s="96">
        <v>55.443329310000003</v>
      </c>
      <c r="G120" s="96">
        <v>0</v>
      </c>
      <c r="H120" s="96">
        <v>54.189536520000004</v>
      </c>
      <c r="I120" s="96">
        <v>0</v>
      </c>
      <c r="J120" s="96">
        <v>19.12404137</v>
      </c>
      <c r="K120" s="96">
        <v>0</v>
      </c>
      <c r="L120" s="96">
        <v>3.5181023499999999</v>
      </c>
      <c r="M120" s="96">
        <v>0</v>
      </c>
      <c r="N120" s="96">
        <v>0</v>
      </c>
      <c r="O120" s="96">
        <v>0</v>
      </c>
      <c r="P120" s="96">
        <v>0</v>
      </c>
      <c r="Q120" s="96">
        <v>0</v>
      </c>
      <c r="R120" s="96">
        <v>0</v>
      </c>
      <c r="S120" s="96">
        <v>0</v>
      </c>
      <c r="T120" s="96">
        <v>0</v>
      </c>
      <c r="U120" s="96">
        <v>0</v>
      </c>
      <c r="W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row>
    <row r="121" spans="1:74" ht="27.95" customHeight="1" x14ac:dyDescent="0.3">
      <c r="A121" s="87"/>
      <c r="B121" s="9" t="s">
        <v>13</v>
      </c>
      <c r="C121" s="9" t="s">
        <v>14</v>
      </c>
      <c r="D121" s="9" t="str">
        <f t="shared" si="96"/>
        <v>Pesos</v>
      </c>
      <c r="E121" s="9" t="s">
        <v>93</v>
      </c>
      <c r="F121" s="96">
        <v>2.9678831385282303</v>
      </c>
      <c r="G121" s="96">
        <v>0</v>
      </c>
      <c r="H121" s="96">
        <v>2.2043604350285801</v>
      </c>
      <c r="I121" s="96">
        <v>0</v>
      </c>
      <c r="J121" s="96">
        <v>0.80347552926947396</v>
      </c>
      <c r="K121" s="96">
        <v>0</v>
      </c>
      <c r="L121" s="96">
        <v>8.5166318434199487E-3</v>
      </c>
      <c r="M121" s="96">
        <v>0</v>
      </c>
      <c r="N121" s="96">
        <v>0</v>
      </c>
      <c r="O121" s="96">
        <v>0</v>
      </c>
      <c r="P121" s="96">
        <v>0</v>
      </c>
      <c r="Q121" s="96">
        <v>0</v>
      </c>
      <c r="R121" s="96">
        <v>0</v>
      </c>
      <c r="S121" s="96">
        <v>0</v>
      </c>
      <c r="T121" s="96">
        <v>0</v>
      </c>
      <c r="U121" s="96">
        <v>0</v>
      </c>
      <c r="W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row>
    <row r="122" spans="1:74" ht="27.95" customHeight="1" x14ac:dyDescent="0.3">
      <c r="A122" s="87"/>
      <c r="B122" s="9" t="s">
        <v>129</v>
      </c>
      <c r="C122" s="9" t="s">
        <v>130</v>
      </c>
      <c r="D122" s="9" t="s">
        <v>2</v>
      </c>
      <c r="E122" s="9" t="s">
        <v>93</v>
      </c>
      <c r="F122" s="96">
        <v>2.23746469077776</v>
      </c>
      <c r="G122" s="96">
        <v>0</v>
      </c>
      <c r="H122" s="96">
        <v>0</v>
      </c>
      <c r="I122" s="96">
        <v>0</v>
      </c>
      <c r="J122" s="96">
        <v>0</v>
      </c>
      <c r="K122" s="96">
        <v>0</v>
      </c>
      <c r="L122" s="96">
        <v>0</v>
      </c>
      <c r="M122" s="96">
        <v>0</v>
      </c>
      <c r="N122" s="96">
        <v>0</v>
      </c>
      <c r="O122" s="96">
        <v>0</v>
      </c>
      <c r="P122" s="96">
        <v>0</v>
      </c>
      <c r="Q122" s="96">
        <v>0</v>
      </c>
      <c r="R122" s="96">
        <v>0</v>
      </c>
      <c r="S122" s="96">
        <v>0</v>
      </c>
      <c r="T122" s="96">
        <v>0</v>
      </c>
      <c r="U122" s="96">
        <v>0</v>
      </c>
      <c r="W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row>
    <row r="123" spans="1:74" ht="27.95" customHeight="1" x14ac:dyDescent="0.3">
      <c r="A123" s="87"/>
      <c r="B123" s="9" t="s">
        <v>124</v>
      </c>
      <c r="C123" s="9" t="s">
        <v>125</v>
      </c>
      <c r="D123" s="9" t="s">
        <v>2</v>
      </c>
      <c r="E123" s="9" t="s">
        <v>93</v>
      </c>
      <c r="F123" s="96">
        <v>1.5699994836765099</v>
      </c>
      <c r="G123" s="96">
        <v>0</v>
      </c>
      <c r="H123" s="96">
        <v>0</v>
      </c>
      <c r="I123" s="96">
        <v>0</v>
      </c>
      <c r="J123" s="96">
        <v>0</v>
      </c>
      <c r="K123" s="96">
        <v>0</v>
      </c>
      <c r="L123" s="96">
        <v>0</v>
      </c>
      <c r="M123" s="96">
        <v>0</v>
      </c>
      <c r="N123" s="96">
        <v>0</v>
      </c>
      <c r="O123" s="96">
        <v>0</v>
      </c>
      <c r="P123" s="96">
        <v>0</v>
      </c>
      <c r="Q123" s="96">
        <v>0</v>
      </c>
      <c r="R123" s="96">
        <v>0</v>
      </c>
      <c r="S123" s="96">
        <v>0</v>
      </c>
      <c r="T123" s="96">
        <v>0</v>
      </c>
      <c r="U123" s="96">
        <v>0</v>
      </c>
      <c r="W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row>
    <row r="124" spans="1:74" ht="27.95" customHeight="1" x14ac:dyDescent="0.3">
      <c r="A124" s="87"/>
      <c r="B124" s="9" t="s">
        <v>3</v>
      </c>
      <c r="C124" s="9" t="s">
        <v>4</v>
      </c>
      <c r="D124" s="9" t="s">
        <v>2</v>
      </c>
      <c r="E124" s="9" t="s">
        <v>93</v>
      </c>
      <c r="F124" s="96">
        <v>598.82891278888496</v>
      </c>
      <c r="G124" s="96">
        <v>0</v>
      </c>
      <c r="H124" s="96">
        <v>0</v>
      </c>
      <c r="I124" s="96">
        <v>0</v>
      </c>
      <c r="J124" s="96">
        <v>0</v>
      </c>
      <c r="K124" s="96">
        <v>0</v>
      </c>
      <c r="L124" s="96">
        <v>0</v>
      </c>
      <c r="M124" s="96">
        <v>0</v>
      </c>
      <c r="N124" s="96">
        <v>0</v>
      </c>
      <c r="O124" s="96">
        <v>0</v>
      </c>
      <c r="P124" s="96">
        <v>0</v>
      </c>
      <c r="Q124" s="96">
        <v>0</v>
      </c>
      <c r="R124" s="96">
        <v>0</v>
      </c>
      <c r="S124" s="96">
        <v>0</v>
      </c>
      <c r="T124" s="96">
        <v>0</v>
      </c>
      <c r="U124" s="96">
        <v>0</v>
      </c>
      <c r="W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row>
    <row r="125" spans="1:74" ht="27.95" customHeight="1" x14ac:dyDescent="0.3">
      <c r="A125" s="87"/>
      <c r="B125" s="9" t="s">
        <v>5</v>
      </c>
      <c r="C125" s="9" t="s">
        <v>6</v>
      </c>
      <c r="D125" s="9" t="str">
        <f t="shared" si="96"/>
        <v>Pesos</v>
      </c>
      <c r="E125" s="9" t="s">
        <v>93</v>
      </c>
      <c r="F125" s="96">
        <v>114.90839568000001</v>
      </c>
      <c r="G125" s="96">
        <v>0</v>
      </c>
      <c r="H125" s="96">
        <v>0</v>
      </c>
      <c r="I125" s="96">
        <v>0</v>
      </c>
      <c r="J125" s="96">
        <v>0</v>
      </c>
      <c r="K125" s="96">
        <v>0</v>
      </c>
      <c r="L125" s="96">
        <v>0</v>
      </c>
      <c r="M125" s="96">
        <v>0</v>
      </c>
      <c r="N125" s="96">
        <v>0</v>
      </c>
      <c r="O125" s="96">
        <v>0</v>
      </c>
      <c r="P125" s="96">
        <v>0</v>
      </c>
      <c r="Q125" s="96">
        <v>0</v>
      </c>
      <c r="R125" s="96">
        <v>0</v>
      </c>
      <c r="S125" s="96">
        <v>0</v>
      </c>
      <c r="T125" s="96">
        <v>0</v>
      </c>
      <c r="U125" s="96">
        <v>0</v>
      </c>
      <c r="W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row>
    <row r="126" spans="1:74" ht="27.95" customHeight="1" x14ac:dyDescent="0.3">
      <c r="A126" s="87"/>
      <c r="B126" s="16" t="s">
        <v>94</v>
      </c>
      <c r="C126" s="16"/>
      <c r="D126" s="16"/>
      <c r="E126" s="16"/>
      <c r="F126" s="94">
        <f>+F127</f>
        <v>15239.563309993</v>
      </c>
      <c r="G126" s="94">
        <f t="shared" ref="G126:U126" si="97">+G127</f>
        <v>0</v>
      </c>
      <c r="H126" s="94">
        <f t="shared" si="97"/>
        <v>13053.499701255099</v>
      </c>
      <c r="I126" s="94">
        <f t="shared" si="97"/>
        <v>0</v>
      </c>
      <c r="J126" s="94">
        <f t="shared" si="97"/>
        <v>5041.0673502101099</v>
      </c>
      <c r="K126" s="94">
        <f t="shared" si="97"/>
        <v>0</v>
      </c>
      <c r="L126" s="94">
        <f t="shared" si="97"/>
        <v>1441.9372070404099</v>
      </c>
      <c r="M126" s="94">
        <f t="shared" si="97"/>
        <v>0</v>
      </c>
      <c r="N126" s="94">
        <f t="shared" si="97"/>
        <v>95.982722961743107</v>
      </c>
      <c r="O126" s="94">
        <f t="shared" si="97"/>
        <v>0</v>
      </c>
      <c r="P126" s="94">
        <f t="shared" si="97"/>
        <v>0</v>
      </c>
      <c r="Q126" s="94">
        <f t="shared" si="97"/>
        <v>0</v>
      </c>
      <c r="R126" s="94">
        <f t="shared" si="97"/>
        <v>0</v>
      </c>
      <c r="S126" s="94">
        <f t="shared" si="97"/>
        <v>0</v>
      </c>
      <c r="T126" s="94">
        <f t="shared" si="97"/>
        <v>0</v>
      </c>
      <c r="U126" s="94">
        <f t="shared" si="97"/>
        <v>0</v>
      </c>
      <c r="W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7"/>
      <c r="BJ126" s="137"/>
      <c r="BK126" s="137"/>
      <c r="BL126" s="137"/>
      <c r="BM126" s="137"/>
      <c r="BN126" s="137"/>
      <c r="BO126" s="137"/>
      <c r="BP126" s="137"/>
      <c r="BQ126" s="137"/>
      <c r="BR126" s="137"/>
      <c r="BS126" s="137"/>
      <c r="BT126" s="137"/>
      <c r="BU126" s="137"/>
      <c r="BV126" s="137"/>
    </row>
    <row r="127" spans="1:74" ht="27.95" customHeight="1" x14ac:dyDescent="0.3">
      <c r="A127" s="87"/>
      <c r="B127" s="9" t="s">
        <v>154</v>
      </c>
      <c r="C127" s="9" t="s">
        <v>155</v>
      </c>
      <c r="D127" s="9" t="str">
        <f>+VLOOKUP($C127,$C$10:$D$46,2,FALSE)</f>
        <v>Pesos</v>
      </c>
      <c r="E127" s="9" t="s">
        <v>94</v>
      </c>
      <c r="F127" s="96">
        <v>15239.563309993</v>
      </c>
      <c r="G127" s="96">
        <v>0</v>
      </c>
      <c r="H127" s="96">
        <v>13053.499701255099</v>
      </c>
      <c r="I127" s="96">
        <v>0</v>
      </c>
      <c r="J127" s="96">
        <v>5041.0673502101099</v>
      </c>
      <c r="K127" s="96">
        <v>0</v>
      </c>
      <c r="L127" s="96">
        <v>1441.9372070404099</v>
      </c>
      <c r="M127" s="96">
        <v>0</v>
      </c>
      <c r="N127" s="96">
        <v>95.982722961743107</v>
      </c>
      <c r="O127" s="96">
        <v>0</v>
      </c>
      <c r="P127" s="96">
        <v>0</v>
      </c>
      <c r="Q127" s="96">
        <v>0</v>
      </c>
      <c r="R127" s="96">
        <v>0</v>
      </c>
      <c r="S127" s="96">
        <v>0</v>
      </c>
      <c r="T127" s="96">
        <v>0</v>
      </c>
      <c r="U127" s="96">
        <v>0</v>
      </c>
      <c r="W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row>
    <row r="128" spans="1:74" ht="27.95" customHeight="1" x14ac:dyDescent="0.3">
      <c r="A128" s="87"/>
      <c r="B128" s="16" t="s">
        <v>15</v>
      </c>
      <c r="C128" s="16"/>
      <c r="D128" s="16"/>
      <c r="E128" s="16"/>
      <c r="F128" s="94">
        <f>+F129+F141</f>
        <v>0</v>
      </c>
      <c r="G128" s="94">
        <f t="shared" ref="G128:U128" si="98">+G129+G141</f>
        <v>9.3663628591293868</v>
      </c>
      <c r="H128" s="94">
        <f t="shared" si="98"/>
        <v>0</v>
      </c>
      <c r="I128" s="94">
        <f t="shared" si="98"/>
        <v>12.970547583991543</v>
      </c>
      <c r="J128" s="94">
        <f t="shared" si="98"/>
        <v>0</v>
      </c>
      <c r="K128" s="94">
        <f t="shared" si="98"/>
        <v>10.547314658607654</v>
      </c>
      <c r="L128" s="94">
        <f t="shared" si="98"/>
        <v>0</v>
      </c>
      <c r="M128" s="94">
        <f t="shared" si="98"/>
        <v>8.0910167353822366</v>
      </c>
      <c r="N128" s="94">
        <f t="shared" si="98"/>
        <v>0</v>
      </c>
      <c r="O128" s="94">
        <f t="shared" si="98"/>
        <v>6.3993492183243035</v>
      </c>
      <c r="P128" s="94">
        <f t="shared" si="98"/>
        <v>0</v>
      </c>
      <c r="Q128" s="94">
        <f t="shared" si="98"/>
        <v>4.9925096737530268</v>
      </c>
      <c r="R128" s="94">
        <f t="shared" si="98"/>
        <v>0</v>
      </c>
      <c r="S128" s="94">
        <f t="shared" si="98"/>
        <v>4.2063984279317275</v>
      </c>
      <c r="T128" s="94">
        <f t="shared" si="98"/>
        <v>0</v>
      </c>
      <c r="U128" s="94">
        <f t="shared" si="98"/>
        <v>1.9364979204874739</v>
      </c>
      <c r="W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row>
    <row r="129" spans="1:74" ht="27.95" customHeight="1" x14ac:dyDescent="0.3">
      <c r="A129" s="87"/>
      <c r="B129" s="17" t="s">
        <v>16</v>
      </c>
      <c r="C129" s="17"/>
      <c r="D129" s="17"/>
      <c r="E129" s="17"/>
      <c r="F129" s="100">
        <f>+SUM(F130:F140)</f>
        <v>0</v>
      </c>
      <c r="G129" s="100">
        <f t="shared" ref="G129:U129" si="99">+SUM(G130:G140)</f>
        <v>8.1305161695857144</v>
      </c>
      <c r="H129" s="100">
        <f t="shared" si="99"/>
        <v>0</v>
      </c>
      <c r="I129" s="100">
        <f t="shared" si="99"/>
        <v>10.673572087446688</v>
      </c>
      <c r="J129" s="100">
        <f t="shared" si="99"/>
        <v>0</v>
      </c>
      <c r="K129" s="100">
        <f t="shared" si="99"/>
        <v>8.5594654658929805</v>
      </c>
      <c r="L129" s="100">
        <f t="shared" si="99"/>
        <v>0</v>
      </c>
      <c r="M129" s="100">
        <f t="shared" si="99"/>
        <v>6.5080437628653174</v>
      </c>
      <c r="N129" s="100">
        <f t="shared" si="99"/>
        <v>0</v>
      </c>
      <c r="O129" s="100">
        <f t="shared" si="99"/>
        <v>5.1183369073886507</v>
      </c>
      <c r="P129" s="100">
        <f t="shared" si="99"/>
        <v>0</v>
      </c>
      <c r="Q129" s="100">
        <f t="shared" si="99"/>
        <v>3.8440764422311919</v>
      </c>
      <c r="R129" s="100">
        <f t="shared" si="99"/>
        <v>0</v>
      </c>
      <c r="S129" s="100">
        <f t="shared" si="99"/>
        <v>3.1671368213245574</v>
      </c>
      <c r="T129" s="100">
        <f t="shared" si="99"/>
        <v>0</v>
      </c>
      <c r="U129" s="100">
        <f t="shared" si="99"/>
        <v>1.4307799090179858</v>
      </c>
      <c r="W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c r="BB129" s="140"/>
      <c r="BC129" s="140"/>
      <c r="BD129" s="140"/>
      <c r="BE129" s="140"/>
      <c r="BF129" s="140"/>
      <c r="BG129" s="140"/>
      <c r="BH129" s="140"/>
      <c r="BI129" s="140"/>
      <c r="BJ129" s="140"/>
      <c r="BK129" s="140"/>
      <c r="BL129" s="140"/>
      <c r="BM129" s="140"/>
      <c r="BN129" s="140"/>
      <c r="BO129" s="140"/>
      <c r="BP129" s="140"/>
      <c r="BQ129" s="140"/>
      <c r="BR129" s="140"/>
      <c r="BS129" s="140"/>
      <c r="BT129" s="140"/>
      <c r="BU129" s="140"/>
      <c r="BV129" s="140"/>
    </row>
    <row r="130" spans="1:74" ht="27.95" customHeight="1" x14ac:dyDescent="0.3">
      <c r="A130" s="87"/>
      <c r="B130" s="9" t="s">
        <v>23</v>
      </c>
      <c r="C130" s="9" t="s">
        <v>24</v>
      </c>
      <c r="D130" s="9" t="str">
        <f t="shared" ref="D130:D134" si="100">+VLOOKUP($C130,$C$10:$D$46,2,FALSE)</f>
        <v>USD</v>
      </c>
      <c r="E130" s="9" t="s">
        <v>96</v>
      </c>
      <c r="F130" s="96">
        <v>0</v>
      </c>
      <c r="G130" s="96">
        <v>2.4224514299999997</v>
      </c>
      <c r="H130" s="96">
        <v>0</v>
      </c>
      <c r="I130" s="96">
        <v>2.7093753416503445</v>
      </c>
      <c r="J130" s="96">
        <v>0</v>
      </c>
      <c r="K130" s="96">
        <v>2.2356149863485668</v>
      </c>
      <c r="L130" s="96">
        <v>0</v>
      </c>
      <c r="M130" s="96">
        <v>1.7572079515199033</v>
      </c>
      <c r="N130" s="96">
        <v>0</v>
      </c>
      <c r="O130" s="96">
        <v>1.3954158167170829</v>
      </c>
      <c r="P130" s="96">
        <v>0</v>
      </c>
      <c r="Q130" s="96">
        <v>1.0634936612024037</v>
      </c>
      <c r="R130" s="96">
        <v>0</v>
      </c>
      <c r="S130" s="96">
        <v>0.86593697962506722</v>
      </c>
      <c r="T130" s="96">
        <v>0</v>
      </c>
      <c r="U130" s="201">
        <v>0.40063401981715147</v>
      </c>
      <c r="V130" s="101"/>
      <c r="W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row>
    <row r="131" spans="1:74" ht="27.95" customHeight="1" x14ac:dyDescent="0.3">
      <c r="A131" s="87"/>
      <c r="B131" s="9" t="s">
        <v>17</v>
      </c>
      <c r="C131" s="9" t="s">
        <v>18</v>
      </c>
      <c r="D131" s="9" t="str">
        <f t="shared" si="100"/>
        <v>USD</v>
      </c>
      <c r="E131" s="9" t="s">
        <v>96</v>
      </c>
      <c r="F131" s="96">
        <v>0</v>
      </c>
      <c r="G131" s="96">
        <v>1.8974313798699565</v>
      </c>
      <c r="H131" s="96">
        <v>0</v>
      </c>
      <c r="I131" s="96">
        <v>2.2991309532937092</v>
      </c>
      <c r="J131" s="96">
        <v>0</v>
      </c>
      <c r="K131" s="96">
        <v>1.8291359648140744</v>
      </c>
      <c r="L131" s="96">
        <v>0</v>
      </c>
      <c r="M131" s="96">
        <v>1.4084252164453841</v>
      </c>
      <c r="N131" s="96">
        <v>0</v>
      </c>
      <c r="O131" s="96">
        <v>1.0938422426944059</v>
      </c>
      <c r="P131" s="96">
        <v>0</v>
      </c>
      <c r="Q131" s="96">
        <v>0.79676376979428343</v>
      </c>
      <c r="R131" s="96">
        <v>0</v>
      </c>
      <c r="S131" s="96">
        <v>0.66342261347576392</v>
      </c>
      <c r="T131" s="96">
        <v>0</v>
      </c>
      <c r="U131" s="201">
        <v>0.32093965820228293</v>
      </c>
      <c r="V131" s="101"/>
      <c r="W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row>
    <row r="132" spans="1:74" ht="27.95" customHeight="1" x14ac:dyDescent="0.3">
      <c r="A132" s="87"/>
      <c r="B132" s="9" t="s">
        <v>19</v>
      </c>
      <c r="C132" s="9" t="s">
        <v>20</v>
      </c>
      <c r="D132" s="9" t="str">
        <f t="shared" si="100"/>
        <v>USD</v>
      </c>
      <c r="E132" s="9" t="s">
        <v>96</v>
      </c>
      <c r="F132" s="96">
        <v>0</v>
      </c>
      <c r="G132" s="96">
        <v>0.89051760999999996</v>
      </c>
      <c r="H132" s="96">
        <v>0</v>
      </c>
      <c r="I132" s="96">
        <v>1.96450974</v>
      </c>
      <c r="J132" s="96">
        <v>0</v>
      </c>
      <c r="K132" s="96">
        <v>1.55663266</v>
      </c>
      <c r="L132" s="96">
        <v>0</v>
      </c>
      <c r="M132" s="96">
        <v>1.1795973399999999</v>
      </c>
      <c r="N132" s="96">
        <v>0</v>
      </c>
      <c r="O132" s="96">
        <v>0.89406326000000003</v>
      </c>
      <c r="P132" s="96">
        <v>0</v>
      </c>
      <c r="Q132" s="96">
        <v>0.63947988</v>
      </c>
      <c r="R132" s="96">
        <v>0</v>
      </c>
      <c r="S132" s="96">
        <v>0.48181864000000002</v>
      </c>
      <c r="T132" s="96">
        <v>0</v>
      </c>
      <c r="U132" s="201">
        <v>0.19791599680031921</v>
      </c>
      <c r="V132" s="101"/>
      <c r="W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row>
    <row r="133" spans="1:74" ht="27.95" customHeight="1" x14ac:dyDescent="0.3">
      <c r="A133" s="87"/>
      <c r="B133" s="9" t="s">
        <v>133</v>
      </c>
      <c r="C133" s="9" t="s">
        <v>134</v>
      </c>
      <c r="D133" s="9" t="str">
        <f t="shared" si="100"/>
        <v>USD</v>
      </c>
      <c r="E133" s="9" t="s">
        <v>96</v>
      </c>
      <c r="F133" s="96">
        <v>0</v>
      </c>
      <c r="G133" s="96">
        <v>1.2437657499999999</v>
      </c>
      <c r="H133" s="96">
        <v>0</v>
      </c>
      <c r="I133" s="96">
        <v>1.7411479027397261</v>
      </c>
      <c r="J133" s="96">
        <v>0</v>
      </c>
      <c r="K133" s="96">
        <v>1.4929451038356167</v>
      </c>
      <c r="L133" s="96">
        <v>0</v>
      </c>
      <c r="M133" s="96">
        <v>1.19165616369863</v>
      </c>
      <c r="N133" s="96">
        <v>0</v>
      </c>
      <c r="O133" s="96">
        <v>0.96565634383561627</v>
      </c>
      <c r="P133" s="96">
        <v>0</v>
      </c>
      <c r="Q133" s="96">
        <v>0.74213171198630123</v>
      </c>
      <c r="R133" s="96">
        <v>0</v>
      </c>
      <c r="S133" s="96">
        <v>0.64660966027397249</v>
      </c>
      <c r="T133" s="96">
        <v>0</v>
      </c>
      <c r="U133" s="201">
        <v>0.3176622246575338</v>
      </c>
      <c r="V133" s="101"/>
      <c r="W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row>
    <row r="134" spans="1:74" ht="27.95" customHeight="1" x14ac:dyDescent="0.3">
      <c r="A134" s="87"/>
      <c r="B134" s="9" t="s">
        <v>27</v>
      </c>
      <c r="C134" s="9" t="s">
        <v>28</v>
      </c>
      <c r="D134" s="9" t="str">
        <f t="shared" si="100"/>
        <v>USD</v>
      </c>
      <c r="E134" s="9" t="s">
        <v>96</v>
      </c>
      <c r="F134" s="96">
        <v>0</v>
      </c>
      <c r="G134" s="96">
        <v>0.61873161999999948</v>
      </c>
      <c r="H134" s="96">
        <v>0</v>
      </c>
      <c r="I134" s="96">
        <v>0.84495584325441397</v>
      </c>
      <c r="J134" s="96">
        <v>0</v>
      </c>
      <c r="K134" s="96">
        <v>0.73623338766680546</v>
      </c>
      <c r="L134" s="96">
        <v>0</v>
      </c>
      <c r="M134" s="96">
        <v>0.58251085218469345</v>
      </c>
      <c r="N134" s="96">
        <v>0</v>
      </c>
      <c r="O134" s="96">
        <v>0.46781675106422022</v>
      </c>
      <c r="P134" s="96">
        <v>0</v>
      </c>
      <c r="Q134" s="96">
        <v>0.35721944411478002</v>
      </c>
      <c r="R134" s="96">
        <v>0</v>
      </c>
      <c r="S134" s="96">
        <v>0.30314184433801017</v>
      </c>
      <c r="T134" s="96">
        <v>0</v>
      </c>
      <c r="U134" s="96">
        <v>9.923796451805135E-2</v>
      </c>
      <c r="V134" s="101"/>
      <c r="W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row>
    <row r="135" spans="1:74" ht="27.95" customHeight="1" x14ac:dyDescent="0.3">
      <c r="A135" s="87"/>
      <c r="B135" s="9" t="s">
        <v>21</v>
      </c>
      <c r="C135" s="9" t="s">
        <v>22</v>
      </c>
      <c r="D135" s="9" t="s">
        <v>103</v>
      </c>
      <c r="E135" s="9" t="s">
        <v>96</v>
      </c>
      <c r="F135" s="96">
        <v>0</v>
      </c>
      <c r="G135" s="96">
        <v>0.75406587999999986</v>
      </c>
      <c r="H135" s="96">
        <v>0</v>
      </c>
      <c r="I135" s="96">
        <v>0.55574072148966402</v>
      </c>
      <c r="J135" s="96">
        <v>0</v>
      </c>
      <c r="K135" s="96">
        <v>0.21312261866636878</v>
      </c>
      <c r="L135" s="96">
        <v>0</v>
      </c>
      <c r="M135" s="96">
        <v>0</v>
      </c>
      <c r="N135" s="96">
        <v>0</v>
      </c>
      <c r="O135" s="96">
        <v>0</v>
      </c>
      <c r="P135" s="96">
        <v>0</v>
      </c>
      <c r="Q135" s="96">
        <v>0</v>
      </c>
      <c r="R135" s="96">
        <v>0</v>
      </c>
      <c r="S135" s="96">
        <v>0</v>
      </c>
      <c r="T135" s="96">
        <v>0</v>
      </c>
      <c r="U135" s="96">
        <v>0</v>
      </c>
      <c r="V135" s="101"/>
      <c r="W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row>
    <row r="136" spans="1:74" ht="27.95" customHeight="1" x14ac:dyDescent="0.3">
      <c r="A136" s="87"/>
      <c r="B136" s="9" t="s">
        <v>157</v>
      </c>
      <c r="C136" s="9" t="s">
        <v>158</v>
      </c>
      <c r="D136" s="9" t="s">
        <v>103</v>
      </c>
      <c r="E136" s="9" t="s">
        <v>96</v>
      </c>
      <c r="F136" s="96">
        <v>0</v>
      </c>
      <c r="G136" s="96">
        <v>9.9900819999999987E-2</v>
      </c>
      <c r="H136" s="96">
        <v>0</v>
      </c>
      <c r="I136" s="96">
        <v>0.29324354521796631</v>
      </c>
      <c r="J136" s="96">
        <v>0</v>
      </c>
      <c r="K136" s="96">
        <v>0.29474383732985382</v>
      </c>
      <c r="L136" s="96">
        <v>0</v>
      </c>
      <c r="M136" s="96">
        <v>0.23700423530281411</v>
      </c>
      <c r="N136" s="96">
        <v>0</v>
      </c>
      <c r="O136" s="96">
        <v>0.18746548978663091</v>
      </c>
      <c r="P136" s="96">
        <v>0</v>
      </c>
      <c r="Q136" s="96">
        <v>0.1643574321006458</v>
      </c>
      <c r="R136" s="96">
        <v>0</v>
      </c>
      <c r="S136" s="96">
        <v>0.14620336251835356</v>
      </c>
      <c r="T136" s="96">
        <v>0</v>
      </c>
      <c r="U136" s="96">
        <v>6.6512336484320755E-2</v>
      </c>
      <c r="V136" s="101"/>
      <c r="W136" s="200"/>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row>
    <row r="137" spans="1:74" ht="27.95" customHeight="1" x14ac:dyDescent="0.3">
      <c r="A137" s="87"/>
      <c r="B137" s="9" t="s">
        <v>25</v>
      </c>
      <c r="C137" s="9" t="s">
        <v>26</v>
      </c>
      <c r="D137" s="9" t="s">
        <v>103</v>
      </c>
      <c r="E137" s="9" t="s">
        <v>96</v>
      </c>
      <c r="F137" s="96">
        <v>0</v>
      </c>
      <c r="G137" s="96">
        <v>0.17514796830417673</v>
      </c>
      <c r="H137" s="96">
        <v>0</v>
      </c>
      <c r="I137" s="96">
        <v>0.25179428642947105</v>
      </c>
      <c r="J137" s="96">
        <v>0</v>
      </c>
      <c r="K137" s="96">
        <v>0.19752731792406406</v>
      </c>
      <c r="L137" s="96">
        <v>0</v>
      </c>
      <c r="M137" s="96">
        <v>0.14846056908015159</v>
      </c>
      <c r="N137" s="96">
        <v>0</v>
      </c>
      <c r="O137" s="96">
        <v>0.11122764583229393</v>
      </c>
      <c r="P137" s="96">
        <v>0</v>
      </c>
      <c r="Q137" s="96">
        <v>7.8117232137649345E-2</v>
      </c>
      <c r="R137" s="96">
        <v>0</v>
      </c>
      <c r="S137" s="96">
        <v>5.7830473596387912E-2</v>
      </c>
      <c r="T137" s="96">
        <v>0</v>
      </c>
      <c r="U137" s="96">
        <v>2.6929355733336938E-2</v>
      </c>
      <c r="V137" s="101"/>
      <c r="W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row>
    <row r="138" spans="1:74" ht="27.95" customHeight="1" x14ac:dyDescent="0.3">
      <c r="A138" s="87"/>
      <c r="B138" s="9" t="s">
        <v>31</v>
      </c>
      <c r="C138" s="9" t="s">
        <v>32</v>
      </c>
      <c r="D138" s="9" t="str">
        <f>+VLOOKUP($C138,$C$10:$D$46,2,FALSE)</f>
        <v>USD</v>
      </c>
      <c r="E138" s="9" t="s">
        <v>96</v>
      </c>
      <c r="F138" s="96">
        <v>0</v>
      </c>
      <c r="G138" s="96">
        <v>4.154315934398801E-3</v>
      </c>
      <c r="H138" s="96">
        <v>0</v>
      </c>
      <c r="I138" s="96">
        <v>3.8338678127242355E-3</v>
      </c>
      <c r="J138" s="96">
        <v>0</v>
      </c>
      <c r="K138" s="96">
        <v>3.5095893076293205E-3</v>
      </c>
      <c r="L138" s="96">
        <v>0</v>
      </c>
      <c r="M138" s="96">
        <v>3.181434633739902E-3</v>
      </c>
      <c r="N138" s="96">
        <v>0</v>
      </c>
      <c r="O138" s="96">
        <v>2.8493574583996852E-3</v>
      </c>
      <c r="P138" s="96">
        <v>0</v>
      </c>
      <c r="Q138" s="96">
        <v>2.5133108951284266E-3</v>
      </c>
      <c r="R138" s="96">
        <v>0</v>
      </c>
      <c r="S138" s="96">
        <v>2.1732474970019913E-3</v>
      </c>
      <c r="T138" s="96">
        <v>0</v>
      </c>
      <c r="U138" s="96">
        <v>9.4835280498913087E-4</v>
      </c>
      <c r="V138" s="101"/>
      <c r="W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row>
    <row r="139" spans="1:74" ht="27.95" customHeight="1" x14ac:dyDescent="0.3">
      <c r="A139" s="87"/>
      <c r="B139" s="9" t="s">
        <v>29</v>
      </c>
      <c r="C139" s="9" t="s">
        <v>30</v>
      </c>
      <c r="D139" s="9" t="str">
        <f>+VLOOKUP($C139,$C$10:$D$46,2,FALSE)</f>
        <v>USD</v>
      </c>
      <c r="E139" s="9" t="s">
        <v>96</v>
      </c>
      <c r="F139" s="96">
        <v>0</v>
      </c>
      <c r="G139" s="96">
        <v>2.2937570042401899E-2</v>
      </c>
      <c r="H139" s="96">
        <v>0</v>
      </c>
      <c r="I139" s="96">
        <v>9.8398855586655301E-3</v>
      </c>
      <c r="J139" s="96">
        <v>0</v>
      </c>
      <c r="K139" s="96">
        <v>0</v>
      </c>
      <c r="L139" s="96">
        <v>0</v>
      </c>
      <c r="M139" s="96">
        <v>0</v>
      </c>
      <c r="N139" s="96">
        <v>0</v>
      </c>
      <c r="O139" s="96">
        <v>0</v>
      </c>
      <c r="P139" s="96">
        <v>0</v>
      </c>
      <c r="Q139" s="96">
        <v>0</v>
      </c>
      <c r="R139" s="96">
        <v>0</v>
      </c>
      <c r="S139" s="96">
        <v>0</v>
      </c>
      <c r="T139" s="96">
        <v>0</v>
      </c>
      <c r="U139" s="96">
        <v>0</v>
      </c>
      <c r="V139" s="101"/>
      <c r="W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row>
    <row r="140" spans="1:74" ht="27.95" customHeight="1" x14ac:dyDescent="0.3">
      <c r="A140" s="87"/>
      <c r="B140" s="9" t="s">
        <v>33</v>
      </c>
      <c r="C140" s="9" t="s">
        <v>34</v>
      </c>
      <c r="D140" s="9" t="str">
        <f>+VLOOKUP($C140,$C$10:$D$46,2,FALSE)</f>
        <v>USD</v>
      </c>
      <c r="E140" s="9" t="s">
        <v>96</v>
      </c>
      <c r="F140" s="96">
        <v>0</v>
      </c>
      <c r="G140" s="96">
        <v>1.4118254347826088E-3</v>
      </c>
      <c r="H140" s="96">
        <v>0</v>
      </c>
      <c r="I140" s="96">
        <v>0</v>
      </c>
      <c r="J140" s="96">
        <v>0</v>
      </c>
      <c r="K140" s="96">
        <v>0</v>
      </c>
      <c r="L140" s="96">
        <v>0</v>
      </c>
      <c r="M140" s="96">
        <v>0</v>
      </c>
      <c r="N140" s="96">
        <v>0</v>
      </c>
      <c r="O140" s="96">
        <v>0</v>
      </c>
      <c r="P140" s="96">
        <v>0</v>
      </c>
      <c r="Q140" s="96">
        <v>0</v>
      </c>
      <c r="R140" s="96">
        <v>0</v>
      </c>
      <c r="S140" s="96">
        <v>0</v>
      </c>
      <c r="T140" s="96">
        <v>0</v>
      </c>
      <c r="U140" s="96">
        <v>0</v>
      </c>
      <c r="V140" s="101"/>
      <c r="W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row>
    <row r="141" spans="1:74" ht="27.95" customHeight="1" x14ac:dyDescent="0.3">
      <c r="A141" s="87"/>
      <c r="B141" s="17" t="s">
        <v>35</v>
      </c>
      <c r="C141" s="17"/>
      <c r="D141" s="17"/>
      <c r="E141" s="17"/>
      <c r="F141" s="100">
        <f t="shared" ref="F141:T141" si="101">+SUM(F142:F144)</f>
        <v>0</v>
      </c>
      <c r="G141" s="100">
        <f t="shared" si="101"/>
        <v>1.2358466895436724</v>
      </c>
      <c r="H141" s="100">
        <f t="shared" si="101"/>
        <v>0</v>
      </c>
      <c r="I141" s="100">
        <f t="shared" si="101"/>
        <v>2.2969754965448548</v>
      </c>
      <c r="J141" s="100">
        <f t="shared" si="101"/>
        <v>0</v>
      </c>
      <c r="K141" s="100">
        <f t="shared" si="101"/>
        <v>1.9878491927146726</v>
      </c>
      <c r="L141" s="100">
        <f t="shared" si="101"/>
        <v>0</v>
      </c>
      <c r="M141" s="100">
        <f t="shared" si="101"/>
        <v>1.5829729725169197</v>
      </c>
      <c r="N141" s="100">
        <f t="shared" si="101"/>
        <v>0</v>
      </c>
      <c r="O141" s="100">
        <f t="shared" si="101"/>
        <v>1.2810123109356528</v>
      </c>
      <c r="P141" s="100">
        <f t="shared" si="101"/>
        <v>0</v>
      </c>
      <c r="Q141" s="100">
        <f t="shared" si="101"/>
        <v>1.1484332315218351</v>
      </c>
      <c r="R141" s="100">
        <f t="shared" si="101"/>
        <v>0</v>
      </c>
      <c r="S141" s="100">
        <f t="shared" si="101"/>
        <v>1.0392616066071705</v>
      </c>
      <c r="T141" s="100">
        <f t="shared" si="101"/>
        <v>0</v>
      </c>
      <c r="U141" s="100">
        <f>+SUM(U142:U144)</f>
        <v>0.50571801146948814</v>
      </c>
      <c r="V141" s="140"/>
      <c r="W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0"/>
      <c r="BH141" s="140"/>
      <c r="BI141" s="140"/>
      <c r="BJ141" s="140"/>
      <c r="BK141" s="140"/>
      <c r="BL141" s="140"/>
      <c r="BM141" s="140"/>
      <c r="BN141" s="140"/>
      <c r="BO141" s="140"/>
      <c r="BP141" s="140"/>
      <c r="BQ141" s="140"/>
      <c r="BR141" s="140"/>
      <c r="BS141" s="140"/>
      <c r="BT141" s="140"/>
      <c r="BU141" s="140"/>
      <c r="BV141" s="140"/>
    </row>
    <row r="142" spans="1:74" ht="27.95" customHeight="1" x14ac:dyDescent="0.3">
      <c r="A142" s="87"/>
      <c r="B142" s="9" t="s">
        <v>36</v>
      </c>
      <c r="C142" s="9" t="s">
        <v>37</v>
      </c>
      <c r="D142" s="9" t="str">
        <f>+VLOOKUP($C142,$C$10:$D$46,2,FALSE)</f>
        <v>USD</v>
      </c>
      <c r="E142" s="9" t="s">
        <v>96</v>
      </c>
      <c r="F142" s="96">
        <v>0</v>
      </c>
      <c r="G142" s="96">
        <v>0.96724661954367241</v>
      </c>
      <c r="H142" s="96">
        <v>0</v>
      </c>
      <c r="I142" s="96">
        <v>1.8763074542524736</v>
      </c>
      <c r="J142" s="96">
        <v>0</v>
      </c>
      <c r="K142" s="96">
        <v>1.5706557909455063</v>
      </c>
      <c r="L142" s="96">
        <v>0</v>
      </c>
      <c r="M142" s="96">
        <v>1.2463648225071995</v>
      </c>
      <c r="N142" s="96">
        <v>0</v>
      </c>
      <c r="O142" s="96">
        <v>1.0129291757321157</v>
      </c>
      <c r="P142" s="96">
        <v>0</v>
      </c>
      <c r="Q142" s="96">
        <v>0.91236530396321136</v>
      </c>
      <c r="R142" s="96">
        <v>0</v>
      </c>
      <c r="S142" s="96">
        <v>0.82516414628904566</v>
      </c>
      <c r="T142" s="96">
        <v>0</v>
      </c>
      <c r="U142" s="201">
        <v>0.40217153304394287</v>
      </c>
      <c r="V142" s="101"/>
      <c r="W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row>
    <row r="143" spans="1:74" ht="27.95" customHeight="1" x14ac:dyDescent="0.3">
      <c r="A143" s="87"/>
      <c r="B143" s="9" t="s">
        <v>186</v>
      </c>
      <c r="C143" s="9" t="s">
        <v>187</v>
      </c>
      <c r="D143" s="9" t="s">
        <v>103</v>
      </c>
      <c r="E143" s="9" t="s">
        <v>96</v>
      </c>
      <c r="F143" s="96">
        <v>0</v>
      </c>
      <c r="G143" s="96">
        <v>0.26246900999999995</v>
      </c>
      <c r="H143" s="96">
        <v>0</v>
      </c>
      <c r="I143" s="96">
        <v>0.31657373091985069</v>
      </c>
      <c r="J143" s="96">
        <v>0</v>
      </c>
      <c r="K143" s="96">
        <v>0.29413083652379385</v>
      </c>
      <c r="L143" s="96">
        <v>0</v>
      </c>
      <c r="M143" s="96">
        <v>0.23219607975852583</v>
      </c>
      <c r="N143" s="96">
        <v>0</v>
      </c>
      <c r="O143" s="96">
        <v>0.18116725600630526</v>
      </c>
      <c r="P143" s="96">
        <v>0</v>
      </c>
      <c r="Q143" s="96">
        <v>0.15522275256977117</v>
      </c>
      <c r="R143" s="96">
        <v>0</v>
      </c>
      <c r="S143" s="96">
        <v>0.137092424818024</v>
      </c>
      <c r="T143" s="96">
        <v>0</v>
      </c>
      <c r="U143" s="201">
        <v>6.6357830602460463E-2</v>
      </c>
      <c r="V143" s="101"/>
      <c r="W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row>
    <row r="144" spans="1:74" ht="27.75" customHeight="1" x14ac:dyDescent="0.3">
      <c r="A144" s="87"/>
      <c r="B144" s="9" t="s">
        <v>159</v>
      </c>
      <c r="C144" s="9" t="s">
        <v>160</v>
      </c>
      <c r="D144" s="9" t="s">
        <v>103</v>
      </c>
      <c r="E144" s="9" t="s">
        <v>96</v>
      </c>
      <c r="F144" s="96">
        <v>0</v>
      </c>
      <c r="G144" s="96">
        <v>6.1310600000000007E-3</v>
      </c>
      <c r="H144" s="96">
        <v>0</v>
      </c>
      <c r="I144" s="96">
        <v>0.10409431137253047</v>
      </c>
      <c r="J144" s="96">
        <v>0</v>
      </c>
      <c r="K144" s="96">
        <v>0.12306256524537257</v>
      </c>
      <c r="L144" s="96">
        <v>0</v>
      </c>
      <c r="M144" s="96">
        <v>0.10441207025119438</v>
      </c>
      <c r="N144" s="96">
        <v>0</v>
      </c>
      <c r="O144" s="96">
        <v>8.6915879197231788E-2</v>
      </c>
      <c r="P144" s="96">
        <v>0</v>
      </c>
      <c r="Q144" s="96">
        <v>8.0845174988852492E-2</v>
      </c>
      <c r="R144" s="96">
        <v>0</v>
      </c>
      <c r="S144" s="96">
        <v>7.7005035500100932E-2</v>
      </c>
      <c r="T144" s="96">
        <v>0</v>
      </c>
      <c r="U144" s="201">
        <v>3.7188647823084814E-2</v>
      </c>
      <c r="V144" s="101"/>
      <c r="W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row>
    <row r="145" spans="1:86" ht="27.95" customHeight="1" x14ac:dyDescent="0.3">
      <c r="A145" s="87"/>
      <c r="B145" s="16" t="s">
        <v>97</v>
      </c>
      <c r="C145" s="16"/>
      <c r="D145" s="16"/>
      <c r="E145" s="16"/>
      <c r="F145" s="94">
        <f t="shared" ref="F145:U145" si="102">+SUM(F146:F153)</f>
        <v>12664.053146755179</v>
      </c>
      <c r="G145" s="94">
        <f t="shared" si="102"/>
        <v>24.772320384615387</v>
      </c>
      <c r="H145" s="94">
        <f t="shared" si="102"/>
        <v>9813.992776680625</v>
      </c>
      <c r="I145" s="94">
        <f t="shared" si="102"/>
        <v>24.058090673076929</v>
      </c>
      <c r="J145" s="94">
        <f t="shared" si="102"/>
        <v>2971.3599841811961</v>
      </c>
      <c r="K145" s="94">
        <f t="shared" si="102"/>
        <v>19.475597211538471</v>
      </c>
      <c r="L145" s="94">
        <f t="shared" si="102"/>
        <v>1134.85416825123</v>
      </c>
      <c r="M145" s="94">
        <f t="shared" si="102"/>
        <v>14.893103750000007</v>
      </c>
      <c r="N145" s="94">
        <f t="shared" si="102"/>
        <v>505.916905016275</v>
      </c>
      <c r="O145" s="94">
        <f t="shared" si="102"/>
        <v>10.310610288461547</v>
      </c>
      <c r="P145" s="94">
        <f t="shared" si="102"/>
        <v>133.78182667801701</v>
      </c>
      <c r="Q145" s="94">
        <f t="shared" si="102"/>
        <v>5.7281168269230855</v>
      </c>
      <c r="R145" s="94">
        <f t="shared" si="102"/>
        <v>79.448289440791498</v>
      </c>
      <c r="S145" s="94">
        <f t="shared" si="102"/>
        <v>1.1456233653846195</v>
      </c>
      <c r="T145" s="94">
        <f t="shared" si="102"/>
        <v>22.29888589856348</v>
      </c>
      <c r="U145" s="94">
        <f t="shared" si="102"/>
        <v>0</v>
      </c>
      <c r="W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7"/>
      <c r="AX145" s="137"/>
      <c r="AY145" s="137"/>
      <c r="AZ145" s="137"/>
      <c r="BA145" s="137"/>
      <c r="BB145" s="137"/>
      <c r="BC145" s="137"/>
      <c r="BD145" s="137"/>
      <c r="BE145" s="137"/>
      <c r="BF145" s="137"/>
      <c r="BG145" s="137"/>
      <c r="BH145" s="137"/>
      <c r="BI145" s="137"/>
      <c r="BJ145" s="137"/>
      <c r="BK145" s="137"/>
      <c r="BL145" s="137"/>
      <c r="BM145" s="137"/>
      <c r="BN145" s="137"/>
      <c r="BO145" s="137"/>
      <c r="BP145" s="137"/>
      <c r="BQ145" s="137"/>
      <c r="BR145" s="137"/>
      <c r="BS145" s="137"/>
      <c r="BT145" s="137"/>
      <c r="BU145" s="137"/>
      <c r="BV145" s="137"/>
    </row>
    <row r="146" spans="1:86" ht="27.95" customHeight="1" x14ac:dyDescent="0.3">
      <c r="A146" s="87"/>
      <c r="B146" s="9" t="s">
        <v>132</v>
      </c>
      <c r="C146" s="9" t="s">
        <v>131</v>
      </c>
      <c r="D146" s="9" t="str">
        <f>+VLOOKUP($C146,$C$10:$D$46,2,FALSE)</f>
        <v>USD</v>
      </c>
      <c r="E146" s="9" t="s">
        <v>97</v>
      </c>
      <c r="F146" s="96">
        <v>0</v>
      </c>
      <c r="G146" s="96">
        <v>24.772320384615387</v>
      </c>
      <c r="H146" s="96">
        <v>0</v>
      </c>
      <c r="I146" s="96">
        <v>24.058090673076929</v>
      </c>
      <c r="J146" s="96">
        <v>0</v>
      </c>
      <c r="K146" s="96">
        <v>19.475597211538471</v>
      </c>
      <c r="L146" s="96">
        <v>0</v>
      </c>
      <c r="M146" s="96">
        <v>14.893103750000007</v>
      </c>
      <c r="N146" s="96">
        <v>0</v>
      </c>
      <c r="O146" s="96">
        <v>10.310610288461547</v>
      </c>
      <c r="P146" s="96">
        <v>0</v>
      </c>
      <c r="Q146" s="96">
        <v>5.7281168269230855</v>
      </c>
      <c r="R146" s="96">
        <v>0</v>
      </c>
      <c r="S146" s="96">
        <v>1.1456233653846195</v>
      </c>
      <c r="T146" s="96">
        <v>0</v>
      </c>
      <c r="U146" s="96">
        <v>0</v>
      </c>
      <c r="W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row>
    <row r="147" spans="1:86" ht="27.95" customHeight="1" x14ac:dyDescent="0.3">
      <c r="A147" s="87"/>
      <c r="B147" s="9" t="s">
        <v>143</v>
      </c>
      <c r="C147" s="9" t="s">
        <v>144</v>
      </c>
      <c r="D147" s="9" t="str">
        <f>+VLOOKUP($C147,$C$10:$D$46,2,FALSE)</f>
        <v>Pesos</v>
      </c>
      <c r="E147" s="9" t="s">
        <v>97</v>
      </c>
      <c r="F147" s="96">
        <v>461.41799190143399</v>
      </c>
      <c r="G147" s="96">
        <v>0</v>
      </c>
      <c r="H147" s="96">
        <v>287.77891183892797</v>
      </c>
      <c r="I147" s="96">
        <v>0</v>
      </c>
      <c r="J147" s="96">
        <v>0</v>
      </c>
      <c r="K147" s="96">
        <v>0</v>
      </c>
      <c r="L147" s="96">
        <v>0</v>
      </c>
      <c r="M147" s="96">
        <v>0</v>
      </c>
      <c r="N147" s="96">
        <v>0</v>
      </c>
      <c r="O147" s="96">
        <v>0</v>
      </c>
      <c r="P147" s="96">
        <v>0</v>
      </c>
      <c r="Q147" s="96">
        <v>0</v>
      </c>
      <c r="R147" s="96">
        <v>0</v>
      </c>
      <c r="S147" s="96">
        <v>0</v>
      </c>
      <c r="T147" s="96">
        <v>0</v>
      </c>
      <c r="U147" s="96">
        <v>0</v>
      </c>
      <c r="W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row>
    <row r="148" spans="1:86" ht="27.95" customHeight="1" x14ac:dyDescent="0.3">
      <c r="A148" s="87"/>
      <c r="B148" s="9" t="s">
        <v>147</v>
      </c>
      <c r="C148" s="9" t="s">
        <v>148</v>
      </c>
      <c r="D148" s="9" t="s">
        <v>2</v>
      </c>
      <c r="E148" s="9" t="s">
        <v>97</v>
      </c>
      <c r="F148" s="96">
        <v>4463.2576047601806</v>
      </c>
      <c r="G148" s="96">
        <v>0</v>
      </c>
      <c r="H148" s="96">
        <v>4579.1998568859899</v>
      </c>
      <c r="I148" s="96">
        <v>0</v>
      </c>
      <c r="J148" s="96">
        <v>2567.8539889231101</v>
      </c>
      <c r="K148" s="96">
        <v>0</v>
      </c>
      <c r="L148" s="96">
        <v>1134.85416825123</v>
      </c>
      <c r="M148" s="96">
        <v>0</v>
      </c>
      <c r="N148" s="96">
        <v>505.916905016275</v>
      </c>
      <c r="O148" s="96">
        <v>0</v>
      </c>
      <c r="P148" s="96">
        <v>133.78182667801701</v>
      </c>
      <c r="Q148" s="96">
        <v>0</v>
      </c>
      <c r="R148" s="96">
        <v>79.448289440791498</v>
      </c>
      <c r="S148" s="96">
        <v>0</v>
      </c>
      <c r="T148" s="96">
        <v>22.29888589856348</v>
      </c>
      <c r="U148" s="96">
        <v>0</v>
      </c>
      <c r="W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row>
    <row r="149" spans="1:86" ht="27.95" customHeight="1" x14ac:dyDescent="0.3">
      <c r="A149" s="87"/>
      <c r="B149" s="9" t="s">
        <v>180</v>
      </c>
      <c r="C149" s="9" t="s">
        <v>182</v>
      </c>
      <c r="D149" s="9" t="s">
        <v>2</v>
      </c>
      <c r="E149" s="9" t="s">
        <v>97</v>
      </c>
      <c r="F149" s="96">
        <v>2639.8089411905798</v>
      </c>
      <c r="G149" s="96">
        <v>0</v>
      </c>
      <c r="H149" s="96">
        <v>2819.8593105559303</v>
      </c>
      <c r="I149" s="96">
        <v>0</v>
      </c>
      <c r="J149" s="96">
        <v>299.90100878083001</v>
      </c>
      <c r="K149" s="96">
        <v>0</v>
      </c>
      <c r="L149" s="96">
        <v>0</v>
      </c>
      <c r="M149" s="96">
        <v>0</v>
      </c>
      <c r="N149" s="96">
        <v>0</v>
      </c>
      <c r="O149" s="96">
        <v>0</v>
      </c>
      <c r="P149" s="96">
        <v>0</v>
      </c>
      <c r="Q149" s="96">
        <v>0</v>
      </c>
      <c r="R149" s="96">
        <v>0</v>
      </c>
      <c r="S149" s="96">
        <v>0</v>
      </c>
      <c r="T149" s="96">
        <v>0</v>
      </c>
      <c r="U149" s="96">
        <v>0</v>
      </c>
      <c r="W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row>
    <row r="150" spans="1:86" ht="27.95" customHeight="1" x14ac:dyDescent="0.3">
      <c r="A150" s="87"/>
      <c r="B150" s="9" t="s">
        <v>181</v>
      </c>
      <c r="C150" s="9" t="s">
        <v>183</v>
      </c>
      <c r="D150" s="9" t="s">
        <v>2</v>
      </c>
      <c r="E150" s="9" t="s">
        <v>97</v>
      </c>
      <c r="F150" s="96">
        <v>1388.4090919238902</v>
      </c>
      <c r="G150" s="96">
        <v>0</v>
      </c>
      <c r="H150" s="96">
        <v>1159.9172607813398</v>
      </c>
      <c r="I150" s="96">
        <v>0</v>
      </c>
      <c r="J150" s="96">
        <v>0</v>
      </c>
      <c r="K150" s="96">
        <v>0</v>
      </c>
      <c r="L150" s="96">
        <v>0</v>
      </c>
      <c r="M150" s="96">
        <v>0</v>
      </c>
      <c r="N150" s="96">
        <v>0</v>
      </c>
      <c r="O150" s="96">
        <v>0</v>
      </c>
      <c r="P150" s="96">
        <v>0</v>
      </c>
      <c r="Q150" s="96">
        <v>0</v>
      </c>
      <c r="R150" s="96">
        <v>0</v>
      </c>
      <c r="S150" s="96">
        <v>0</v>
      </c>
      <c r="T150" s="96">
        <v>0</v>
      </c>
      <c r="U150" s="96">
        <v>0</v>
      </c>
      <c r="W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row>
    <row r="151" spans="1:86" ht="27.95" customHeight="1" x14ac:dyDescent="0.3">
      <c r="A151" s="87"/>
      <c r="B151" s="9" t="s">
        <v>136</v>
      </c>
      <c r="C151" s="9" t="s">
        <v>137</v>
      </c>
      <c r="D151" s="9" t="s">
        <v>2</v>
      </c>
      <c r="E151" s="9" t="s">
        <v>97</v>
      </c>
      <c r="F151" s="96">
        <v>1542.8860476290802</v>
      </c>
      <c r="G151" s="96">
        <v>0</v>
      </c>
      <c r="H151" s="96">
        <v>954.35427458275899</v>
      </c>
      <c r="I151" s="96">
        <v>0</v>
      </c>
      <c r="J151" s="96">
        <v>99.670521505877105</v>
      </c>
      <c r="K151" s="96">
        <v>0</v>
      </c>
      <c r="L151" s="96">
        <v>0</v>
      </c>
      <c r="M151" s="96">
        <v>0</v>
      </c>
      <c r="N151" s="96">
        <v>0</v>
      </c>
      <c r="O151" s="96">
        <v>0</v>
      </c>
      <c r="P151" s="96">
        <v>0</v>
      </c>
      <c r="Q151" s="96">
        <v>0</v>
      </c>
      <c r="R151" s="96">
        <v>0</v>
      </c>
      <c r="S151" s="96">
        <v>0</v>
      </c>
      <c r="T151" s="96">
        <v>0</v>
      </c>
      <c r="U151" s="96">
        <v>0</v>
      </c>
      <c r="W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row>
    <row r="152" spans="1:86" ht="27.95" customHeight="1" x14ac:dyDescent="0.3">
      <c r="A152" s="87"/>
      <c r="B152" s="9" t="s">
        <v>38</v>
      </c>
      <c r="C152" s="9" t="s">
        <v>39</v>
      </c>
      <c r="D152" s="9" t="s">
        <v>2</v>
      </c>
      <c r="E152" s="9" t="s">
        <v>97</v>
      </c>
      <c r="F152" s="96">
        <v>12.4090084914739</v>
      </c>
      <c r="G152" s="96">
        <v>0</v>
      </c>
      <c r="H152" s="96">
        <v>12.883162035679399</v>
      </c>
      <c r="I152" s="96">
        <v>0</v>
      </c>
      <c r="J152" s="96">
        <v>3.9344649713791102</v>
      </c>
      <c r="K152" s="96">
        <v>0</v>
      </c>
      <c r="L152" s="96">
        <v>0</v>
      </c>
      <c r="M152" s="96">
        <v>0</v>
      </c>
      <c r="N152" s="96">
        <v>0</v>
      </c>
      <c r="O152" s="96">
        <v>0</v>
      </c>
      <c r="P152" s="96">
        <v>0</v>
      </c>
      <c r="Q152" s="96">
        <v>0</v>
      </c>
      <c r="R152" s="96">
        <v>0</v>
      </c>
      <c r="S152" s="96">
        <v>0</v>
      </c>
      <c r="T152" s="96">
        <v>0</v>
      </c>
      <c r="U152" s="96">
        <v>0</v>
      </c>
      <c r="W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row>
    <row r="153" spans="1:86" ht="27.95" customHeight="1" x14ac:dyDescent="0.3">
      <c r="A153" s="87"/>
      <c r="B153" s="9" t="s">
        <v>145</v>
      </c>
      <c r="C153" s="9" t="s">
        <v>146</v>
      </c>
      <c r="D153" s="9" t="s">
        <v>2</v>
      </c>
      <c r="E153" s="9" t="s">
        <v>97</v>
      </c>
      <c r="F153" s="96">
        <v>2155.8644608585423</v>
      </c>
      <c r="G153" s="96">
        <v>0</v>
      </c>
      <c r="H153" s="96">
        <v>0</v>
      </c>
      <c r="I153" s="96">
        <v>0</v>
      </c>
      <c r="J153" s="96">
        <v>0</v>
      </c>
      <c r="K153" s="96">
        <v>0</v>
      </c>
      <c r="L153" s="96">
        <v>0</v>
      </c>
      <c r="M153" s="96">
        <v>0</v>
      </c>
      <c r="N153" s="96">
        <v>0</v>
      </c>
      <c r="O153" s="96">
        <v>0</v>
      </c>
      <c r="P153" s="96">
        <v>0</v>
      </c>
      <c r="Q153" s="96">
        <v>0</v>
      </c>
      <c r="R153" s="96">
        <v>0</v>
      </c>
      <c r="S153" s="96">
        <v>0</v>
      </c>
      <c r="T153" s="96">
        <v>0</v>
      </c>
      <c r="U153" s="96">
        <v>0</v>
      </c>
      <c r="W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row>
    <row r="154" spans="1:86" ht="6.75" customHeight="1" x14ac:dyDescent="0.3">
      <c r="B154" s="19"/>
      <c r="C154" s="13"/>
      <c r="D154" s="13"/>
      <c r="F154" s="44"/>
      <c r="G154" s="101"/>
      <c r="H154" s="101"/>
      <c r="I154" s="101"/>
      <c r="J154" s="101"/>
      <c r="K154" s="101"/>
      <c r="L154" s="101"/>
      <c r="M154" s="101"/>
      <c r="N154" s="101"/>
      <c r="O154" s="101"/>
      <c r="P154" s="101"/>
      <c r="Q154" s="101"/>
      <c r="R154" s="101"/>
      <c r="S154" s="101"/>
      <c r="T154" s="99"/>
      <c r="U154" s="99"/>
      <c r="W154" s="101"/>
      <c r="AC154" s="99"/>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row>
    <row r="155" spans="1:86" ht="29.25" customHeight="1" x14ac:dyDescent="0.3">
      <c r="B155" s="225" t="s">
        <v>40</v>
      </c>
      <c r="C155" s="226"/>
      <c r="D155" s="226"/>
      <c r="E155" s="227"/>
      <c r="F155" s="94">
        <f t="shared" ref="F155:U155" si="103">+F145+F128+F116+F126</f>
        <v>28781.931110799313</v>
      </c>
      <c r="G155" s="94">
        <f t="shared" si="103"/>
        <v>34.138683243744772</v>
      </c>
      <c r="H155" s="94">
        <f t="shared" si="103"/>
        <v>23002.158441467654</v>
      </c>
      <c r="I155" s="94">
        <f t="shared" si="103"/>
        <v>37.028638257068472</v>
      </c>
      <c r="J155" s="94">
        <f t="shared" si="103"/>
        <v>8066.8315603509727</v>
      </c>
      <c r="K155" s="94">
        <f t="shared" si="103"/>
        <v>30.022911870146125</v>
      </c>
      <c r="L155" s="94">
        <f t="shared" si="103"/>
        <v>2604.7906406864531</v>
      </c>
      <c r="M155" s="94">
        <f t="shared" si="103"/>
        <v>22.984120485382242</v>
      </c>
      <c r="N155" s="94">
        <f t="shared" si="103"/>
        <v>624.41235864987516</v>
      </c>
      <c r="O155" s="94">
        <f t="shared" si="103"/>
        <v>16.70995950678585</v>
      </c>
      <c r="P155" s="94">
        <f t="shared" si="103"/>
        <v>155.6522021077281</v>
      </c>
      <c r="Q155" s="94">
        <f t="shared" si="103"/>
        <v>10.720626500676111</v>
      </c>
      <c r="R155" s="94">
        <f t="shared" si="103"/>
        <v>101.2516470114237</v>
      </c>
      <c r="S155" s="94">
        <f t="shared" si="103"/>
        <v>5.3520217933163465</v>
      </c>
      <c r="T155" s="94">
        <f t="shared" si="103"/>
        <v>43.221148882437241</v>
      </c>
      <c r="U155" s="94">
        <f t="shared" si="103"/>
        <v>1.9364979204874739</v>
      </c>
      <c r="W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7"/>
      <c r="AZ155" s="137"/>
      <c r="BA155" s="137"/>
      <c r="BB155" s="137"/>
      <c r="BC155" s="137"/>
      <c r="BD155" s="137"/>
      <c r="BE155" s="137"/>
      <c r="BF155" s="137"/>
      <c r="BG155" s="137"/>
      <c r="BH155" s="137"/>
      <c r="BI155" s="137"/>
      <c r="BJ155" s="137"/>
      <c r="BK155" s="137"/>
      <c r="BL155" s="137"/>
      <c r="BM155" s="137"/>
      <c r="BN155" s="137"/>
      <c r="BO155" s="137"/>
      <c r="BP155" s="137"/>
      <c r="BQ155" s="137"/>
      <c r="BR155" s="137"/>
      <c r="BS155" s="137"/>
      <c r="BT155" s="137"/>
      <c r="BU155" s="137"/>
      <c r="BV155" s="137"/>
    </row>
    <row r="156" spans="1:86" x14ac:dyDescent="0.3">
      <c r="B156" s="50"/>
      <c r="C156" s="50"/>
      <c r="D156" s="50"/>
      <c r="E156" s="116"/>
      <c r="F156" s="175"/>
      <c r="G156" s="119"/>
      <c r="H156" s="119"/>
      <c r="I156" s="119"/>
      <c r="J156" s="119"/>
      <c r="K156" s="119"/>
      <c r="L156" s="119"/>
      <c r="M156" s="119"/>
      <c r="N156" s="119"/>
      <c r="O156" s="119"/>
      <c r="P156" s="119"/>
      <c r="Q156" s="119"/>
      <c r="R156" s="119"/>
      <c r="S156" s="119"/>
      <c r="T156" s="119"/>
      <c r="U156" s="119"/>
      <c r="V156" s="131"/>
      <c r="W156" s="131"/>
      <c r="X156" s="131"/>
      <c r="Y156" s="131"/>
      <c r="Z156" s="131"/>
      <c r="AA156" s="131"/>
      <c r="AB156" s="131"/>
      <c r="AC156" s="131"/>
      <c r="AD156" s="131"/>
      <c r="AE156" s="131"/>
      <c r="AF156" s="131"/>
      <c r="AG156" s="131"/>
      <c r="AH156" s="131"/>
      <c r="AI156" s="131"/>
      <c r="AJ156" s="131"/>
      <c r="AK156" s="131"/>
      <c r="AL156" s="131"/>
      <c r="AM156" s="131"/>
      <c r="AN156" s="131"/>
      <c r="AO156" s="131"/>
      <c r="AP156" s="131"/>
      <c r="AQ156" s="131"/>
      <c r="AR156" s="131"/>
      <c r="AS156" s="131"/>
      <c r="AT156" s="131"/>
      <c r="AU156" s="131"/>
      <c r="AV156" s="131"/>
      <c r="AW156" s="131"/>
      <c r="AX156" s="131"/>
      <c r="AY156" s="131"/>
      <c r="AZ156" s="131"/>
      <c r="BA156" s="131"/>
      <c r="BB156" s="131"/>
      <c r="BC156" s="131"/>
      <c r="BD156" s="131"/>
      <c r="BE156" s="131"/>
      <c r="BF156" s="131"/>
      <c r="BG156" s="131"/>
      <c r="BH156" s="131"/>
      <c r="BI156" s="131"/>
      <c r="BJ156" s="131"/>
      <c r="BK156" s="131"/>
      <c r="BL156" s="131"/>
      <c r="BM156" s="131"/>
      <c r="BN156" s="131"/>
      <c r="BO156" s="131"/>
      <c r="BP156" s="131"/>
      <c r="BQ156" s="131"/>
      <c r="BR156" s="131"/>
      <c r="BS156" s="131"/>
      <c r="BT156" s="131"/>
      <c r="BU156" s="131"/>
      <c r="BV156" s="131"/>
      <c r="BW156" s="131"/>
      <c r="BX156" s="131"/>
      <c r="BY156" s="131"/>
      <c r="BZ156" s="131"/>
      <c r="CA156" s="131"/>
      <c r="CB156" s="131"/>
      <c r="CC156" s="131"/>
      <c r="CD156" s="131"/>
      <c r="CE156" s="131"/>
      <c r="CF156" s="131"/>
      <c r="CG156" s="131"/>
      <c r="CH156" s="131"/>
    </row>
  </sheetData>
  <sortState xmlns:xlrd2="http://schemas.microsoft.com/office/spreadsheetml/2017/richdata2" ref="B23:N33">
    <sortCondition descending="1" ref="E23:E33"/>
  </sortState>
  <mergeCells count="24">
    <mergeCell ref="B63:U63"/>
    <mergeCell ref="B111:U111"/>
    <mergeCell ref="B48:D48"/>
    <mergeCell ref="B107:E107"/>
    <mergeCell ref="B155:E155"/>
    <mergeCell ref="B52:N52"/>
    <mergeCell ref="B56:N56"/>
    <mergeCell ref="B53:N53"/>
    <mergeCell ref="B54:N54"/>
    <mergeCell ref="B55:N55"/>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82" location="BIDF40!A1" display="BIDF40" xr:uid="{00000000-0004-0000-0000-000000000000}"/>
    <hyperlink ref="C91" location="BIDO24!A1" display="BIDO24" xr:uid="{00000000-0004-0000-0000-000001000000}"/>
    <hyperlink ref="C94" location="BIRS38!A1" display="BIRS38" xr:uid="{00000000-0004-0000-0000-000002000000}"/>
    <hyperlink ref="C90" location="BIDS34!A1" display="BIDS34" xr:uid="{00000000-0004-0000-0000-000003000000}"/>
    <hyperlink ref="C77" location="ANSE23!A1" display="ANSE23" xr:uid="{00000000-0004-0000-0000-000004000000}"/>
    <hyperlink ref="C105" location="'PMG25'!A1" display="PMG25" xr:uid="{00000000-0004-0000-0000-000005000000}"/>
    <hyperlink ref="C130" location="BIDF40!A1" display="BIDF40" xr:uid="{00000000-0004-0000-0000-000006000000}"/>
    <hyperlink ref="C139" location="BIDO24!A1" display="BIDO24" xr:uid="{00000000-0004-0000-0000-000007000000}"/>
    <hyperlink ref="C142" location="BIRS38!A1" display="BIRS38" xr:uid="{00000000-0004-0000-0000-000008000000}"/>
    <hyperlink ref="C138" location="BIDS34!A1" display="BIDS34" xr:uid="{00000000-0004-0000-0000-000009000000}"/>
    <hyperlink ref="C140" location="BIDS23!A1" display="BIDS23" xr:uid="{00000000-0004-0000-0000-00000A000000}"/>
    <hyperlink ref="C125" location="ANSE23!A1" display="ANSE23" xr:uid="{00000000-0004-0000-0000-00000B000000}"/>
    <hyperlink ref="C153" location="'PMG25'!A1" display="PMG25" xr:uid="{00000000-0004-0000-0000-00000C000000}"/>
    <hyperlink ref="C23" location="BIDF40!A1" display="BIDF40" xr:uid="{00000000-0004-0000-0000-00000D000000}"/>
    <hyperlink ref="C32" location="BIDO24!A1" display="BIDO24" xr:uid="{00000000-0004-0000-0000-00000E000000}"/>
    <hyperlink ref="C30" location="BIDN32!A1" display="BIDN32" xr:uid="{00000000-0004-0000-0000-00000F000000}"/>
    <hyperlink ref="C35" location="BIRS38!A1" display="BIRS38" xr:uid="{00000000-0004-0000-0000-000010000000}"/>
    <hyperlink ref="C31" location="BIDS34!A1" display="BIDS34" xr:uid="{00000000-0004-0000-0000-000011000000}"/>
    <hyperlink ref="C33" location="BIDS23!A1" display="BIDS23" xr:uid="{00000000-0004-0000-0000-000012000000}"/>
    <hyperlink ref="C27" location="BIDY42!A1" display="BIDY42" xr:uid="{00000000-0004-0000-0000-000013000000}"/>
    <hyperlink ref="C10" location="FFFIRO24!A1" display="FFFIRO24" xr:uid="{00000000-0004-0000-0000-000014000000}"/>
    <hyperlink ref="C12" location="FFFIRF26!A1" display="FFFIRF26" xr:uid="{00000000-0004-0000-0000-000015000000}"/>
    <hyperlink ref="C18" location="ANSE23!A1" display="ANSE23" xr:uid="{00000000-0004-0000-0000-000016000000}"/>
    <hyperlink ref="C13" location="IPVO26!A1" display="IPVO26" xr:uid="{00000000-0004-0000-0000-000017000000}"/>
    <hyperlink ref="C14" location="FFFIRE26!A1" display="FFFIRE26" xr:uid="{00000000-0004-0000-0000-000018000000}"/>
    <hyperlink ref="C45" location="'PMG25'!A1" display="PMG25" xr:uid="{00000000-0004-0000-0000-000019000000}"/>
    <hyperlink ref="C17" location="FFDPO23!A1" display="FFDPO23" xr:uid="{00000000-0004-0000-0000-00001A000000}"/>
    <hyperlink ref="C16" location="GOBD23!A1" display="GOBD23" xr:uid="{00000000-0004-0000-0000-00001B000000}"/>
    <hyperlink ref="C85" location="BIDN44!A1" display="BIDN44" xr:uid="{00000000-0004-0000-0000-00001C000000}"/>
    <hyperlink ref="C133" location="BIDN44!A1" display="BIDN44" xr:uid="{00000000-0004-0000-0000-00001D000000}"/>
    <hyperlink ref="C44" location="'PMY25'!A1" display="PMY25" xr:uid="{00000000-0004-0000-0000-00001E000000}"/>
    <hyperlink ref="C104" location="'PMY25'!A1" display="PMY25" xr:uid="{00000000-0004-0000-0000-00001F000000}"/>
    <hyperlink ref="C152" location="'PMY25'!A1" display="PMY25" xr:uid="{00000000-0004-0000-0000-000020000000}"/>
    <hyperlink ref="C40" location="'PMD24'!A1" display="PMD24" xr:uid="{00000000-0004-0000-0000-000021000000}"/>
    <hyperlink ref="C79" location="BNAM27!A1" display="BNAM27" xr:uid="{00000000-0004-0000-0000-000022000000}"/>
    <hyperlink ref="C20" location="BNAM27!A1" display="BNAM27" xr:uid="{00000000-0004-0000-0000-000023000000}"/>
    <hyperlink ref="C127" location="BNAM27!A1" display="BNAM27" xr:uid="{00000000-0004-0000-0000-000024000000}"/>
    <hyperlink ref="C95" location="BIRFE50!A1" display="BIRFE50" xr:uid="{00000000-0004-0000-0000-000025000000}"/>
    <hyperlink ref="C92" location="BIDS23!A1" display="BIDS23" xr:uid="{00000000-0004-0000-0000-000026000000}"/>
    <hyperlink ref="C69" location="FFFIRO24!A1" display="FFFIRO24" xr:uid="{00000000-0004-0000-0000-000027000000}"/>
    <hyperlink ref="C71" location="FFFIRF26!A1" display="FFFIRF26" xr:uid="{00000000-0004-0000-0000-000028000000}"/>
    <hyperlink ref="C72" location="IPVO26!A1" display="IPVO26" xr:uid="{00000000-0004-0000-0000-000029000000}"/>
    <hyperlink ref="C73" location="FFFIRE26!A1" display="FFFIRE26" xr:uid="{00000000-0004-0000-0000-00002A000000}"/>
    <hyperlink ref="C76" location="FFDPO23!A1" display="FFDPO23" xr:uid="{00000000-0004-0000-0000-00002B000000}"/>
    <hyperlink ref="C75" location="GOBD23!A1" display="GOBD23" xr:uid="{00000000-0004-0000-0000-00002C000000}"/>
    <hyperlink ref="C86" location="BIDY42!A1" display="BIDY42" xr:uid="{00000000-0004-0000-0000-00002D000000}"/>
    <hyperlink ref="C89" location="BIDN32!A1" display="BIDN32" xr:uid="{00000000-0004-0000-0000-00002E000000}"/>
    <hyperlink ref="C117" location="FFFIRO24!A1" display="FFFIRO24" xr:uid="{00000000-0004-0000-0000-00002F000000}"/>
    <hyperlink ref="C119" location="FFFIRF26!A1" display="FFFIRF26" xr:uid="{00000000-0004-0000-0000-000030000000}"/>
    <hyperlink ref="C120" location="IPVO26!A1" display="IPVO26" xr:uid="{00000000-0004-0000-0000-000031000000}"/>
    <hyperlink ref="C121" location="FFFIRE26!A1" display="FFFIRE26" xr:uid="{00000000-0004-0000-0000-000032000000}"/>
    <hyperlink ref="C124" location="FFDPO23!A1" display="FFDPO23" xr:uid="{00000000-0004-0000-0000-000033000000}"/>
    <hyperlink ref="C123" location="GOBD23!A1" display="GOBD23" xr:uid="{00000000-0004-0000-0000-000034000000}"/>
    <hyperlink ref="C134" location="BIDY42!A1" display="BIDY42" xr:uid="{00000000-0004-0000-0000-000035000000}"/>
    <hyperlink ref="C135" location="BIDY42!A1" display="BIDY42" xr:uid="{00000000-0004-0000-0000-000036000000}"/>
    <hyperlink ref="C137" location="BIDN32!A1" display="BIDN32" xr:uid="{00000000-0004-0000-0000-000037000000}"/>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AO6"/>
  <sheetViews>
    <sheetView topLeftCell="AF1" workbookViewId="0">
      <selection activeCell="O4" sqref="O4"/>
    </sheetView>
  </sheetViews>
  <sheetFormatPr baseColWidth="10" defaultRowHeight="15" x14ac:dyDescent="0.25"/>
  <sheetData>
    <row r="1" spans="1:41" x14ac:dyDescent="0.25">
      <c r="A1" t="s">
        <v>220</v>
      </c>
    </row>
    <row r="2" spans="1:41" x14ac:dyDescent="0.25">
      <c r="B2" s="53">
        <v>41729</v>
      </c>
      <c r="C2" s="53">
        <v>41820</v>
      </c>
      <c r="D2" s="53">
        <v>41912</v>
      </c>
      <c r="E2" s="53">
        <v>42004</v>
      </c>
      <c r="F2" s="53">
        <v>42094</v>
      </c>
      <c r="G2" s="53">
        <v>42185</v>
      </c>
      <c r="H2" s="53">
        <v>42277</v>
      </c>
      <c r="I2" s="53">
        <v>42369</v>
      </c>
      <c r="J2" s="53">
        <v>42460</v>
      </c>
      <c r="K2" s="53">
        <v>42551</v>
      </c>
      <c r="L2" s="53">
        <v>42643</v>
      </c>
      <c r="M2" s="53">
        <v>42735</v>
      </c>
      <c r="N2" s="53">
        <v>42825</v>
      </c>
      <c r="O2" s="53">
        <v>42916</v>
      </c>
      <c r="P2" s="53">
        <v>43008</v>
      </c>
      <c r="Q2" s="53">
        <v>43100</v>
      </c>
      <c r="R2" s="53">
        <v>43190</v>
      </c>
      <c r="S2" s="53">
        <v>43281</v>
      </c>
      <c r="T2" s="53">
        <v>43373</v>
      </c>
      <c r="U2" s="53">
        <v>43465</v>
      </c>
      <c r="V2" s="53">
        <v>43555</v>
      </c>
      <c r="W2" s="53">
        <v>43646</v>
      </c>
      <c r="X2" s="53">
        <v>43738</v>
      </c>
      <c r="Y2" s="53">
        <v>43830</v>
      </c>
      <c r="Z2" s="53">
        <v>43921</v>
      </c>
      <c r="AA2" s="53">
        <v>44012</v>
      </c>
      <c r="AB2" s="53">
        <v>44104</v>
      </c>
      <c r="AC2" s="53">
        <v>44196</v>
      </c>
      <c r="AD2" s="53">
        <v>44286</v>
      </c>
      <c r="AE2" s="53">
        <v>44377</v>
      </c>
      <c r="AF2" s="53">
        <v>44469</v>
      </c>
      <c r="AG2" s="53">
        <v>44561</v>
      </c>
      <c r="AH2" s="53">
        <v>44651</v>
      </c>
      <c r="AI2" s="53">
        <v>44742</v>
      </c>
      <c r="AJ2" s="53">
        <v>44834</v>
      </c>
      <c r="AK2" s="53">
        <v>44926</v>
      </c>
      <c r="AL2" s="53">
        <v>45016</v>
      </c>
      <c r="AM2" s="53">
        <v>45107</v>
      </c>
      <c r="AN2" s="53">
        <v>45199</v>
      </c>
      <c r="AO2" s="53">
        <v>45289</v>
      </c>
    </row>
    <row r="3" spans="1:41" x14ac:dyDescent="0.25">
      <c r="A3" t="s">
        <v>218</v>
      </c>
      <c r="B3">
        <f>+_xlfn.XLOOKUP(B2,'Evolución Deuda Total'!4:4,'Evolución Deuda Total'!7:7)</f>
        <v>9595.7892442100001</v>
      </c>
      <c r="C3">
        <f>+_xlfn.XLOOKUP(C2,'Evolución Deuda Total'!4:4,'Evolución Deuda Total'!7:7)</f>
        <v>10054.44866702</v>
      </c>
      <c r="D3">
        <f>+_xlfn.XLOOKUP(D2,'Evolución Deuda Total'!4:4,'Evolución Deuda Total'!7:7)</f>
        <v>10277.67203896</v>
      </c>
      <c r="E3">
        <f>+_xlfn.XLOOKUP(E2,'Evolución Deuda Total'!4:4,'Evolución Deuda Total'!7:7)</f>
        <v>11311.607368460001</v>
      </c>
      <c r="F3">
        <f>+_xlfn.XLOOKUP(F2,'Evolución Deuda Total'!4:4,'Evolución Deuda Total'!7:7)</f>
        <v>10243.55921521</v>
      </c>
      <c r="G3">
        <f>+_xlfn.XLOOKUP(G2,'Evolución Deuda Total'!4:4,'Evolución Deuda Total'!7:7)</f>
        <v>11670.570962289999</v>
      </c>
      <c r="H3">
        <f>+_xlfn.XLOOKUP(H2,'Evolución Deuda Total'!4:4,'Evolución Deuda Total'!7:7)</f>
        <v>12214.777311260001</v>
      </c>
      <c r="I3">
        <f>+_xlfn.XLOOKUP(I2,'Evolución Deuda Total'!4:4,'Evolución Deuda Total'!7:7)</f>
        <v>19341.371375745901</v>
      </c>
      <c r="J3">
        <f>+_xlfn.XLOOKUP(J2,'Evolución Deuda Total'!4:4,'Evolución Deuda Total'!7:7)</f>
        <v>17301.287027842955</v>
      </c>
      <c r="K3">
        <f>+_xlfn.XLOOKUP(K2,'Evolución Deuda Total'!4:4,'Evolución Deuda Total'!7:7)</f>
        <v>25163.553875407499</v>
      </c>
      <c r="L3">
        <f>+_xlfn.XLOOKUP(L2,'Evolución Deuda Total'!4:4,'Evolución Deuda Total'!7:7)</f>
        <v>26974.277571758528</v>
      </c>
      <c r="M3">
        <f>+_xlfn.XLOOKUP(M2,'Evolución Deuda Total'!4:4,'Evolución Deuda Total'!7:7)</f>
        <v>28856.463975405597</v>
      </c>
      <c r="N3">
        <f>+_xlfn.XLOOKUP(N2,'Evolución Deuda Total'!4:4,'Evolución Deuda Total'!7:7)</f>
        <v>27813.044351214266</v>
      </c>
      <c r="O3">
        <f>+_xlfn.XLOOKUP(O2,'Evolución Deuda Total'!4:4,'Evolución Deuda Total'!7:7)</f>
        <v>34721.845252353349</v>
      </c>
      <c r="P3">
        <f>+_xlfn.XLOOKUP(P2,'Evolución Deuda Total'!4:4,'Evolución Deuda Total'!7:7)</f>
        <v>35143.966680540674</v>
      </c>
      <c r="Q3">
        <f>+_xlfn.XLOOKUP(Q2,'Evolución Deuda Total'!4:4,'Evolución Deuda Total'!7:7)</f>
        <v>36118.107128408214</v>
      </c>
      <c r="R3">
        <f>+_xlfn.XLOOKUP(R2,'Evolución Deuda Total'!4:4,'Evolución Deuda Total'!7:7)</f>
        <v>38411.005886231746</v>
      </c>
      <c r="S3">
        <f>+_xlfn.XLOOKUP(S2,'Evolución Deuda Total'!4:4,'Evolución Deuda Total'!7:7)</f>
        <v>45078.167330485368</v>
      </c>
      <c r="T3">
        <f>+_xlfn.XLOOKUP(T2,'Evolución Deuda Total'!4:4,'Evolución Deuda Total'!7:7)</f>
        <v>52158.216815698863</v>
      </c>
      <c r="U3">
        <f>+_xlfn.XLOOKUP(U2,'Evolución Deuda Total'!4:4,'Evolución Deuda Total'!7:7)</f>
        <v>53969.19287518537</v>
      </c>
      <c r="V3">
        <f>+_xlfn.XLOOKUP(V2,'Evolución Deuda Total'!4:4,'Evolución Deuda Total'!7:7)</f>
        <v>57436.301997247203</v>
      </c>
      <c r="W3">
        <f>+_xlfn.XLOOKUP(W2,'Evolución Deuda Total'!4:4,'Evolución Deuda Total'!7:7)</f>
        <v>61807.524405070901</v>
      </c>
      <c r="X3">
        <f>+_xlfn.XLOOKUP(X2,'Evolución Deuda Total'!4:4,'Evolución Deuda Total'!7:7)</f>
        <v>74754.60925710127</v>
      </c>
      <c r="Y3">
        <f>+_xlfn.XLOOKUP(Y2,'Evolución Deuda Total'!4:4,'Evolución Deuda Total'!7:7)</f>
        <v>82512.896920442698</v>
      </c>
      <c r="Z3">
        <f>+_xlfn.XLOOKUP(Z2,'Evolución Deuda Total'!4:4,'Evolución Deuda Total'!7:7)</f>
        <v>80568.265416958544</v>
      </c>
      <c r="AA3">
        <f>+_xlfn.XLOOKUP(AA2,'Evolución Deuda Total'!4:4,'Evolución Deuda Total'!7:7)</f>
        <v>88114.501807707595</v>
      </c>
      <c r="AB3">
        <f>+_xlfn.XLOOKUP(AB2,'Evolución Deuda Total'!4:4,'Evolución Deuda Total'!7:7)</f>
        <v>94876.672754353975</v>
      </c>
      <c r="AC3">
        <f>+_xlfn.XLOOKUP(AC2,'Evolución Deuda Total'!4:4,'Evolución Deuda Total'!7:7)</f>
        <v>113857.92866559949</v>
      </c>
      <c r="AD3">
        <f>+_xlfn.XLOOKUP(AD2,'Evolución Deuda Total'!4:4,'Evolución Deuda Total'!7:7)</f>
        <v>110213.2372194096</v>
      </c>
      <c r="AE3">
        <f>+_xlfn.XLOOKUP(AE2,'Evolución Deuda Total'!4:4,'Evolución Deuda Total'!7:7)</f>
        <v>112324.6814903288</v>
      </c>
      <c r="AF3">
        <f>+_xlfn.XLOOKUP(AF2,'Evolución Deuda Total'!4:4,'Evolución Deuda Total'!7:7)</f>
        <v>122062.20787198372</v>
      </c>
      <c r="AG3">
        <f>+_xlfn.XLOOKUP(AG2,'Evolución Deuda Total'!4:4,'Evolución Deuda Total'!7:7)</f>
        <v>144730.96280351933</v>
      </c>
      <c r="AH3">
        <f>+_xlfn.XLOOKUP(AH2,'Evolución Deuda Total'!4:4,'Evolución Deuda Total'!7:7)</f>
        <v>132286.93370824342</v>
      </c>
      <c r="AI3">
        <f>+_xlfn.XLOOKUP(AI2,'Evolución Deuda Total'!4:4,'Evolución Deuda Total'!7:7)</f>
        <v>148808.39178993742</v>
      </c>
      <c r="AJ3">
        <f>+_xlfn.XLOOKUP(AJ2,'Evolución Deuda Total'!4:4,'Evolución Deuda Total'!7:7)</f>
        <v>166947.41691268218</v>
      </c>
      <c r="AK3">
        <f>+_xlfn.XLOOKUP(AK2,'Evolución Deuda Total'!4:4,'Evolución Deuda Total'!7:7)</f>
        <v>224667.53603237009</v>
      </c>
      <c r="AL3">
        <f>+_xlfn.XLOOKUP(AL2,'Evolución Deuda Total'!4:4,'Evolución Deuda Total'!7:7)</f>
        <v>200144.47512748229</v>
      </c>
      <c r="AM3">
        <f>+_xlfn.XLOOKUP(AM2,'Evolución Deuda Total'!4:4,'Evolución Deuda Total'!7:7)</f>
        <v>243974.74979249097</v>
      </c>
      <c r="AN3">
        <f>+_xlfn.XLOOKUP(AN2,'Evolución Deuda Total'!4:4,'Evolución Deuda Total'!7:7)</f>
        <v>328860.73552911391</v>
      </c>
      <c r="AO3" t="e">
        <f>+_xlfn.XLOOKUP(AO2,'Evolución Deuda Total'!4:4,'Evolución Deuda Total'!7:7)</f>
        <v>#N/A</v>
      </c>
    </row>
    <row r="4" spans="1:41" x14ac:dyDescent="0.25">
      <c r="A4" t="s">
        <v>219</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c r="AI4">
        <v>2209050.3092668322</v>
      </c>
      <c r="AJ4">
        <v>2209050.3092668322</v>
      </c>
      <c r="AK4">
        <v>2209050.3092668322</v>
      </c>
    </row>
    <row r="6" spans="1:41" x14ac:dyDescent="0.25">
      <c r="A6" t="s">
        <v>221</v>
      </c>
      <c r="B6" s="145">
        <f>+B3/B4</f>
        <v>7.2591190403288736E-2</v>
      </c>
      <c r="C6" s="145">
        <f t="shared" ref="C6:AK6" si="0">+C3/C4</f>
        <v>7.6060903278814096E-2</v>
      </c>
      <c r="D6" s="145">
        <f t="shared" si="0"/>
        <v>7.7749565866389994E-2</v>
      </c>
      <c r="E6" s="145">
        <f t="shared" si="0"/>
        <v>8.5571183709206716E-2</v>
      </c>
      <c r="F6" s="145">
        <f t="shared" si="0"/>
        <v>6.1635656176719449E-2</v>
      </c>
      <c r="G6" s="145">
        <f t="shared" si="0"/>
        <v>7.0222008200981109E-2</v>
      </c>
      <c r="H6" s="145">
        <f t="shared" si="0"/>
        <v>7.3496506323127722E-2</v>
      </c>
      <c r="I6" s="145">
        <f t="shared" si="0"/>
        <v>0.11637733438701836</v>
      </c>
      <c r="J6" s="145">
        <f t="shared" si="0"/>
        <v>7.7755267567067438E-2</v>
      </c>
      <c r="K6" s="145">
        <f t="shared" si="0"/>
        <v>0.11308978698358528</v>
      </c>
      <c r="L6" s="145">
        <f t="shared" si="0"/>
        <v>0.12122752293775013</v>
      </c>
      <c r="M6" s="145">
        <f t="shared" si="0"/>
        <v>0.12968642586162818</v>
      </c>
      <c r="N6" s="145">
        <f t="shared" si="0"/>
        <v>9.8960236946928334E-2</v>
      </c>
      <c r="O6" s="145">
        <f t="shared" si="0"/>
        <v>0.12354210456136036</v>
      </c>
      <c r="P6" s="145">
        <f t="shared" si="0"/>
        <v>0.12504403423242744</v>
      </c>
      <c r="Q6" s="145">
        <f t="shared" si="0"/>
        <v>0.12851007586106886</v>
      </c>
      <c r="R6" s="145">
        <f t="shared" si="0"/>
        <v>9.8082755534520435E-2</v>
      </c>
      <c r="S6" s="145">
        <f t="shared" si="0"/>
        <v>0.11510739602383153</v>
      </c>
      <c r="T6" s="145">
        <f t="shared" si="0"/>
        <v>0.13318634883457836</v>
      </c>
      <c r="U6" s="145">
        <f t="shared" si="0"/>
        <v>0.13781068808379218</v>
      </c>
      <c r="V6" s="145">
        <f t="shared" si="0"/>
        <v>0.10167224208084931</v>
      </c>
      <c r="W6" s="145">
        <f t="shared" si="0"/>
        <v>0.1094100658505409</v>
      </c>
      <c r="X6" s="145">
        <f t="shared" si="0"/>
        <v>0.13232865739531025</v>
      </c>
      <c r="Y6" s="145">
        <f t="shared" si="0"/>
        <v>0.14606217564092991</v>
      </c>
      <c r="Z6" s="145">
        <f t="shared" si="0"/>
        <v>0.10888293191158835</v>
      </c>
      <c r="AA6" s="145">
        <f t="shared" si="0"/>
        <v>0.11908119469992599</v>
      </c>
      <c r="AB6" s="145">
        <f t="shared" si="0"/>
        <v>0.12821984246586438</v>
      </c>
      <c r="AC6" s="145">
        <f t="shared" si="0"/>
        <v>0.1538718133043176</v>
      </c>
      <c r="AD6" s="145">
        <f t="shared" si="0"/>
        <v>9.4514360083681484E-2</v>
      </c>
      <c r="AE6" s="145">
        <f t="shared" si="0"/>
        <v>9.6325048247399986E-2</v>
      </c>
      <c r="AF6" s="145">
        <f t="shared" si="0"/>
        <v>0.10467555221570191</v>
      </c>
      <c r="AG6" s="145">
        <f t="shared" si="0"/>
        <v>0.12411534838086317</v>
      </c>
      <c r="AH6" s="145">
        <f t="shared" si="0"/>
        <v>5.988407468734766E-2</v>
      </c>
      <c r="AI6" s="145">
        <f t="shared" si="0"/>
        <v>6.7363061477457187E-2</v>
      </c>
      <c r="AJ6" s="145">
        <f t="shared" si="0"/>
        <v>7.5574293719046545E-2</v>
      </c>
      <c r="AK6" s="145">
        <f t="shared" si="0"/>
        <v>0.10170322291434622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V174"/>
  <sheetViews>
    <sheetView showGridLines="0" topLeftCell="BE1" zoomScale="85" zoomScaleNormal="85" workbookViewId="0">
      <selection activeCell="BO13" sqref="BO13"/>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7" max="47" width="14.85546875" bestFit="1" customWidth="1"/>
    <col min="49" max="49" width="17.7109375" customWidth="1"/>
    <col min="56" max="56" width="17.7109375" customWidth="1"/>
    <col min="62" max="62" width="14.7109375" customWidth="1"/>
    <col min="66" max="66" width="90.85546875" customWidth="1"/>
  </cols>
  <sheetData>
    <row r="2" spans="1:74" ht="33" customHeight="1" x14ac:dyDescent="0.25">
      <c r="G2" s="242" t="s">
        <v>90</v>
      </c>
      <c r="H2" s="242" t="s">
        <v>91</v>
      </c>
      <c r="I2" s="242"/>
      <c r="J2" s="242"/>
      <c r="K2" s="242" t="s">
        <v>92</v>
      </c>
      <c r="L2" s="242"/>
      <c r="M2" s="242"/>
      <c r="N2" s="242" t="s">
        <v>89</v>
      </c>
      <c r="O2" s="242"/>
      <c r="P2" s="242"/>
      <c r="Q2" s="242" t="s">
        <v>91</v>
      </c>
      <c r="R2" s="242"/>
      <c r="S2" s="242"/>
      <c r="T2" s="242" t="s">
        <v>92</v>
      </c>
      <c r="U2" s="242"/>
      <c r="V2" s="242"/>
      <c r="W2" s="242" t="s">
        <v>89</v>
      </c>
      <c r="X2" s="242"/>
      <c r="Y2" s="242"/>
      <c r="AB2" s="242" t="s">
        <v>98</v>
      </c>
      <c r="AC2" s="70" t="s">
        <v>93</v>
      </c>
      <c r="AD2" s="70" t="s">
        <v>93</v>
      </c>
      <c r="AE2" s="70" t="s">
        <v>93</v>
      </c>
      <c r="AF2" s="70" t="s">
        <v>94</v>
      </c>
      <c r="AG2" s="70" t="s">
        <v>94</v>
      </c>
      <c r="AH2" s="70" t="s">
        <v>94</v>
      </c>
      <c r="AI2" s="70" t="s">
        <v>95</v>
      </c>
      <c r="AJ2" s="70" t="s">
        <v>95</v>
      </c>
      <c r="AK2" s="70" t="s">
        <v>95</v>
      </c>
      <c r="AL2" s="70" t="s">
        <v>96</v>
      </c>
      <c r="AM2" s="70" t="s">
        <v>96</v>
      </c>
      <c r="AN2" s="70" t="s">
        <v>96</v>
      </c>
      <c r="AO2" s="70" t="s">
        <v>97</v>
      </c>
      <c r="AP2" s="70" t="s">
        <v>97</v>
      </c>
      <c r="AQ2" s="70" t="s">
        <v>97</v>
      </c>
      <c r="AR2" s="242" t="s">
        <v>89</v>
      </c>
      <c r="AS2" s="242"/>
      <c r="AT2" s="242"/>
    </row>
    <row r="3" spans="1:74" ht="27" customHeight="1" x14ac:dyDescent="0.25">
      <c r="A3" s="67" t="s">
        <v>88</v>
      </c>
      <c r="B3" s="68" t="s">
        <v>2</v>
      </c>
      <c r="C3" s="68" t="s">
        <v>103</v>
      </c>
      <c r="D3" s="68" t="s">
        <v>45</v>
      </c>
      <c r="G3" s="242"/>
      <c r="H3" s="68" t="s">
        <v>2</v>
      </c>
      <c r="I3" s="68" t="s">
        <v>103</v>
      </c>
      <c r="J3" s="68" t="s">
        <v>45</v>
      </c>
      <c r="K3" s="68" t="s">
        <v>2</v>
      </c>
      <c r="L3" s="68" t="s">
        <v>103</v>
      </c>
      <c r="M3" s="68" t="s">
        <v>45</v>
      </c>
      <c r="N3" s="68" t="s">
        <v>2</v>
      </c>
      <c r="O3" s="68" t="s">
        <v>103</v>
      </c>
      <c r="P3" s="68" t="s">
        <v>45</v>
      </c>
      <c r="Q3" s="68" t="s">
        <v>2</v>
      </c>
      <c r="R3" s="68" t="s">
        <v>103</v>
      </c>
      <c r="S3" s="68" t="s">
        <v>45</v>
      </c>
      <c r="T3" s="68" t="s">
        <v>2</v>
      </c>
      <c r="U3" s="68" t="s">
        <v>103</v>
      </c>
      <c r="V3" s="68" t="s">
        <v>45</v>
      </c>
      <c r="W3" s="68" t="s">
        <v>2</v>
      </c>
      <c r="X3" s="68" t="s">
        <v>103</v>
      </c>
      <c r="Y3" s="68" t="s">
        <v>45</v>
      </c>
      <c r="AB3" s="242"/>
      <c r="AC3" s="68" t="s">
        <v>2</v>
      </c>
      <c r="AD3" s="68" t="s">
        <v>103</v>
      </c>
      <c r="AE3" s="68" t="s">
        <v>45</v>
      </c>
      <c r="AF3" s="68" t="s">
        <v>2</v>
      </c>
      <c r="AG3" s="68" t="s">
        <v>103</v>
      </c>
      <c r="AH3" s="68" t="s">
        <v>45</v>
      </c>
      <c r="AI3" s="68" t="s">
        <v>2</v>
      </c>
      <c r="AJ3" s="68" t="s">
        <v>103</v>
      </c>
      <c r="AK3" s="68" t="s">
        <v>45</v>
      </c>
      <c r="AL3" s="68" t="s">
        <v>2</v>
      </c>
      <c r="AM3" s="68" t="s">
        <v>103</v>
      </c>
      <c r="AN3" s="68" t="s">
        <v>45</v>
      </c>
      <c r="AO3" s="68" t="s">
        <v>2</v>
      </c>
      <c r="AP3" s="68" t="s">
        <v>103</v>
      </c>
      <c r="AQ3" s="68" t="s">
        <v>45</v>
      </c>
      <c r="AR3" s="68" t="s">
        <v>2</v>
      </c>
      <c r="AS3" s="68" t="s">
        <v>103</v>
      </c>
      <c r="AT3" s="68" t="s">
        <v>45</v>
      </c>
      <c r="AW3" s="67" t="s">
        <v>104</v>
      </c>
      <c r="AX3" s="68" t="s">
        <v>2</v>
      </c>
      <c r="AY3" s="68" t="s">
        <v>103</v>
      </c>
      <c r="AZ3" s="68" t="s">
        <v>45</v>
      </c>
      <c r="BA3" s="69" t="s">
        <v>106</v>
      </c>
      <c r="BD3" s="67" t="s">
        <v>107</v>
      </c>
      <c r="BE3" s="68" t="s">
        <v>110</v>
      </c>
      <c r="BF3" s="68" t="s">
        <v>111</v>
      </c>
      <c r="BG3" s="68" t="s">
        <v>112</v>
      </c>
      <c r="BH3" s="68" t="s">
        <v>108</v>
      </c>
      <c r="BI3" s="68" t="s">
        <v>109</v>
      </c>
      <c r="BJ3" s="69" t="s">
        <v>113</v>
      </c>
      <c r="BK3" s="69" t="s">
        <v>106</v>
      </c>
      <c r="BT3" s="260" t="s">
        <v>122</v>
      </c>
      <c r="BU3" s="260"/>
      <c r="BV3" s="260"/>
    </row>
    <row r="4" spans="1:74" ht="16.5" x14ac:dyDescent="0.25">
      <c r="A4" s="73">
        <v>2020</v>
      </c>
      <c r="B4" s="167">
        <v>3065.3877530712161</v>
      </c>
      <c r="C4" s="167">
        <v>45.469618353511237</v>
      </c>
      <c r="D4" s="167">
        <v>55.569016177820686</v>
      </c>
      <c r="E4" s="47"/>
      <c r="F4" s="47"/>
      <c r="G4" s="74">
        <v>2020</v>
      </c>
      <c r="H4" s="167">
        <v>424.70894349503453</v>
      </c>
      <c r="I4" s="167">
        <v>17.845133027467902</v>
      </c>
      <c r="J4" s="167">
        <v>44.483175448205863</v>
      </c>
      <c r="K4" s="167">
        <v>2640.6788095761817</v>
      </c>
      <c r="L4" s="167">
        <v>27.624485326043335</v>
      </c>
      <c r="M4" s="167">
        <v>11.085840729614823</v>
      </c>
      <c r="N4" s="106">
        <f>+K4+H4</f>
        <v>3065.3877530712161</v>
      </c>
      <c r="O4" s="106">
        <f t="shared" ref="O4:P4" si="0">+L4+I4</f>
        <v>45.469618353511237</v>
      </c>
      <c r="P4" s="106">
        <f t="shared" si="0"/>
        <v>55.569016177820686</v>
      </c>
      <c r="Q4" s="107">
        <f>+H4/N4</f>
        <v>0.13854982720196427</v>
      </c>
      <c r="R4" s="107">
        <f>+I4/O4</f>
        <v>0.39246278446253713</v>
      </c>
      <c r="S4" s="107">
        <f>+J4/P4</f>
        <v>0.80050320318538359</v>
      </c>
      <c r="T4" s="107">
        <f>+K4/N4</f>
        <v>0.86145017279803571</v>
      </c>
      <c r="U4" s="107">
        <f>+L4/O4</f>
        <v>0.60753721553746287</v>
      </c>
      <c r="V4" s="107">
        <f>+M4/P4</f>
        <v>0.19949679681461635</v>
      </c>
      <c r="W4" s="107">
        <v>1</v>
      </c>
      <c r="X4" s="107">
        <v>1</v>
      </c>
      <c r="Y4" s="107">
        <v>1</v>
      </c>
      <c r="Z4" s="144"/>
      <c r="AB4" s="74">
        <v>2020</v>
      </c>
      <c r="AC4" s="168">
        <v>1178.471061912041</v>
      </c>
      <c r="AD4" s="168">
        <v>0</v>
      </c>
      <c r="AE4" s="168">
        <v>0</v>
      </c>
      <c r="AF4" s="168">
        <v>0</v>
      </c>
      <c r="AG4" s="168">
        <v>0</v>
      </c>
      <c r="AH4" s="168">
        <v>55.569016177820686</v>
      </c>
      <c r="AI4" s="168">
        <v>0</v>
      </c>
      <c r="AJ4" s="168">
        <v>1.6413985000000002</v>
      </c>
      <c r="AK4" s="168">
        <v>0</v>
      </c>
      <c r="AL4" s="168">
        <v>0</v>
      </c>
      <c r="AM4" s="168">
        <v>21.636144853511247</v>
      </c>
      <c r="AN4" s="168">
        <v>0</v>
      </c>
      <c r="AO4" s="168">
        <v>1886.9166911591758</v>
      </c>
      <c r="AP4" s="168">
        <v>22.192074999999999</v>
      </c>
      <c r="AQ4" s="168">
        <v>0</v>
      </c>
      <c r="AR4" s="109">
        <f>+SUMIF($AC$3:$AQ$3,"Pesos",$AC4:$AQ4)</f>
        <v>3065.387753071217</v>
      </c>
      <c r="AS4" s="109">
        <f>+SUMIF($AC$3:$AQ$3,"USD",$AC4:$AQ4)</f>
        <v>45.469618353511251</v>
      </c>
      <c r="AT4" s="109">
        <f>+SUMIF($AC$3:$AQ$3,"UVA",$AC4:$AQ4)</f>
        <v>55.569016177820686</v>
      </c>
      <c r="AU4" s="47" t="b">
        <f>+SUM(AR4:AT4)=SUM(B4:D4)</f>
        <v>1</v>
      </c>
      <c r="AV4" s="47"/>
      <c r="AW4" s="69" t="s">
        <v>51</v>
      </c>
      <c r="AX4" s="112">
        <f>+AX5/$BA$5</f>
        <v>6.6273723069952356E-2</v>
      </c>
      <c r="AY4" s="112">
        <f>+AY5/$BA$5</f>
        <v>0.93372627693004773</v>
      </c>
      <c r="AZ4" s="112">
        <f>+AZ5/$BA$5</f>
        <v>0</v>
      </c>
      <c r="BA4" s="112">
        <f>+BA5/$BA$5</f>
        <v>1</v>
      </c>
      <c r="BD4" s="69" t="s">
        <v>51</v>
      </c>
      <c r="BE4" s="112">
        <f>+BE5/$BK$5</f>
        <v>1.6288309999370754E-2</v>
      </c>
      <c r="BF4" s="112">
        <f t="shared" ref="BF4:BK4" si="1">+BF5/$BK$5</f>
        <v>0</v>
      </c>
      <c r="BG4" s="112">
        <f t="shared" si="1"/>
        <v>0.64112828891953888</v>
      </c>
      <c r="BH4" s="112">
        <f t="shared" si="1"/>
        <v>4.7578048642819684E-2</v>
      </c>
      <c r="BI4" s="112">
        <f t="shared" si="1"/>
        <v>0.29500535243827064</v>
      </c>
      <c r="BJ4" s="112">
        <f t="shared" si="1"/>
        <v>0</v>
      </c>
      <c r="BK4" s="112">
        <f t="shared" si="1"/>
        <v>1</v>
      </c>
      <c r="BL4" s="72"/>
      <c r="BT4" s="76" t="s">
        <v>115</v>
      </c>
    </row>
    <row r="5" spans="1:74" ht="16.5" x14ac:dyDescent="0.25">
      <c r="A5" s="73">
        <f>+A4+1</f>
        <v>2021</v>
      </c>
      <c r="B5" s="167">
        <v>7722.1832983013492</v>
      </c>
      <c r="C5" s="167">
        <v>39.604677280951158</v>
      </c>
      <c r="D5" s="167">
        <v>19.277296437904816</v>
      </c>
      <c r="E5" s="47"/>
      <c r="F5" s="47"/>
      <c r="G5" s="73">
        <f>+G4+1</f>
        <v>2021</v>
      </c>
      <c r="H5" s="167">
        <v>4956.8121740246343</v>
      </c>
      <c r="I5" s="167">
        <v>16.248720311656189</v>
      </c>
      <c r="J5" s="167">
        <v>10.434325061801667</v>
      </c>
      <c r="K5" s="167">
        <v>2765.3711242767149</v>
      </c>
      <c r="L5" s="167">
        <v>23.355956969294969</v>
      </c>
      <c r="M5" s="167">
        <v>8.842971376103149</v>
      </c>
      <c r="N5" s="106">
        <f t="shared" ref="N5:N14" si="2">+K5+H5</f>
        <v>7722.1832983013492</v>
      </c>
      <c r="O5" s="106">
        <f t="shared" ref="O5:O14" si="3">+L5+I5</f>
        <v>39.604677280951158</v>
      </c>
      <c r="P5" s="106">
        <f t="shared" ref="P5:P14" si="4">+M5+J5</f>
        <v>19.277296437904816</v>
      </c>
      <c r="Q5" s="107">
        <f t="shared" ref="Q5:Q14" si="5">+H5/N5</f>
        <v>0.6418925817410972</v>
      </c>
      <c r="R5" s="107">
        <f>+I5/O5</f>
        <v>0.41027276138092433</v>
      </c>
      <c r="S5" s="107">
        <f t="shared" ref="S5:S6" si="6">+J5/P5</f>
        <v>0.5412753336761853</v>
      </c>
      <c r="T5" s="107">
        <f t="shared" ref="T5:T14" si="7">+K5/N5</f>
        <v>0.3581074182589028</v>
      </c>
      <c r="U5" s="107">
        <f t="shared" ref="U5:U14" si="8">+L5/O5</f>
        <v>0.58972723861907572</v>
      </c>
      <c r="V5" s="107">
        <f t="shared" ref="V5:V6" si="9">+M5/P5</f>
        <v>0.4587246663238147</v>
      </c>
      <c r="W5" s="107">
        <v>1</v>
      </c>
      <c r="X5" s="107">
        <v>1</v>
      </c>
      <c r="Y5" s="107">
        <v>1</v>
      </c>
      <c r="Z5" s="75">
        <v>0</v>
      </c>
      <c r="AB5" s="73">
        <f>+AB4+1</f>
        <v>2021</v>
      </c>
      <c r="AC5" s="168">
        <v>4657.6730759813126</v>
      </c>
      <c r="AD5" s="168">
        <v>0</v>
      </c>
      <c r="AE5" s="168">
        <v>0</v>
      </c>
      <c r="AF5" s="168">
        <v>0</v>
      </c>
      <c r="AG5" s="168">
        <v>0</v>
      </c>
      <c r="AH5" s="168">
        <v>19.277296437904816</v>
      </c>
      <c r="AI5" s="168">
        <v>0</v>
      </c>
      <c r="AJ5" s="168">
        <v>0.79255361999999996</v>
      </c>
      <c r="AK5" s="168">
        <v>0</v>
      </c>
      <c r="AL5" s="168">
        <v>0</v>
      </c>
      <c r="AM5" s="168">
        <v>19.38025699428449</v>
      </c>
      <c r="AN5" s="168">
        <v>0</v>
      </c>
      <c r="AO5" s="168">
        <v>3064.5102223200347</v>
      </c>
      <c r="AP5" s="168">
        <v>19.431866666666668</v>
      </c>
      <c r="AQ5" s="168">
        <v>0</v>
      </c>
      <c r="AR5" s="109">
        <f t="shared" ref="AR5:AR14" si="10">+SUMIF($AC$3:$AQ$3,"Pesos",$AC5:$AQ5)</f>
        <v>7722.1832983013473</v>
      </c>
      <c r="AS5" s="109">
        <f t="shared" ref="AS5:AS14" si="11">+SUMIF($AC$3:$AQ$3,"USD",$AC5:$AQ5)</f>
        <v>39.604677280951158</v>
      </c>
      <c r="AT5" s="109">
        <f t="shared" ref="AT5:AT14" si="12">+SUMIF($AC$3:$AQ$3,"UVA",$AC5:$AQ5)</f>
        <v>19.277296437904816</v>
      </c>
      <c r="AU5" s="47" t="b">
        <f>+SUM(AR5:AT5)=SUM(B5:D5)</f>
        <v>0</v>
      </c>
      <c r="AV5" s="47"/>
      <c r="AW5" s="69" t="s">
        <v>105</v>
      </c>
      <c r="AX5" s="110">
        <f>+'Servicios Deuda Anual'!F9+'Servicios Deuda Anual'!F19+'Servicios Deuda Anual'!F40+'Servicios Deuda Anual'!F41+'Servicios Deuda Anual'!F42+'Servicios Deuda Anual'!F43+'Servicios Deuda Anual'!F44+'Servicios Deuda Anual'!F45+'Servicios Deuda Anual'!F46</f>
        <v>45.309902487014881</v>
      </c>
      <c r="AY5" s="110">
        <f>+'Servicios Deuda Anual'!F39+'Servicios Deuda Anual'!F21</f>
        <v>638.36833963000004</v>
      </c>
      <c r="AZ5" s="110">
        <v>0</v>
      </c>
      <c r="BA5" s="111">
        <f>+AY5+AX5+AZ5</f>
        <v>683.67824211701486</v>
      </c>
      <c r="BD5" s="69" t="s">
        <v>105</v>
      </c>
      <c r="BE5" s="114">
        <f>+'Servicios Deuda Anual'!F17+'Servicios Deuda Anual'!F18+'Servicios Deuda Anual'!F40</f>
        <v>11.135963147426793</v>
      </c>
      <c r="BF5" s="114">
        <v>0</v>
      </c>
      <c r="BG5" s="114">
        <f>+'Servicios Deuda Anual'!F39</f>
        <v>438.32546153999999</v>
      </c>
      <c r="BH5" s="114">
        <f>+'Servicios Deuda Anual'!F13+'Servicios Deuda Anual'!F20+'Servicios Deuda Anual'!F41+'Servicios Deuda Anual'!F42+'Servicios Deuda Anual'!F43+'Servicios Deuda Anual'!F44+'Servicios Deuda Anual'!F45+'Servicios Deuda Anual'!F46</f>
        <v>32.528076659480789</v>
      </c>
      <c r="BI5" s="114">
        <f>+'Servicios Deuda Anual'!F10+'Servicios Deuda Anual'!F11+'Servicios Deuda Anual'!F12+'Servicios Deuda Anual'!F14+'Servicios Deuda Anual'!F22+'Servicios Deuda Anual'!F34</f>
        <v>201.6887407701073</v>
      </c>
      <c r="BJ5" s="114">
        <v>0</v>
      </c>
      <c r="BK5" s="113">
        <f>+SUM(BE5:BJ5)</f>
        <v>683.67824211701486</v>
      </c>
      <c r="BL5" s="71"/>
      <c r="BT5" s="76" t="s">
        <v>116</v>
      </c>
    </row>
    <row r="6" spans="1:74" x14ac:dyDescent="0.25">
      <c r="A6" s="73">
        <f t="shared" ref="A6:A9" si="13">+A5+1</f>
        <v>2022</v>
      </c>
      <c r="B6" s="167">
        <v>24763.11180595223</v>
      </c>
      <c r="C6" s="167">
        <v>42.62848488616963</v>
      </c>
      <c r="D6" s="167">
        <v>13.053123599940303</v>
      </c>
      <c r="E6" s="47"/>
      <c r="F6" s="47"/>
      <c r="G6" s="73">
        <f t="shared" ref="G6:G9" si="14">+G5+1</f>
        <v>2022</v>
      </c>
      <c r="H6" s="167">
        <v>9381.3052599994116</v>
      </c>
      <c r="I6" s="167">
        <v>15.691754258460426</v>
      </c>
      <c r="J6" s="167">
        <v>9.8546403350349081</v>
      </c>
      <c r="K6" s="167">
        <v>15381.806545952819</v>
      </c>
      <c r="L6" s="167">
        <v>26.936730627709203</v>
      </c>
      <c r="M6" s="167">
        <v>3.198483264905394</v>
      </c>
      <c r="N6" s="106">
        <f t="shared" si="2"/>
        <v>24763.11180595223</v>
      </c>
      <c r="O6" s="106">
        <f t="shared" si="3"/>
        <v>42.62848488616963</v>
      </c>
      <c r="P6" s="106">
        <f t="shared" si="4"/>
        <v>13.053123599940303</v>
      </c>
      <c r="Q6" s="107">
        <f t="shared" si="5"/>
        <v>0.37884193769801006</v>
      </c>
      <c r="R6" s="107">
        <f>+I6/O6</f>
        <v>0.3681049021648774</v>
      </c>
      <c r="S6" s="107">
        <f t="shared" si="6"/>
        <v>0.75496414782129062</v>
      </c>
      <c r="T6" s="107">
        <f t="shared" si="7"/>
        <v>0.62115806230199</v>
      </c>
      <c r="U6" s="107">
        <f t="shared" si="8"/>
        <v>0.63189509783512254</v>
      </c>
      <c r="V6" s="107">
        <f t="shared" si="9"/>
        <v>0.24503585217870932</v>
      </c>
      <c r="W6" s="107">
        <v>1</v>
      </c>
      <c r="X6" s="107">
        <v>1</v>
      </c>
      <c r="Y6" s="107">
        <v>1</v>
      </c>
      <c r="Z6" s="75">
        <v>0</v>
      </c>
      <c r="AB6" s="73">
        <f t="shared" ref="AB6:AB9" si="15">+AB5+1</f>
        <v>2022</v>
      </c>
      <c r="AC6" s="168">
        <v>11809.215791485463</v>
      </c>
      <c r="AD6" s="168">
        <v>0</v>
      </c>
      <c r="AE6" s="168">
        <v>0</v>
      </c>
      <c r="AF6" s="168">
        <v>7157.3785598736722</v>
      </c>
      <c r="AG6" s="168">
        <v>0</v>
      </c>
      <c r="AH6" s="168">
        <v>13.053123599940303</v>
      </c>
      <c r="AI6" s="168">
        <v>0</v>
      </c>
      <c r="AJ6" s="168">
        <v>0</v>
      </c>
      <c r="AK6" s="168">
        <v>0</v>
      </c>
      <c r="AL6" s="168">
        <v>0</v>
      </c>
      <c r="AM6" s="168">
        <v>20.261712386169627</v>
      </c>
      <c r="AN6" s="168">
        <v>0</v>
      </c>
      <c r="AO6" s="168">
        <v>5796.5174545930986</v>
      </c>
      <c r="AP6" s="168">
        <v>22.3667725</v>
      </c>
      <c r="AQ6" s="168">
        <v>0</v>
      </c>
      <c r="AR6" s="109">
        <f t="shared" si="10"/>
        <v>24763.111805952234</v>
      </c>
      <c r="AS6" s="109">
        <f t="shared" si="11"/>
        <v>42.62848488616963</v>
      </c>
      <c r="AT6" s="109">
        <f t="shared" si="12"/>
        <v>13.053123599940303</v>
      </c>
      <c r="AU6" s="47" t="b">
        <f t="shared" ref="AU6" si="16">+SUM(AR6:AT6)=SUM(B6:D6)</f>
        <v>1</v>
      </c>
      <c r="AV6" s="47"/>
      <c r="AW6" s="47"/>
      <c r="BA6" s="47"/>
      <c r="BD6" s="47"/>
      <c r="BT6" s="76" t="s">
        <v>117</v>
      </c>
    </row>
    <row r="7" spans="1:74" x14ac:dyDescent="0.25">
      <c r="A7" s="73">
        <f t="shared" si="13"/>
        <v>2023</v>
      </c>
      <c r="B7" s="105">
        <v>57379.118437812736</v>
      </c>
      <c r="C7" s="105">
        <v>130.1440193267137</v>
      </c>
      <c r="D7" s="105">
        <v>0</v>
      </c>
      <c r="E7" s="47"/>
      <c r="F7" s="47"/>
      <c r="G7" s="73">
        <f t="shared" si="14"/>
        <v>2023</v>
      </c>
      <c r="H7" s="105">
        <f>+SUMIFS($G$20:$V$20,$G$17:$V$17,H$3,$G$18:$V$18,$G7)</f>
        <v>28597.187327013424</v>
      </c>
      <c r="I7" s="105">
        <f t="shared" ref="H7:I14" si="17">+SUMIFS($G$20:$V$20,$G$17:$V$17,I$3,$G$18:$V$18,$G7)</f>
        <v>96.00533608296891</v>
      </c>
      <c r="J7" s="105">
        <v>0</v>
      </c>
      <c r="K7" s="105">
        <f t="shared" ref="K7:L14" si="18">+SUMIFS($G$21:$V$21,$G$17:$V$17,K$3,$G$18:$V$18,$G7)</f>
        <v>28781.931110799313</v>
      </c>
      <c r="L7" s="105">
        <f t="shared" si="18"/>
        <v>34.138683243744772</v>
      </c>
      <c r="M7" s="105">
        <v>0</v>
      </c>
      <c r="N7" s="106">
        <f t="shared" si="2"/>
        <v>57379.118437812736</v>
      </c>
      <c r="O7" s="106">
        <f t="shared" si="3"/>
        <v>130.14401932671367</v>
      </c>
      <c r="P7" s="106">
        <f t="shared" si="4"/>
        <v>0</v>
      </c>
      <c r="Q7" s="107">
        <f t="shared" si="5"/>
        <v>0.49839014794218117</v>
      </c>
      <c r="R7" s="107">
        <f t="shared" ref="R7:R14" si="19">+I7/O7</f>
        <v>0.73768534719952839</v>
      </c>
      <c r="S7" s="107" t="s">
        <v>179</v>
      </c>
      <c r="T7" s="107">
        <f t="shared" si="7"/>
        <v>0.50160985205781883</v>
      </c>
      <c r="U7" s="107">
        <f t="shared" si="8"/>
        <v>0.26231465280047167</v>
      </c>
      <c r="V7" s="107" t="s">
        <v>179</v>
      </c>
      <c r="W7" s="107">
        <v>1</v>
      </c>
      <c r="X7" s="107">
        <v>1.0000000000000002</v>
      </c>
      <c r="Y7" s="107">
        <v>0</v>
      </c>
      <c r="Z7" s="75">
        <v>0</v>
      </c>
      <c r="AB7" s="73">
        <f t="shared" si="15"/>
        <v>2023</v>
      </c>
      <c r="AC7" s="108">
        <f>+AC18</f>
        <v>15170.333164879847</v>
      </c>
      <c r="AD7" s="108">
        <v>0</v>
      </c>
      <c r="AE7" s="108">
        <v>0</v>
      </c>
      <c r="AF7" s="108">
        <f>+AC19</f>
        <v>19546.544825953002</v>
      </c>
      <c r="AG7" s="108">
        <v>0</v>
      </c>
      <c r="AH7" s="108">
        <v>0</v>
      </c>
      <c r="AI7" s="108">
        <v>0</v>
      </c>
      <c r="AJ7" s="108">
        <v>0</v>
      </c>
      <c r="AK7" s="108">
        <v>0</v>
      </c>
      <c r="AL7" s="108">
        <v>0</v>
      </c>
      <c r="AM7" s="108">
        <f>+AD21</f>
        <v>25.615006634405987</v>
      </c>
      <c r="AN7" s="108">
        <v>0</v>
      </c>
      <c r="AO7" s="108">
        <f>+AC22</f>
        <v>22662.240446979886</v>
      </c>
      <c r="AP7" s="108">
        <f>+AD22</f>
        <v>104.5290126923077</v>
      </c>
      <c r="AQ7" s="108">
        <v>0</v>
      </c>
      <c r="AR7" s="109">
        <f t="shared" si="10"/>
        <v>57379.118437812736</v>
      </c>
      <c r="AS7" s="109">
        <f t="shared" si="11"/>
        <v>130.1440193267137</v>
      </c>
      <c r="AT7" s="109">
        <f t="shared" si="12"/>
        <v>0</v>
      </c>
      <c r="AU7" s="47" t="b">
        <f t="shared" ref="AU7:AU14" si="20">+SUM(AR7:AT7)=SUM(B7:D7)</f>
        <v>1</v>
      </c>
      <c r="AV7" s="47"/>
      <c r="AW7" s="47"/>
      <c r="AZ7" s="122" t="s">
        <v>156</v>
      </c>
      <c r="BA7" s="123">
        <f>+BA5-'Servicios Deuda Anual'!$F$48</f>
        <v>0</v>
      </c>
      <c r="BD7" s="47"/>
      <c r="BJ7" s="122" t="s">
        <v>156</v>
      </c>
      <c r="BK7" s="123">
        <f>+BK5-'Servicios Deuda Anual'!$F$48</f>
        <v>0</v>
      </c>
      <c r="BT7" s="76" t="s">
        <v>118</v>
      </c>
    </row>
    <row r="8" spans="1:74" x14ac:dyDescent="0.25">
      <c r="A8" s="73">
        <f t="shared" si="13"/>
        <v>2024</v>
      </c>
      <c r="B8" s="105">
        <v>42330.872264007121</v>
      </c>
      <c r="C8" s="105">
        <v>133.06696466155492</v>
      </c>
      <c r="D8" s="105">
        <v>0</v>
      </c>
      <c r="E8" s="47"/>
      <c r="F8" s="47"/>
      <c r="G8" s="73">
        <f t="shared" si="14"/>
        <v>2024</v>
      </c>
      <c r="H8" s="105">
        <f t="shared" si="17"/>
        <v>19328.71382253947</v>
      </c>
      <c r="I8" s="105">
        <f t="shared" si="17"/>
        <v>96.03832640448644</v>
      </c>
      <c r="J8" s="105">
        <v>0</v>
      </c>
      <c r="K8" s="105">
        <f t="shared" si="18"/>
        <v>23002.158441467654</v>
      </c>
      <c r="L8" s="105">
        <f t="shared" si="18"/>
        <v>37.028638257068472</v>
      </c>
      <c r="M8" s="105">
        <v>0</v>
      </c>
      <c r="N8" s="106">
        <f t="shared" si="2"/>
        <v>42330.872264007121</v>
      </c>
      <c r="O8" s="106">
        <f t="shared" si="3"/>
        <v>133.06696466155492</v>
      </c>
      <c r="P8" s="106">
        <f t="shared" si="4"/>
        <v>0</v>
      </c>
      <c r="Q8" s="107">
        <f t="shared" si="5"/>
        <v>0.45661033635194404</v>
      </c>
      <c r="R8" s="107">
        <f t="shared" si="19"/>
        <v>0.7217292935835139</v>
      </c>
      <c r="S8" s="107" t="s">
        <v>179</v>
      </c>
      <c r="T8" s="107">
        <f t="shared" si="7"/>
        <v>0.54338966364805608</v>
      </c>
      <c r="U8" s="107">
        <f t="shared" si="8"/>
        <v>0.27827070641648605</v>
      </c>
      <c r="V8" s="107" t="s">
        <v>179</v>
      </c>
      <c r="W8" s="107">
        <v>0.99999999999999989</v>
      </c>
      <c r="X8" s="107">
        <v>1</v>
      </c>
      <c r="Y8" s="107">
        <v>0</v>
      </c>
      <c r="Z8" s="75">
        <v>0</v>
      </c>
      <c r="AB8" s="73">
        <f t="shared" si="15"/>
        <v>2024</v>
      </c>
      <c r="AC8" s="108">
        <f>+AE18</f>
        <v>1144.6725625644585</v>
      </c>
      <c r="AD8" s="108">
        <v>0</v>
      </c>
      <c r="AE8" s="108">
        <v>0</v>
      </c>
      <c r="AF8" s="108">
        <f>+AE19</f>
        <v>17360.4812172151</v>
      </c>
      <c r="AG8" s="108">
        <v>0</v>
      </c>
      <c r="AH8" s="108">
        <v>0</v>
      </c>
      <c r="AI8" s="108">
        <v>0</v>
      </c>
      <c r="AJ8" s="108">
        <v>0</v>
      </c>
      <c r="AK8" s="108">
        <v>0</v>
      </c>
      <c r="AL8" s="108">
        <v>0</v>
      </c>
      <c r="AM8" s="129">
        <f>+AF21</f>
        <v>29.313335526939515</v>
      </c>
      <c r="AN8" s="108">
        <v>0</v>
      </c>
      <c r="AO8" s="108">
        <f>+AE22</f>
        <v>23825.718484227564</v>
      </c>
      <c r="AP8" s="108">
        <f>+AF22</f>
        <v>103.75362913461539</v>
      </c>
      <c r="AQ8" s="108">
        <v>0</v>
      </c>
      <c r="AR8" s="109">
        <f t="shared" si="10"/>
        <v>42330.872264007121</v>
      </c>
      <c r="AS8" s="109">
        <f t="shared" si="11"/>
        <v>133.06696466155492</v>
      </c>
      <c r="AT8" s="109">
        <f t="shared" si="12"/>
        <v>0</v>
      </c>
      <c r="AU8" s="47" t="b">
        <f t="shared" si="20"/>
        <v>1</v>
      </c>
      <c r="AV8" s="47"/>
      <c r="AW8" s="47"/>
      <c r="BD8" s="47"/>
      <c r="BT8" s="76" t="s">
        <v>119</v>
      </c>
    </row>
    <row r="9" spans="1:74" x14ac:dyDescent="0.25">
      <c r="A9" s="73">
        <f t="shared" si="13"/>
        <v>2025</v>
      </c>
      <c r="B9" s="105">
        <v>14619.238973267578</v>
      </c>
      <c r="C9" s="105">
        <v>127.77483497182544</v>
      </c>
      <c r="D9" s="105">
        <v>0</v>
      </c>
      <c r="E9" s="47"/>
      <c r="F9" s="47"/>
      <c r="G9" s="73">
        <f t="shared" si="14"/>
        <v>2025</v>
      </c>
      <c r="H9" s="105">
        <f t="shared" si="17"/>
        <v>6552.4074129166065</v>
      </c>
      <c r="I9" s="105">
        <f t="shared" si="17"/>
        <v>97.751923101679324</v>
      </c>
      <c r="J9" s="105">
        <v>0</v>
      </c>
      <c r="K9" s="105">
        <f t="shared" si="18"/>
        <v>8066.8315603509727</v>
      </c>
      <c r="L9" s="105">
        <f t="shared" si="18"/>
        <v>30.022911870146125</v>
      </c>
      <c r="M9" s="105">
        <v>0</v>
      </c>
      <c r="N9" s="106">
        <f t="shared" si="2"/>
        <v>14619.23897326758</v>
      </c>
      <c r="O9" s="106">
        <f t="shared" si="3"/>
        <v>127.77483497182544</v>
      </c>
      <c r="P9" s="106">
        <f t="shared" si="4"/>
        <v>0</v>
      </c>
      <c r="Q9" s="107">
        <f t="shared" si="5"/>
        <v>0.44820441234309083</v>
      </c>
      <c r="R9" s="107">
        <f t="shared" si="19"/>
        <v>0.76503266956465865</v>
      </c>
      <c r="S9" s="107" t="s">
        <v>179</v>
      </c>
      <c r="T9" s="107">
        <f t="shared" si="7"/>
        <v>0.55179558765690906</v>
      </c>
      <c r="U9" s="107">
        <f t="shared" si="8"/>
        <v>0.2349673304353414</v>
      </c>
      <c r="V9" s="107" t="s">
        <v>179</v>
      </c>
      <c r="W9" s="107">
        <v>1</v>
      </c>
      <c r="X9" s="107">
        <v>1</v>
      </c>
      <c r="Y9" s="107">
        <v>0</v>
      </c>
      <c r="Z9" s="75">
        <v>0</v>
      </c>
      <c r="AB9" s="73">
        <f t="shared" si="15"/>
        <v>2025</v>
      </c>
      <c r="AC9" s="108">
        <f>+AG18</f>
        <v>263.2014123654518</v>
      </c>
      <c r="AD9" s="108">
        <v>0</v>
      </c>
      <c r="AE9" s="108">
        <v>0</v>
      </c>
      <c r="AF9" s="108">
        <f>+AG19</f>
        <v>9348.0488661701092</v>
      </c>
      <c r="AG9" s="108">
        <v>0</v>
      </c>
      <c r="AH9" s="108">
        <v>0</v>
      </c>
      <c r="AI9" s="108">
        <v>0</v>
      </c>
      <c r="AJ9" s="108">
        <v>0</v>
      </c>
      <c r="AK9" s="108">
        <v>0</v>
      </c>
      <c r="AL9" s="108">
        <v>0</v>
      </c>
      <c r="AM9" s="108">
        <f>+AH21</f>
        <v>28.603699298748516</v>
      </c>
      <c r="AN9" s="108">
        <v>0</v>
      </c>
      <c r="AO9" s="108">
        <f>+AG22</f>
        <v>5007.9886947320174</v>
      </c>
      <c r="AP9" s="108">
        <f>+AH22</f>
        <v>99.171135673076932</v>
      </c>
      <c r="AQ9" s="108">
        <v>0</v>
      </c>
      <c r="AR9" s="109">
        <f t="shared" si="10"/>
        <v>14619.238973267578</v>
      </c>
      <c r="AS9" s="109">
        <f t="shared" si="11"/>
        <v>127.77483497182544</v>
      </c>
      <c r="AT9" s="109">
        <f t="shared" si="12"/>
        <v>0</v>
      </c>
      <c r="AU9" s="47" t="b">
        <f t="shared" si="20"/>
        <v>1</v>
      </c>
      <c r="AV9" s="47"/>
      <c r="AW9" s="47"/>
      <c r="BD9" s="47"/>
      <c r="BT9" s="76" t="s">
        <v>128</v>
      </c>
    </row>
    <row r="10" spans="1:74" x14ac:dyDescent="0.25">
      <c r="A10" s="73">
        <f>+A9+1</f>
        <v>2026</v>
      </c>
      <c r="B10" s="105">
        <v>7799.2472993371366</v>
      </c>
      <c r="C10" s="105">
        <v>116.13318092050437</v>
      </c>
      <c r="D10" s="105">
        <v>0</v>
      </c>
      <c r="E10" s="47"/>
      <c r="F10" s="47"/>
      <c r="G10" s="73">
        <f>+G9+1</f>
        <v>2026</v>
      </c>
      <c r="H10" s="105">
        <f t="shared" si="17"/>
        <v>5194.4566586506835</v>
      </c>
      <c r="I10" s="105">
        <f t="shared" si="17"/>
        <v>93.149060435122124</v>
      </c>
      <c r="J10" s="105">
        <v>0</v>
      </c>
      <c r="K10" s="105">
        <f t="shared" si="18"/>
        <v>2604.7906406864531</v>
      </c>
      <c r="L10" s="105">
        <f t="shared" si="18"/>
        <v>22.984120485382242</v>
      </c>
      <c r="M10" s="105">
        <v>0</v>
      </c>
      <c r="N10" s="106">
        <f t="shared" si="2"/>
        <v>7799.2472993371366</v>
      </c>
      <c r="O10" s="106">
        <f t="shared" si="3"/>
        <v>116.13318092050437</v>
      </c>
      <c r="P10" s="106">
        <f t="shared" si="4"/>
        <v>0</v>
      </c>
      <c r="Q10" s="107">
        <f t="shared" si="5"/>
        <v>0.66602025288929667</v>
      </c>
      <c r="R10" s="107">
        <f t="shared" si="19"/>
        <v>0.80208825502579351</v>
      </c>
      <c r="S10" s="107" t="s">
        <v>179</v>
      </c>
      <c r="T10" s="107">
        <f t="shared" si="7"/>
        <v>0.33397974711070338</v>
      </c>
      <c r="U10" s="107">
        <f t="shared" si="8"/>
        <v>0.19791174497420647</v>
      </c>
      <c r="V10" s="107" t="s">
        <v>179</v>
      </c>
      <c r="W10" s="107">
        <v>1</v>
      </c>
      <c r="X10" s="107">
        <v>0.99999999999999989</v>
      </c>
      <c r="Y10" s="107">
        <v>0</v>
      </c>
      <c r="Z10" s="75">
        <v>0</v>
      </c>
      <c r="AB10" s="73">
        <f>+AB9+1</f>
        <v>2026</v>
      </c>
      <c r="AC10" s="108">
        <f>+AI18</f>
        <v>102.36543125216357</v>
      </c>
      <c r="AD10" s="108">
        <v>0</v>
      </c>
      <c r="AE10" s="108">
        <v>0</v>
      </c>
      <c r="AF10" s="108">
        <f>+AI19</f>
        <v>5748.91872300041</v>
      </c>
      <c r="AG10" s="108">
        <v>0</v>
      </c>
      <c r="AH10" s="108">
        <v>0</v>
      </c>
      <c r="AI10" s="108">
        <v>0</v>
      </c>
      <c r="AJ10" s="108">
        <v>0</v>
      </c>
      <c r="AK10" s="108">
        <v>0</v>
      </c>
      <c r="AL10" s="108">
        <v>0</v>
      </c>
      <c r="AM10" s="108">
        <f>+AJ21</f>
        <v>21.544538708965902</v>
      </c>
      <c r="AN10" s="108">
        <v>0</v>
      </c>
      <c r="AO10" s="108">
        <f>+AI22</f>
        <v>1947.9631450845632</v>
      </c>
      <c r="AP10" s="108">
        <f>+AJ22</f>
        <v>94.58864221153847</v>
      </c>
      <c r="AQ10" s="108">
        <v>0</v>
      </c>
      <c r="AR10" s="109">
        <f t="shared" si="10"/>
        <v>7799.2472993371375</v>
      </c>
      <c r="AS10" s="109">
        <f t="shared" si="11"/>
        <v>116.13318092050437</v>
      </c>
      <c r="AT10" s="109">
        <f t="shared" si="12"/>
        <v>0</v>
      </c>
      <c r="AU10" s="47" t="b">
        <f t="shared" si="20"/>
        <v>1</v>
      </c>
      <c r="AV10" s="47"/>
      <c r="AW10" s="47"/>
      <c r="BD10" s="47"/>
      <c r="BT10" s="76" t="s">
        <v>120</v>
      </c>
    </row>
    <row r="11" spans="1:74" x14ac:dyDescent="0.25">
      <c r="A11" s="73">
        <f>+A10+1</f>
        <v>2027</v>
      </c>
      <c r="B11" s="105">
        <v>3265.4622990341522</v>
      </c>
      <c r="C11" s="105">
        <v>109.85935202190797</v>
      </c>
      <c r="D11" s="105">
        <v>0</v>
      </c>
      <c r="E11" s="47"/>
      <c r="F11" s="47"/>
      <c r="G11" s="73">
        <f>+G10+1</f>
        <v>2027</v>
      </c>
      <c r="H11" s="105">
        <f t="shared" si="17"/>
        <v>2641.0499403842773</v>
      </c>
      <c r="I11" s="105">
        <f t="shared" si="17"/>
        <v>93.14939251512213</v>
      </c>
      <c r="J11" s="105">
        <v>0</v>
      </c>
      <c r="K11" s="105">
        <f t="shared" si="18"/>
        <v>624.41235864987516</v>
      </c>
      <c r="L11" s="105">
        <f t="shared" si="18"/>
        <v>16.70995950678585</v>
      </c>
      <c r="M11" s="105">
        <v>0</v>
      </c>
      <c r="N11" s="106">
        <f t="shared" si="2"/>
        <v>3265.4622990341522</v>
      </c>
      <c r="O11" s="106">
        <f t="shared" si="3"/>
        <v>109.85935202190798</v>
      </c>
      <c r="P11" s="106">
        <f t="shared" si="4"/>
        <v>0</v>
      </c>
      <c r="Q11" s="107">
        <f t="shared" si="5"/>
        <v>0.80878286090316776</v>
      </c>
      <c r="R11" s="107">
        <f t="shared" si="19"/>
        <v>0.8478967953183123</v>
      </c>
      <c r="S11" s="107" t="s">
        <v>179</v>
      </c>
      <c r="T11" s="107">
        <f t="shared" si="7"/>
        <v>0.19121713909683227</v>
      </c>
      <c r="U11" s="107">
        <f t="shared" si="8"/>
        <v>0.1521032046816877</v>
      </c>
      <c r="V11" s="107" t="s">
        <v>179</v>
      </c>
      <c r="W11" s="107">
        <v>1</v>
      </c>
      <c r="X11" s="107">
        <v>1</v>
      </c>
      <c r="Y11" s="107">
        <v>0</v>
      </c>
      <c r="Z11" s="75">
        <v>0</v>
      </c>
      <c r="AB11" s="73">
        <f>+AB10+1</f>
        <v>2027</v>
      </c>
      <c r="AC11" s="108">
        <f>+AK18</f>
        <v>55.878062572801497</v>
      </c>
      <c r="AD11" s="108">
        <v>0</v>
      </c>
      <c r="AE11" s="108">
        <v>0</v>
      </c>
      <c r="AF11" s="108">
        <f>+AK19</f>
        <v>1890.558354611743</v>
      </c>
      <c r="AG11" s="108">
        <v>0</v>
      </c>
      <c r="AH11" s="108">
        <v>0</v>
      </c>
      <c r="AI11" s="108">
        <v>0</v>
      </c>
      <c r="AJ11" s="108">
        <v>0</v>
      </c>
      <c r="AK11" s="108">
        <v>0</v>
      </c>
      <c r="AL11" s="108">
        <v>0</v>
      </c>
      <c r="AM11" s="108">
        <f>+AL21</f>
        <v>19.853203271907965</v>
      </c>
      <c r="AN11" s="108">
        <v>0</v>
      </c>
      <c r="AO11" s="108">
        <f>+AK22</f>
        <v>1319.0258818496081</v>
      </c>
      <c r="AP11" s="108">
        <f>+AL22</f>
        <v>90.006148750000008</v>
      </c>
      <c r="AQ11" s="108">
        <v>0</v>
      </c>
      <c r="AR11" s="109">
        <f t="shared" si="10"/>
        <v>3265.4622990341527</v>
      </c>
      <c r="AS11" s="109">
        <f t="shared" si="11"/>
        <v>109.85935202190797</v>
      </c>
      <c r="AT11" s="109">
        <f t="shared" si="12"/>
        <v>0</v>
      </c>
      <c r="AU11" s="47" t="b">
        <f t="shared" si="20"/>
        <v>1</v>
      </c>
      <c r="AV11" s="47"/>
      <c r="AW11" s="47"/>
      <c r="BD11" s="47"/>
      <c r="BT11" s="76" t="s">
        <v>121</v>
      </c>
    </row>
    <row r="12" spans="1:74" x14ac:dyDescent="0.25">
      <c r="A12" s="73">
        <f>+A11+1</f>
        <v>2028</v>
      </c>
      <c r="B12" s="105">
        <v>1002.1265108420055</v>
      </c>
      <c r="C12" s="105">
        <v>103.87035506579824</v>
      </c>
      <c r="D12" s="105">
        <v>0</v>
      </c>
      <c r="E12" s="47"/>
      <c r="F12" s="47"/>
      <c r="G12" s="73">
        <f>+G11+1</f>
        <v>2028</v>
      </c>
      <c r="H12" s="105">
        <f t="shared" si="17"/>
        <v>846.47430873427743</v>
      </c>
      <c r="I12" s="105">
        <f t="shared" si="17"/>
        <v>93.149728565122132</v>
      </c>
      <c r="J12" s="105">
        <v>0</v>
      </c>
      <c r="K12" s="105">
        <f t="shared" si="18"/>
        <v>155.6522021077281</v>
      </c>
      <c r="L12" s="105">
        <f t="shared" si="18"/>
        <v>10.720626500676111</v>
      </c>
      <c r="M12" s="105">
        <v>0</v>
      </c>
      <c r="N12" s="106">
        <f t="shared" si="2"/>
        <v>1002.1265108420055</v>
      </c>
      <c r="O12" s="106">
        <f t="shared" si="3"/>
        <v>103.87035506579824</v>
      </c>
      <c r="P12" s="106">
        <f t="shared" si="4"/>
        <v>0</v>
      </c>
      <c r="Q12" s="107">
        <f t="shared" si="5"/>
        <v>0.84467809161445484</v>
      </c>
      <c r="R12" s="107">
        <f t="shared" si="19"/>
        <v>0.89678839074069827</v>
      </c>
      <c r="S12" s="107" t="s">
        <v>179</v>
      </c>
      <c r="T12" s="107">
        <f t="shared" si="7"/>
        <v>0.15532190838554527</v>
      </c>
      <c r="U12" s="107">
        <f t="shared" si="8"/>
        <v>0.10321160925930184</v>
      </c>
      <c r="V12" s="107" t="s">
        <v>179</v>
      </c>
      <c r="W12" s="107">
        <v>1</v>
      </c>
      <c r="X12" s="107">
        <v>1</v>
      </c>
      <c r="Y12" s="107">
        <v>0</v>
      </c>
      <c r="Z12" s="75">
        <v>0</v>
      </c>
      <c r="AB12" s="73">
        <f>+AB11+1</f>
        <v>2028</v>
      </c>
      <c r="AC12" s="108">
        <f>+AM18</f>
        <v>55.235707330655501</v>
      </c>
      <c r="AD12" s="108">
        <v>0</v>
      </c>
      <c r="AE12" s="108">
        <v>0</v>
      </c>
      <c r="AF12" s="108">
        <f>+AM19</f>
        <v>0</v>
      </c>
      <c r="AG12" s="108">
        <v>0</v>
      </c>
      <c r="AH12" s="108">
        <v>0</v>
      </c>
      <c r="AI12" s="108">
        <v>0</v>
      </c>
      <c r="AJ12" s="108">
        <v>0</v>
      </c>
      <c r="AK12" s="108">
        <v>0</v>
      </c>
      <c r="AL12" s="108">
        <v>0</v>
      </c>
      <c r="AM12" s="108">
        <f>+AN21</f>
        <v>18.446699777336693</v>
      </c>
      <c r="AN12" s="108">
        <v>0</v>
      </c>
      <c r="AO12" s="108">
        <f>+AM22</f>
        <v>946.89080351134999</v>
      </c>
      <c r="AP12" s="108">
        <f>+AN22</f>
        <v>85.423655288461546</v>
      </c>
      <c r="AQ12" s="108">
        <v>0</v>
      </c>
      <c r="AR12" s="109">
        <f t="shared" si="10"/>
        <v>1002.1265108420055</v>
      </c>
      <c r="AS12" s="109">
        <f t="shared" si="11"/>
        <v>103.87035506579824</v>
      </c>
      <c r="AT12" s="109">
        <f t="shared" si="12"/>
        <v>0</v>
      </c>
      <c r="AU12" s="47" t="b">
        <f t="shared" si="20"/>
        <v>1</v>
      </c>
      <c r="AV12" s="47"/>
      <c r="AW12" s="47"/>
      <c r="BD12" s="47"/>
    </row>
    <row r="13" spans="1:74" x14ac:dyDescent="0.25">
      <c r="A13" s="73">
        <f t="shared" ref="A13" si="21">+A12+1</f>
        <v>2029</v>
      </c>
      <c r="B13" s="105">
        <v>947.72595574570119</v>
      </c>
      <c r="C13" s="105">
        <v>58.654321187669218</v>
      </c>
      <c r="D13" s="105">
        <v>0</v>
      </c>
      <c r="E13" s="47"/>
      <c r="F13" s="47"/>
      <c r="G13" s="73">
        <f>+G12+1</f>
        <v>2029</v>
      </c>
      <c r="H13" s="105">
        <f t="shared" si="17"/>
        <v>846.47430873427743</v>
      </c>
      <c r="I13" s="105">
        <f t="shared" si="17"/>
        <v>53.302299394352872</v>
      </c>
      <c r="J13" s="105">
        <v>0</v>
      </c>
      <c r="K13" s="105">
        <f t="shared" si="18"/>
        <v>101.2516470114237</v>
      </c>
      <c r="L13" s="105">
        <f t="shared" si="18"/>
        <v>5.3520217933163465</v>
      </c>
      <c r="M13" s="105">
        <v>0</v>
      </c>
      <c r="N13" s="106">
        <f t="shared" si="2"/>
        <v>947.72595574570119</v>
      </c>
      <c r="O13" s="106">
        <f t="shared" si="3"/>
        <v>58.654321187669218</v>
      </c>
      <c r="P13" s="106">
        <f t="shared" si="4"/>
        <v>0</v>
      </c>
      <c r="Q13" s="107">
        <f t="shared" si="5"/>
        <v>0.89316358131000462</v>
      </c>
      <c r="R13" s="107">
        <f t="shared" si="19"/>
        <v>0.90875315432954851</v>
      </c>
      <c r="S13" s="107" t="s">
        <v>179</v>
      </c>
      <c r="T13" s="107">
        <f t="shared" si="7"/>
        <v>0.10683641868999531</v>
      </c>
      <c r="U13" s="107">
        <f t="shared" si="8"/>
        <v>9.1246845670451493E-2</v>
      </c>
      <c r="V13" s="107" t="s">
        <v>179</v>
      </c>
      <c r="W13" s="107">
        <v>1</v>
      </c>
      <c r="X13" s="107">
        <v>1</v>
      </c>
      <c r="Y13" s="107">
        <v>0</v>
      </c>
      <c r="Z13" s="75">
        <v>0</v>
      </c>
      <c r="AB13" s="73">
        <f t="shared" ref="AB13" si="22">+AB12+1</f>
        <v>2029</v>
      </c>
      <c r="AC13" s="108">
        <f>+AO18</f>
        <v>55.168689471576599</v>
      </c>
      <c r="AD13" s="108">
        <v>0</v>
      </c>
      <c r="AE13" s="108">
        <v>0</v>
      </c>
      <c r="AF13" s="108">
        <f>+AO19</f>
        <v>0</v>
      </c>
      <c r="AG13" s="108">
        <v>0</v>
      </c>
      <c r="AH13" s="108">
        <v>0</v>
      </c>
      <c r="AI13" s="108">
        <v>0</v>
      </c>
      <c r="AJ13" s="108">
        <v>0</v>
      </c>
      <c r="AK13" s="108">
        <v>0</v>
      </c>
      <c r="AL13" s="108">
        <v>0</v>
      </c>
      <c r="AM13" s="108">
        <f>+AP21</f>
        <v>17.660928591515393</v>
      </c>
      <c r="AN13" s="108">
        <v>0</v>
      </c>
      <c r="AO13" s="108">
        <f>+AO22</f>
        <v>892.55726627412457</v>
      </c>
      <c r="AP13" s="108">
        <f>+AP22</f>
        <v>40.993392596153825</v>
      </c>
      <c r="AQ13" s="108">
        <v>0</v>
      </c>
      <c r="AR13" s="109">
        <f t="shared" si="10"/>
        <v>947.72595574570119</v>
      </c>
      <c r="AS13" s="109">
        <f t="shared" si="11"/>
        <v>58.654321187669218</v>
      </c>
      <c r="AT13" s="109">
        <f t="shared" si="12"/>
        <v>0</v>
      </c>
      <c r="AU13" s="47" t="b">
        <f t="shared" si="20"/>
        <v>1</v>
      </c>
      <c r="AV13" s="47"/>
      <c r="AW13" s="47"/>
      <c r="BD13" s="47"/>
    </row>
    <row r="14" spans="1:74" x14ac:dyDescent="0.25">
      <c r="A14" s="73" t="s">
        <v>191</v>
      </c>
      <c r="B14" s="106">
        <v>685.02799124584237</v>
      </c>
      <c r="C14" s="106">
        <v>15.091423273376698</v>
      </c>
      <c r="D14" s="106">
        <v>0</v>
      </c>
      <c r="E14" s="47"/>
      <c r="F14" s="47"/>
      <c r="G14" s="73" t="s">
        <v>191</v>
      </c>
      <c r="H14" s="106">
        <f t="shared" si="17"/>
        <v>641.80684236340505</v>
      </c>
      <c r="I14" s="106">
        <f t="shared" si="17"/>
        <v>13.154925352889226</v>
      </c>
      <c r="J14" s="106">
        <v>0</v>
      </c>
      <c r="K14" s="106">
        <f t="shared" si="18"/>
        <v>43.221148882437241</v>
      </c>
      <c r="L14" s="106">
        <f t="shared" si="18"/>
        <v>1.9364979204874739</v>
      </c>
      <c r="M14" s="106">
        <v>0</v>
      </c>
      <c r="N14" s="106">
        <f t="shared" si="2"/>
        <v>685.02799124584226</v>
      </c>
      <c r="O14" s="106">
        <f t="shared" si="3"/>
        <v>15.0914232733767</v>
      </c>
      <c r="P14" s="106">
        <f t="shared" si="4"/>
        <v>0</v>
      </c>
      <c r="Q14" s="107">
        <f t="shared" si="5"/>
        <v>0.93690601050647282</v>
      </c>
      <c r="R14" s="107">
        <f t="shared" si="19"/>
        <v>0.87168222072839763</v>
      </c>
      <c r="S14" s="107" t="s">
        <v>179</v>
      </c>
      <c r="T14" s="107">
        <f t="shared" si="7"/>
        <v>6.3093989493527236E-2</v>
      </c>
      <c r="U14" s="107">
        <f t="shared" si="8"/>
        <v>0.12831777927160234</v>
      </c>
      <c r="V14" s="107" t="s">
        <v>179</v>
      </c>
      <c r="W14" s="107">
        <v>1</v>
      </c>
      <c r="X14" s="107">
        <v>1</v>
      </c>
      <c r="Y14" s="107">
        <v>0</v>
      </c>
      <c r="Z14" s="75">
        <v>0</v>
      </c>
      <c r="AB14" s="73" t="s">
        <v>191</v>
      </c>
      <c r="AC14" s="106">
        <f>+AQ18</f>
        <v>52.897372722278853</v>
      </c>
      <c r="AD14" s="106">
        <v>0</v>
      </c>
      <c r="AE14" s="106">
        <v>0</v>
      </c>
      <c r="AF14" s="106">
        <f>+AQ19</f>
        <v>0</v>
      </c>
      <c r="AG14" s="106">
        <v>0</v>
      </c>
      <c r="AH14" s="106">
        <v>0</v>
      </c>
      <c r="AI14" s="106">
        <v>0</v>
      </c>
      <c r="AJ14" s="106">
        <v>0</v>
      </c>
      <c r="AK14" s="106">
        <v>0</v>
      </c>
      <c r="AL14" s="106">
        <v>0</v>
      </c>
      <c r="AM14" s="106">
        <f>+AR21</f>
        <v>15.091423273376698</v>
      </c>
      <c r="AN14" s="106">
        <v>0</v>
      </c>
      <c r="AO14" s="106">
        <f>+AQ22</f>
        <v>632.1306185235635</v>
      </c>
      <c r="AP14" s="106">
        <f>+AR22</f>
        <v>0</v>
      </c>
      <c r="AQ14" s="106">
        <v>0</v>
      </c>
      <c r="AR14" s="109">
        <f t="shared" si="10"/>
        <v>685.02799124584237</v>
      </c>
      <c r="AS14" s="109">
        <f t="shared" si="11"/>
        <v>15.091423273376698</v>
      </c>
      <c r="AT14" s="109">
        <f t="shared" si="12"/>
        <v>0</v>
      </c>
      <c r="AU14" s="47" t="b">
        <f t="shared" si="20"/>
        <v>1</v>
      </c>
      <c r="AV14" s="47"/>
      <c r="AW14" s="47"/>
      <c r="BD14" s="47"/>
      <c r="BT14" s="76"/>
    </row>
    <row r="15" spans="1:74" x14ac:dyDescent="0.25">
      <c r="A15" s="125"/>
      <c r="B15" s="126"/>
      <c r="C15" s="126"/>
      <c r="D15" s="126"/>
      <c r="E15" s="47"/>
      <c r="F15" s="47"/>
      <c r="G15" s="125"/>
      <c r="H15" s="126"/>
      <c r="I15" s="126"/>
      <c r="J15" s="126"/>
      <c r="K15" s="126"/>
      <c r="L15" s="126"/>
      <c r="M15" s="126"/>
      <c r="N15" s="127"/>
      <c r="O15" s="127"/>
      <c r="P15" s="127"/>
      <c r="Q15" s="128"/>
      <c r="R15" s="128"/>
      <c r="S15" s="128"/>
      <c r="T15" s="128"/>
      <c r="U15" s="128"/>
      <c r="V15" s="128"/>
      <c r="W15" s="128"/>
      <c r="X15" s="128"/>
      <c r="Y15" s="128"/>
      <c r="Z15" s="75"/>
      <c r="AB15" s="125"/>
      <c r="AC15" s="129"/>
      <c r="AD15" s="129"/>
      <c r="AE15" s="129"/>
      <c r="AF15" s="129"/>
      <c r="AG15" s="129"/>
      <c r="AH15" s="129"/>
      <c r="AI15" s="129"/>
      <c r="AJ15" s="129"/>
      <c r="AK15" s="129"/>
      <c r="AL15" s="129"/>
      <c r="AM15" s="129"/>
      <c r="AN15" s="129"/>
      <c r="AO15" s="129"/>
      <c r="AP15" s="129"/>
      <c r="AQ15" s="129"/>
      <c r="AR15" s="130"/>
      <c r="AS15" s="130"/>
      <c r="AT15" s="130"/>
      <c r="AU15" s="47"/>
      <c r="AV15" s="47"/>
      <c r="AW15" s="47"/>
      <c r="BD15" s="47"/>
    </row>
    <row r="16" spans="1:74" x14ac:dyDescent="0.25">
      <c r="A16" s="125"/>
      <c r="B16" s="126"/>
      <c r="C16" s="126"/>
      <c r="D16" s="126"/>
      <c r="E16" s="47"/>
      <c r="F16" s="47"/>
      <c r="G16" s="125"/>
      <c r="H16" s="126"/>
      <c r="I16" s="126"/>
      <c r="J16" s="126"/>
      <c r="K16" s="126"/>
      <c r="L16" s="126"/>
      <c r="M16" s="126"/>
      <c r="N16" s="127"/>
      <c r="O16" s="127"/>
      <c r="P16" s="127"/>
      <c r="Q16" s="128"/>
      <c r="R16" s="128"/>
      <c r="S16" s="128"/>
      <c r="T16" s="128"/>
      <c r="U16" s="128"/>
      <c r="V16" s="128"/>
      <c r="W16" s="128"/>
      <c r="X16" s="128"/>
      <c r="Y16" s="128"/>
      <c r="Z16" s="75"/>
      <c r="AB16" s="125"/>
      <c r="AC16" s="129"/>
      <c r="AD16" s="129"/>
      <c r="AE16" s="129"/>
      <c r="AF16" s="129"/>
      <c r="AG16" s="129"/>
      <c r="AH16" s="129"/>
      <c r="AI16" s="129"/>
      <c r="AJ16" s="129"/>
      <c r="AK16" s="129"/>
      <c r="AL16" s="129"/>
      <c r="AM16" s="129"/>
      <c r="AN16" s="129"/>
      <c r="AO16" s="129"/>
      <c r="AP16" s="129"/>
      <c r="AQ16" s="129"/>
      <c r="AR16" s="130"/>
      <c r="AS16" s="130"/>
      <c r="AT16" s="130"/>
      <c r="AU16" s="47"/>
      <c r="AV16" s="47"/>
      <c r="AW16" s="47"/>
      <c r="BD16" s="47"/>
    </row>
    <row r="17" spans="1:56" x14ac:dyDescent="0.25">
      <c r="A17" s="125"/>
      <c r="B17" s="126"/>
      <c r="C17" s="126"/>
      <c r="D17" s="126"/>
      <c r="E17" s="47"/>
      <c r="F17" s="47"/>
      <c r="G17" s="125" t="s">
        <v>2</v>
      </c>
      <c r="H17" s="126" t="s">
        <v>103</v>
      </c>
      <c r="I17" s="125" t="s">
        <v>2</v>
      </c>
      <c r="J17" s="126" t="s">
        <v>103</v>
      </c>
      <c r="K17" s="125" t="s">
        <v>2</v>
      </c>
      <c r="L17" s="126" t="s">
        <v>103</v>
      </c>
      <c r="M17" s="125" t="s">
        <v>2</v>
      </c>
      <c r="N17" s="126" t="s">
        <v>103</v>
      </c>
      <c r="O17" s="125" t="s">
        <v>2</v>
      </c>
      <c r="P17" s="126" t="s">
        <v>103</v>
      </c>
      <c r="Q17" s="125" t="s">
        <v>2</v>
      </c>
      <c r="R17" s="126" t="s">
        <v>103</v>
      </c>
      <c r="S17" s="125" t="s">
        <v>2</v>
      </c>
      <c r="T17" s="126" t="s">
        <v>103</v>
      </c>
      <c r="U17" s="125" t="s">
        <v>2</v>
      </c>
      <c r="V17" s="126" t="s">
        <v>103</v>
      </c>
      <c r="W17" s="128"/>
      <c r="X17" s="128"/>
      <c r="Y17" s="128"/>
      <c r="Z17" s="75"/>
      <c r="AB17" s="125"/>
      <c r="AC17" s="125">
        <v>2023</v>
      </c>
      <c r="AD17" s="125">
        <v>2023</v>
      </c>
      <c r="AE17" s="125">
        <v>2024</v>
      </c>
      <c r="AF17" s="125">
        <v>2024</v>
      </c>
      <c r="AG17" s="125">
        <v>2025</v>
      </c>
      <c r="AH17" s="125">
        <v>2025</v>
      </c>
      <c r="AI17" s="125">
        <v>2026</v>
      </c>
      <c r="AJ17" s="125">
        <v>2026</v>
      </c>
      <c r="AK17" s="125">
        <v>2027</v>
      </c>
      <c r="AL17" s="125">
        <v>2027</v>
      </c>
      <c r="AM17" s="125">
        <v>2028</v>
      </c>
      <c r="AN17" s="125">
        <v>2028</v>
      </c>
      <c r="AO17" s="125">
        <v>2029</v>
      </c>
      <c r="AP17" s="125">
        <v>2029</v>
      </c>
      <c r="AQ17" s="125" t="s">
        <v>188</v>
      </c>
      <c r="AR17" s="125" t="s">
        <v>188</v>
      </c>
      <c r="AS17" s="130"/>
      <c r="AT17" s="130"/>
      <c r="AU17" s="47"/>
      <c r="AV17" s="47"/>
      <c r="AW17" s="47"/>
      <c r="BD17" s="47"/>
    </row>
    <row r="18" spans="1:56" x14ac:dyDescent="0.25">
      <c r="B18" s="125">
        <v>57379.118437812736</v>
      </c>
      <c r="C18" s="126">
        <v>130.1440193267137</v>
      </c>
      <c r="D18" s="126"/>
      <c r="E18" s="47"/>
      <c r="F18" s="47"/>
      <c r="G18" s="125">
        <v>2023</v>
      </c>
      <c r="H18" s="125">
        <v>2023</v>
      </c>
      <c r="I18" s="125">
        <v>2024</v>
      </c>
      <c r="J18" s="125">
        <v>2024</v>
      </c>
      <c r="K18" s="125">
        <v>2025</v>
      </c>
      <c r="L18" s="125">
        <v>2025</v>
      </c>
      <c r="M18" s="125">
        <v>2026</v>
      </c>
      <c r="N18" s="125">
        <v>2026</v>
      </c>
      <c r="O18" s="125">
        <v>2027</v>
      </c>
      <c r="P18" s="125">
        <v>2027</v>
      </c>
      <c r="Q18" s="125">
        <v>2028</v>
      </c>
      <c r="R18" s="125">
        <v>2028</v>
      </c>
      <c r="S18" s="125">
        <v>2029</v>
      </c>
      <c r="T18" s="125">
        <v>2029</v>
      </c>
      <c r="U18" s="125" t="s">
        <v>191</v>
      </c>
      <c r="V18" s="125" t="s">
        <v>191</v>
      </c>
      <c r="W18" s="128"/>
      <c r="X18" s="128"/>
      <c r="Y18" s="128"/>
      <c r="Z18" s="75"/>
      <c r="AB18" s="125" t="s">
        <v>193</v>
      </c>
      <c r="AC18" s="129">
        <v>15170.333164879847</v>
      </c>
      <c r="AD18" s="129">
        <v>0</v>
      </c>
      <c r="AE18" s="129">
        <v>1144.6725625644585</v>
      </c>
      <c r="AF18" s="129">
        <v>0</v>
      </c>
      <c r="AG18" s="129">
        <v>263.2014123654518</v>
      </c>
      <c r="AH18" s="129">
        <v>0</v>
      </c>
      <c r="AI18" s="129">
        <v>102.36543125216357</v>
      </c>
      <c r="AJ18" s="129">
        <v>0</v>
      </c>
      <c r="AK18" s="129">
        <v>55.878062572801497</v>
      </c>
      <c r="AL18" s="129">
        <v>0</v>
      </c>
      <c r="AM18" s="129">
        <v>55.235707330655501</v>
      </c>
      <c r="AN18" s="129">
        <v>0</v>
      </c>
      <c r="AO18" s="129">
        <v>55.168689471576599</v>
      </c>
      <c r="AP18" s="129">
        <v>0</v>
      </c>
      <c r="AQ18" s="129">
        <v>52.897372722278853</v>
      </c>
      <c r="AR18" s="130">
        <v>0</v>
      </c>
      <c r="AS18" s="130"/>
      <c r="AT18" s="130"/>
      <c r="AU18" s="47"/>
      <c r="AV18" s="47"/>
      <c r="AW18" s="47"/>
      <c r="BD18" s="47"/>
    </row>
    <row r="19" spans="1:56" x14ac:dyDescent="0.25">
      <c r="B19" s="126">
        <v>42330.872264007121</v>
      </c>
      <c r="C19" s="126">
        <v>133.06696466155492</v>
      </c>
      <c r="D19" s="142"/>
      <c r="E19" s="47"/>
      <c r="F19" s="47" t="s">
        <v>250</v>
      </c>
      <c r="G19" s="177">
        <v>57379.118437812736</v>
      </c>
      <c r="H19" s="178">
        <v>130.1440193267137</v>
      </c>
      <c r="I19" s="178">
        <v>42330.872264007121</v>
      </c>
      <c r="J19" s="178">
        <v>133.06696466155492</v>
      </c>
      <c r="K19" s="178">
        <v>14619.238973267578</v>
      </c>
      <c r="L19" s="178">
        <v>127.77483497182544</v>
      </c>
      <c r="M19" s="178">
        <v>7799.2472993371366</v>
      </c>
      <c r="N19" s="179">
        <v>116.13318092050437</v>
      </c>
      <c r="O19" s="179">
        <v>3265.4622990341522</v>
      </c>
      <c r="P19" s="179">
        <v>109.85935202190797</v>
      </c>
      <c r="Q19" s="180">
        <v>1002.1265108420055</v>
      </c>
      <c r="R19" s="180">
        <v>103.87035506579824</v>
      </c>
      <c r="S19" s="180">
        <v>947.72595574570119</v>
      </c>
      <c r="T19" s="180">
        <v>58.654321187669218</v>
      </c>
      <c r="U19" s="180">
        <v>685.02799124584237</v>
      </c>
      <c r="V19" s="180">
        <v>15.091423273376698</v>
      </c>
      <c r="W19" s="128"/>
      <c r="X19" s="128"/>
      <c r="Y19" s="128"/>
      <c r="Z19" s="75"/>
      <c r="AB19" s="125" t="s">
        <v>194</v>
      </c>
      <c r="AC19" s="129">
        <v>19546.544825953002</v>
      </c>
      <c r="AD19" s="129">
        <v>0</v>
      </c>
      <c r="AE19" s="129">
        <v>17360.4812172151</v>
      </c>
      <c r="AF19" s="129">
        <v>0</v>
      </c>
      <c r="AG19" s="129">
        <v>9348.0488661701092</v>
      </c>
      <c r="AH19" s="129">
        <v>0</v>
      </c>
      <c r="AI19" s="129">
        <v>5748.91872300041</v>
      </c>
      <c r="AJ19" s="129">
        <v>0</v>
      </c>
      <c r="AK19" s="129">
        <v>1890.558354611743</v>
      </c>
      <c r="AL19" s="129">
        <v>0</v>
      </c>
      <c r="AM19" s="129">
        <v>0</v>
      </c>
      <c r="AN19" s="129">
        <v>0</v>
      </c>
      <c r="AO19" s="129">
        <v>0</v>
      </c>
      <c r="AP19" s="129">
        <v>0</v>
      </c>
      <c r="AQ19" s="129">
        <v>0</v>
      </c>
      <c r="AR19" s="130">
        <v>0</v>
      </c>
      <c r="AS19" s="130"/>
      <c r="AT19" s="130"/>
      <c r="AU19" s="47"/>
      <c r="AV19" s="47"/>
      <c r="AW19" s="47"/>
      <c r="BD19" s="47"/>
    </row>
    <row r="20" spans="1:56" x14ac:dyDescent="0.25">
      <c r="B20" s="126">
        <v>14619.238973267578</v>
      </c>
      <c r="C20" s="126">
        <v>127.77483497182544</v>
      </c>
      <c r="D20" s="126"/>
      <c r="E20" s="47"/>
      <c r="F20" s="47" t="s">
        <v>91</v>
      </c>
      <c r="G20" s="177">
        <v>28597.187327013424</v>
      </c>
      <c r="H20" s="178">
        <v>96.00533608296891</v>
      </c>
      <c r="I20" s="178">
        <v>19328.71382253947</v>
      </c>
      <c r="J20" s="178">
        <v>96.03832640448644</v>
      </c>
      <c r="K20" s="178">
        <v>6552.4074129166065</v>
      </c>
      <c r="L20" s="178">
        <v>97.751923101679324</v>
      </c>
      <c r="M20" s="178">
        <v>5194.4566586506835</v>
      </c>
      <c r="N20" s="179">
        <v>93.149060435122124</v>
      </c>
      <c r="O20" s="179">
        <v>2641.0499403842773</v>
      </c>
      <c r="P20" s="179">
        <v>93.14939251512213</v>
      </c>
      <c r="Q20" s="180">
        <v>846.47430873427743</v>
      </c>
      <c r="R20" s="180">
        <v>93.149728565122132</v>
      </c>
      <c r="S20" s="180">
        <v>846.47430873427743</v>
      </c>
      <c r="T20" s="180">
        <v>53.302299394352872</v>
      </c>
      <c r="U20" s="180">
        <v>641.80684236340505</v>
      </c>
      <c r="V20" s="180">
        <v>13.154925352889226</v>
      </c>
      <c r="W20" s="128"/>
      <c r="X20" s="128"/>
      <c r="Y20" s="128"/>
      <c r="Z20" s="75"/>
      <c r="AB20" s="125" t="s">
        <v>196</v>
      </c>
      <c r="AC20" s="129"/>
      <c r="AD20" s="129"/>
      <c r="AE20" s="129"/>
      <c r="AF20" s="129"/>
      <c r="AG20" s="129"/>
      <c r="AH20" s="129"/>
      <c r="AI20" s="129"/>
      <c r="AJ20" s="129"/>
      <c r="AK20" s="129"/>
      <c r="AL20" s="129"/>
      <c r="AM20" s="129"/>
      <c r="AN20" s="129"/>
      <c r="AO20" s="129"/>
      <c r="AP20" s="129"/>
      <c r="AQ20" s="129"/>
      <c r="AR20" s="130"/>
      <c r="AS20" s="130"/>
      <c r="AT20" s="130"/>
      <c r="AU20" s="47"/>
      <c r="AV20" s="47"/>
      <c r="AW20" s="47"/>
      <c r="BD20" s="47"/>
    </row>
    <row r="21" spans="1:56" x14ac:dyDescent="0.25">
      <c r="B21" s="126">
        <v>7799.2472993371366</v>
      </c>
      <c r="C21" s="127">
        <v>116.13318092050437</v>
      </c>
      <c r="D21" s="126"/>
      <c r="E21" s="47"/>
      <c r="F21" s="47" t="s">
        <v>92</v>
      </c>
      <c r="G21" s="177">
        <v>28781.931110799313</v>
      </c>
      <c r="H21" s="178">
        <v>34.138683243744772</v>
      </c>
      <c r="I21" s="178">
        <v>23002.158441467654</v>
      </c>
      <c r="J21" s="178">
        <v>37.028638257068472</v>
      </c>
      <c r="K21" s="178">
        <v>8066.8315603509727</v>
      </c>
      <c r="L21" s="178">
        <v>30.022911870146125</v>
      </c>
      <c r="M21" s="178">
        <v>2604.7906406864531</v>
      </c>
      <c r="N21" s="179">
        <v>22.984120485382242</v>
      </c>
      <c r="O21" s="179">
        <v>624.41235864987516</v>
      </c>
      <c r="P21" s="179">
        <v>16.70995950678585</v>
      </c>
      <c r="Q21" s="180">
        <v>155.6522021077281</v>
      </c>
      <c r="R21" s="180">
        <v>10.720626500676111</v>
      </c>
      <c r="S21" s="180">
        <v>101.2516470114237</v>
      </c>
      <c r="T21" s="180">
        <v>5.3520217933163465</v>
      </c>
      <c r="U21" s="180">
        <v>43.221148882437241</v>
      </c>
      <c r="V21" s="180">
        <v>1.9364979204874739</v>
      </c>
      <c r="W21" s="128"/>
      <c r="X21" s="128"/>
      <c r="Y21" s="128"/>
      <c r="Z21" s="75"/>
      <c r="AB21" s="125" t="s">
        <v>195</v>
      </c>
      <c r="AC21" s="129">
        <v>0</v>
      </c>
      <c r="AD21" s="129">
        <v>25.615006634405987</v>
      </c>
      <c r="AE21" s="129">
        <v>0</v>
      </c>
      <c r="AF21" s="129">
        <v>29.313335526939515</v>
      </c>
      <c r="AG21" s="129">
        <v>0</v>
      </c>
      <c r="AH21" s="129">
        <v>28.603699298748516</v>
      </c>
      <c r="AI21" s="129">
        <v>0</v>
      </c>
      <c r="AJ21" s="129">
        <v>21.544538708965902</v>
      </c>
      <c r="AK21" s="129">
        <v>0</v>
      </c>
      <c r="AL21" s="129">
        <v>19.853203271907965</v>
      </c>
      <c r="AM21" s="129">
        <v>0</v>
      </c>
      <c r="AN21" s="129">
        <v>18.446699777336693</v>
      </c>
      <c r="AO21" s="129">
        <v>0</v>
      </c>
      <c r="AP21" s="129">
        <v>17.660928591515393</v>
      </c>
      <c r="AQ21" s="129">
        <v>0</v>
      </c>
      <c r="AR21" s="130">
        <v>15.091423273376698</v>
      </c>
      <c r="AS21" s="130"/>
      <c r="AT21" s="130"/>
      <c r="AU21" s="47"/>
      <c r="AV21" s="47"/>
      <c r="AW21" s="47"/>
      <c r="BD21" s="47"/>
    </row>
    <row r="22" spans="1:56" x14ac:dyDescent="0.25">
      <c r="B22" s="127">
        <v>3265.4622990341522</v>
      </c>
      <c r="C22" s="127">
        <v>109.85935202190797</v>
      </c>
      <c r="D22" s="126"/>
      <c r="E22" s="47"/>
      <c r="F22" s="47"/>
      <c r="G22" s="125"/>
      <c r="H22" s="126"/>
      <c r="I22" s="126"/>
      <c r="J22" s="126"/>
      <c r="K22" s="126"/>
      <c r="L22" s="126"/>
      <c r="M22" s="126"/>
      <c r="N22" s="127"/>
      <c r="O22" s="127"/>
      <c r="P22" s="127"/>
      <c r="Q22" s="128"/>
      <c r="R22" s="128"/>
      <c r="S22" s="128"/>
      <c r="T22" s="128"/>
      <c r="U22" s="128"/>
      <c r="V22" s="128"/>
      <c r="W22" s="128"/>
      <c r="X22" s="128"/>
      <c r="Y22" s="128"/>
      <c r="Z22" s="75"/>
      <c r="AB22" s="125" t="s">
        <v>197</v>
      </c>
      <c r="AC22" s="129">
        <v>22662.240446979886</v>
      </c>
      <c r="AD22" s="129">
        <v>104.5290126923077</v>
      </c>
      <c r="AE22" s="129">
        <v>23825.718484227564</v>
      </c>
      <c r="AF22" s="129">
        <v>103.75362913461539</v>
      </c>
      <c r="AG22" s="129">
        <v>5007.9886947320174</v>
      </c>
      <c r="AH22" s="129">
        <v>99.171135673076932</v>
      </c>
      <c r="AI22" s="129">
        <v>1947.9631450845632</v>
      </c>
      <c r="AJ22" s="129">
        <v>94.58864221153847</v>
      </c>
      <c r="AK22" s="129">
        <v>1319.0258818496081</v>
      </c>
      <c r="AL22" s="129">
        <v>90.006148750000008</v>
      </c>
      <c r="AM22" s="129">
        <v>946.89080351134999</v>
      </c>
      <c r="AN22" s="129">
        <v>85.423655288461546</v>
      </c>
      <c r="AO22" s="129">
        <v>892.55726627412457</v>
      </c>
      <c r="AP22" s="129">
        <v>40.993392596153825</v>
      </c>
      <c r="AQ22" s="129">
        <v>632.1306185235635</v>
      </c>
      <c r="AR22" s="130">
        <v>0</v>
      </c>
      <c r="AS22" s="130"/>
      <c r="AT22" s="130"/>
      <c r="AU22" s="47"/>
      <c r="AV22" s="47"/>
      <c r="AW22" s="47"/>
      <c r="BD22" s="47"/>
    </row>
    <row r="23" spans="1:56" x14ac:dyDescent="0.25">
      <c r="B23" s="128">
        <v>1002.1265108420055</v>
      </c>
      <c r="C23" s="128">
        <v>103.87035506579824</v>
      </c>
      <c r="D23" s="126"/>
      <c r="E23" s="47"/>
      <c r="F23" s="47"/>
      <c r="G23" s="125"/>
      <c r="H23" s="126"/>
      <c r="I23" s="126"/>
      <c r="J23" s="126"/>
      <c r="K23" s="126"/>
      <c r="L23" s="126"/>
      <c r="M23" s="126"/>
      <c r="N23" s="127"/>
      <c r="O23" s="127"/>
      <c r="P23" s="127"/>
      <c r="Q23" s="128"/>
      <c r="R23" s="128"/>
      <c r="S23" s="128"/>
      <c r="T23" s="128"/>
      <c r="U23" s="128"/>
      <c r="V23" s="128"/>
      <c r="W23" s="128"/>
      <c r="X23" s="128"/>
      <c r="Y23" s="128"/>
      <c r="Z23" s="75"/>
      <c r="AB23" s="125"/>
      <c r="AC23" s="129"/>
      <c r="AD23" s="129"/>
      <c r="AE23" s="129"/>
      <c r="AF23" s="129"/>
      <c r="AG23" s="129"/>
      <c r="AH23" s="129"/>
      <c r="AI23" s="129"/>
      <c r="AJ23" s="129"/>
      <c r="AK23" s="129"/>
      <c r="AL23" s="129"/>
      <c r="AM23" s="129"/>
      <c r="AN23" s="129"/>
      <c r="AO23" s="129"/>
      <c r="AP23" s="129"/>
      <c r="AQ23" s="129"/>
      <c r="AR23" s="130"/>
      <c r="AS23" s="130"/>
      <c r="AT23" s="130"/>
      <c r="AU23" s="47"/>
      <c r="AV23" s="47"/>
      <c r="AW23" s="47"/>
      <c r="BD23" s="47"/>
    </row>
    <row r="24" spans="1:56" x14ac:dyDescent="0.25">
      <c r="B24" s="128">
        <v>947.72595574570119</v>
      </c>
      <c r="C24" s="128">
        <v>58.654321187669218</v>
      </c>
      <c r="D24" s="126"/>
      <c r="E24" s="47"/>
      <c r="F24" s="47"/>
      <c r="G24" s="125"/>
      <c r="H24" s="126"/>
      <c r="I24" s="126"/>
      <c r="J24" s="126"/>
      <c r="K24" s="126"/>
      <c r="L24" s="126"/>
      <c r="M24" s="126"/>
      <c r="N24" s="127"/>
      <c r="O24" s="127"/>
      <c r="P24" s="127"/>
      <c r="Q24" s="128"/>
      <c r="R24" s="128"/>
      <c r="S24" s="128"/>
      <c r="T24" s="128"/>
      <c r="U24" s="128"/>
      <c r="V24" s="128"/>
      <c r="W24" s="128"/>
      <c r="X24" s="128"/>
      <c r="Y24" s="128"/>
      <c r="Z24" s="75"/>
      <c r="AB24" s="125"/>
      <c r="AC24" s="129" t="b">
        <f>+SUM(AC18:AC22)=G19</f>
        <v>1</v>
      </c>
      <c r="AD24" s="129" t="b">
        <f t="shared" ref="AD24:AR24" si="23">+SUM(AD18:AD22)=H19</f>
        <v>1</v>
      </c>
      <c r="AE24" s="129" t="b">
        <f t="shared" si="23"/>
        <v>1</v>
      </c>
      <c r="AF24" s="129" t="b">
        <f t="shared" si="23"/>
        <v>1</v>
      </c>
      <c r="AG24" s="129" t="b">
        <f t="shared" si="23"/>
        <v>1</v>
      </c>
      <c r="AH24" s="129" t="b">
        <f t="shared" si="23"/>
        <v>1</v>
      </c>
      <c r="AI24" s="129" t="b">
        <f t="shared" si="23"/>
        <v>1</v>
      </c>
      <c r="AJ24" s="129" t="b">
        <f t="shared" si="23"/>
        <v>1</v>
      </c>
      <c r="AK24" s="129" t="b">
        <f t="shared" si="23"/>
        <v>1</v>
      </c>
      <c r="AL24" s="129" t="b">
        <f t="shared" si="23"/>
        <v>1</v>
      </c>
      <c r="AM24" s="129" t="b">
        <f t="shared" si="23"/>
        <v>1</v>
      </c>
      <c r="AN24" s="129" t="b">
        <f t="shared" si="23"/>
        <v>1</v>
      </c>
      <c r="AO24" s="129" t="b">
        <f t="shared" si="23"/>
        <v>1</v>
      </c>
      <c r="AP24" s="129" t="b">
        <f t="shared" si="23"/>
        <v>1</v>
      </c>
      <c r="AQ24" s="129" t="b">
        <f>+SUM(AQ18:AQ22)=U19</f>
        <v>1</v>
      </c>
      <c r="AR24" s="129" t="b">
        <f t="shared" si="23"/>
        <v>1</v>
      </c>
      <c r="AS24" s="130"/>
      <c r="AT24" s="130"/>
      <c r="AU24" s="47"/>
      <c r="AV24" s="47"/>
      <c r="AW24" s="47"/>
      <c r="BD24" s="47"/>
    </row>
    <row r="25" spans="1:56" x14ac:dyDescent="0.25">
      <c r="B25" s="128">
        <v>685.02799124584237</v>
      </c>
      <c r="C25" s="128">
        <v>15.091423273376698</v>
      </c>
      <c r="D25" s="126"/>
      <c r="E25" s="47"/>
      <c r="F25" s="47"/>
      <c r="G25" s="125"/>
      <c r="H25" s="126"/>
      <c r="I25" s="126"/>
      <c r="J25" s="126"/>
      <c r="K25" s="126"/>
      <c r="L25" s="126"/>
      <c r="M25" s="126"/>
      <c r="N25" s="127"/>
      <c r="O25" s="127"/>
      <c r="P25" s="127"/>
      <c r="Q25" s="128"/>
      <c r="R25" s="128"/>
      <c r="S25" s="128"/>
      <c r="T25" s="128"/>
      <c r="U25" s="128"/>
      <c r="V25" s="128"/>
      <c r="W25" s="128"/>
      <c r="X25" s="128"/>
      <c r="Y25" s="128"/>
      <c r="Z25" s="75"/>
      <c r="AB25" s="125"/>
      <c r="AC25" s="129"/>
      <c r="AD25" s="129"/>
      <c r="AE25" s="129"/>
      <c r="AF25" s="129"/>
      <c r="AG25" s="129"/>
      <c r="AH25" s="129"/>
      <c r="AI25" s="129"/>
      <c r="AJ25" s="129"/>
      <c r="AK25" s="129"/>
      <c r="AL25" s="129"/>
      <c r="AM25" s="129"/>
      <c r="AN25" s="129"/>
      <c r="AO25" s="129"/>
      <c r="AP25" s="129"/>
      <c r="AQ25" s="129"/>
      <c r="AR25" s="130"/>
      <c r="AS25" s="130"/>
      <c r="AT25" s="130"/>
      <c r="AU25" s="47"/>
      <c r="AV25" s="47"/>
      <c r="AW25" s="47"/>
      <c r="BD25" s="47"/>
    </row>
    <row r="26" spans="1:56" x14ac:dyDescent="0.25">
      <c r="B26" s="126"/>
      <c r="C26" s="126"/>
      <c r="D26" s="126"/>
      <c r="E26" s="47"/>
      <c r="F26" s="47"/>
      <c r="G26" s="125"/>
      <c r="H26" s="126"/>
      <c r="I26" s="126"/>
      <c r="J26" s="126"/>
      <c r="K26" s="126"/>
      <c r="L26" s="126"/>
      <c r="M26" s="126"/>
      <c r="N26" s="127"/>
      <c r="O26" s="127"/>
      <c r="P26" s="127"/>
      <c r="Q26" s="128"/>
      <c r="R26" s="128"/>
      <c r="S26" s="128"/>
      <c r="T26" s="128"/>
      <c r="U26" s="128"/>
      <c r="V26" s="128"/>
      <c r="W26" s="128"/>
      <c r="X26" s="128"/>
      <c r="Y26" s="128"/>
      <c r="Z26" s="75"/>
      <c r="AB26" s="125"/>
      <c r="AC26" s="129"/>
      <c r="AD26" s="129"/>
      <c r="AE26" s="129"/>
      <c r="AF26" s="129"/>
      <c r="AG26" s="129"/>
      <c r="AH26" s="129"/>
      <c r="AI26" s="129"/>
      <c r="AJ26" s="129"/>
      <c r="AK26" s="129"/>
      <c r="AL26" s="129"/>
      <c r="AM26" s="129"/>
      <c r="AN26" s="129"/>
      <c r="AO26" s="129"/>
      <c r="AP26" s="129"/>
      <c r="AQ26" s="129"/>
      <c r="AR26" s="130"/>
      <c r="AS26" s="130"/>
      <c r="AT26" s="130"/>
      <c r="AU26" s="47"/>
      <c r="AV26" s="47"/>
      <c r="AW26" s="47"/>
      <c r="BD26" s="47"/>
    </row>
    <row r="27" spans="1:56" x14ac:dyDescent="0.25">
      <c r="B27" s="126"/>
      <c r="C27" s="126"/>
      <c r="D27" s="126"/>
      <c r="E27" s="47"/>
      <c r="F27" s="47"/>
      <c r="G27" s="125"/>
      <c r="H27" s="126"/>
      <c r="I27" s="126"/>
      <c r="J27" s="126"/>
      <c r="K27" s="126"/>
      <c r="L27" s="126"/>
      <c r="M27" s="126"/>
      <c r="N27" s="127"/>
      <c r="O27" s="127"/>
      <c r="P27" s="127"/>
      <c r="Q27" s="128"/>
      <c r="R27" s="128"/>
      <c r="S27" s="128"/>
      <c r="T27" s="128"/>
      <c r="U27" s="128"/>
      <c r="V27" s="128"/>
      <c r="W27" s="128"/>
      <c r="X27" s="128"/>
      <c r="Y27" s="128"/>
      <c r="Z27" s="75"/>
      <c r="AB27" s="125"/>
      <c r="AC27" s="129"/>
      <c r="AD27" s="129"/>
      <c r="AE27" s="129"/>
      <c r="AF27" s="129"/>
      <c r="AG27" s="129"/>
      <c r="AH27" s="129"/>
      <c r="AI27" s="129"/>
      <c r="AJ27" s="129"/>
      <c r="AK27" s="129"/>
      <c r="AL27" s="129"/>
      <c r="AM27" s="129"/>
      <c r="AN27" s="129"/>
      <c r="AO27" s="129"/>
      <c r="AP27" s="129"/>
      <c r="AQ27" s="129"/>
      <c r="AR27" s="130"/>
      <c r="AS27" s="130"/>
      <c r="AT27" s="130"/>
      <c r="AU27" s="47"/>
      <c r="AV27" s="47"/>
      <c r="AW27" s="47"/>
      <c r="BD27" s="47"/>
    </row>
    <row r="28" spans="1:56" x14ac:dyDescent="0.25">
      <c r="B28" s="126"/>
      <c r="C28" s="126"/>
      <c r="D28" s="126"/>
      <c r="E28" s="47"/>
      <c r="F28" s="47"/>
      <c r="G28" s="125"/>
      <c r="H28" s="126"/>
      <c r="I28" s="126"/>
      <c r="J28" s="126"/>
      <c r="K28" s="126"/>
      <c r="L28" s="126"/>
      <c r="M28" s="126"/>
      <c r="N28" s="127"/>
      <c r="O28" s="127"/>
      <c r="P28" s="127"/>
      <c r="Q28" s="128"/>
      <c r="R28" s="128"/>
      <c r="S28" s="128"/>
      <c r="T28" s="128"/>
      <c r="U28" s="128"/>
      <c r="V28" s="128"/>
      <c r="W28" s="128"/>
      <c r="X28" s="128"/>
      <c r="Y28" s="128"/>
      <c r="Z28" s="75"/>
      <c r="AB28" s="125"/>
      <c r="AC28" s="129"/>
      <c r="AD28" s="129"/>
      <c r="AE28" s="129"/>
      <c r="AF28" s="129"/>
      <c r="AG28" s="129"/>
      <c r="AH28" s="129"/>
      <c r="AI28" s="129"/>
      <c r="AJ28" s="129"/>
      <c r="AK28" s="129"/>
      <c r="AL28" s="129"/>
      <c r="AM28" s="129"/>
      <c r="AN28" s="129"/>
      <c r="AO28" s="129"/>
      <c r="AP28" s="129"/>
      <c r="AQ28" s="129"/>
      <c r="AR28" s="130"/>
      <c r="AS28" s="130"/>
      <c r="AT28" s="130"/>
      <c r="AU28" s="47"/>
      <c r="AV28" s="47"/>
    </row>
    <row r="29" spans="1:56" x14ac:dyDescent="0.25">
      <c r="B29" s="126"/>
      <c r="C29" s="126"/>
      <c r="D29" s="126"/>
      <c r="E29" s="47"/>
      <c r="F29" s="47"/>
      <c r="G29" s="125"/>
      <c r="H29" s="126"/>
      <c r="I29" s="126"/>
      <c r="J29" s="126"/>
      <c r="K29" s="126"/>
      <c r="L29" s="126"/>
      <c r="M29" s="126"/>
      <c r="N29" s="127"/>
      <c r="O29" s="127"/>
      <c r="P29" s="127"/>
      <c r="Q29" s="128"/>
      <c r="R29" s="128"/>
      <c r="S29" s="128"/>
      <c r="T29" s="128"/>
      <c r="U29" s="128"/>
      <c r="V29" s="128"/>
      <c r="W29" s="128"/>
      <c r="X29" s="128"/>
      <c r="Y29" s="128"/>
      <c r="Z29" s="75"/>
      <c r="AB29" s="125"/>
      <c r="AC29" s="129"/>
      <c r="AD29" s="129"/>
      <c r="AE29" s="129"/>
      <c r="AF29" s="129"/>
      <c r="AG29" s="129"/>
      <c r="AH29" s="129"/>
      <c r="AI29" s="129"/>
      <c r="AJ29" s="129"/>
      <c r="AK29" s="129"/>
      <c r="AL29" s="129"/>
      <c r="AM29" s="129"/>
      <c r="AN29" s="129"/>
      <c r="AO29" s="129"/>
      <c r="AP29" s="129"/>
      <c r="AQ29" s="129"/>
      <c r="AR29" s="130"/>
      <c r="AS29" s="130"/>
      <c r="AT29" s="130"/>
      <c r="AU29" s="47"/>
      <c r="AV29" s="47"/>
    </row>
    <row r="30" spans="1:56" x14ac:dyDescent="0.25">
      <c r="P30" s="127"/>
      <c r="Q30" s="128"/>
      <c r="R30" s="128"/>
      <c r="S30" s="128"/>
      <c r="T30" s="128"/>
      <c r="U30" s="128"/>
      <c r="V30" s="128"/>
      <c r="W30" s="128"/>
      <c r="X30" s="128"/>
      <c r="Y30" s="128"/>
      <c r="Z30" s="75"/>
      <c r="AB30" s="125"/>
      <c r="AC30" s="129"/>
      <c r="AD30" s="129"/>
      <c r="AE30" s="129"/>
      <c r="AF30" s="129"/>
      <c r="AG30" s="129"/>
      <c r="AH30" s="129"/>
      <c r="AI30" s="129"/>
      <c r="AJ30" s="129"/>
      <c r="AK30" s="129"/>
      <c r="AL30" s="129"/>
      <c r="AM30" s="129"/>
      <c r="AN30" s="129"/>
      <c r="AO30" s="129"/>
      <c r="AP30" s="129"/>
      <c r="AQ30" s="129"/>
      <c r="AR30" s="130"/>
      <c r="AS30" s="130"/>
      <c r="AT30" s="130"/>
      <c r="AU30" s="47"/>
      <c r="AV30" s="47"/>
    </row>
    <row r="31" spans="1:56" x14ac:dyDescent="0.25">
      <c r="B31" s="126"/>
      <c r="C31" s="126"/>
      <c r="D31" s="126"/>
      <c r="G31" s="125"/>
      <c r="H31" s="126"/>
      <c r="I31" s="126"/>
      <c r="J31" s="126"/>
      <c r="K31" s="126"/>
      <c r="L31" s="126"/>
      <c r="M31" s="126"/>
      <c r="N31" s="127"/>
      <c r="O31" s="127"/>
      <c r="P31" s="127"/>
      <c r="Q31" s="128"/>
      <c r="R31" s="128"/>
      <c r="S31" s="128"/>
      <c r="T31" s="128"/>
      <c r="U31" s="128"/>
      <c r="V31" s="128"/>
      <c r="W31" s="128"/>
      <c r="X31" s="128"/>
      <c r="Y31" s="128"/>
      <c r="Z31" s="75"/>
      <c r="AB31" s="125"/>
      <c r="AC31" s="129"/>
      <c r="AD31" s="129"/>
      <c r="AE31" s="129"/>
      <c r="AF31" s="129"/>
      <c r="AG31" s="129"/>
      <c r="AH31" s="129"/>
      <c r="AI31" s="129"/>
      <c r="AJ31" s="129"/>
      <c r="AK31" s="129"/>
      <c r="AL31" s="129"/>
      <c r="AM31" s="129"/>
      <c r="AN31" s="129"/>
      <c r="AO31" s="129"/>
      <c r="AP31" s="129"/>
      <c r="AQ31" s="129"/>
      <c r="AR31" s="130"/>
      <c r="AS31" s="130"/>
      <c r="AT31" s="130"/>
      <c r="AU31" s="47"/>
      <c r="AV31" s="47"/>
    </row>
    <row r="32" spans="1:56" x14ac:dyDescent="0.25">
      <c r="B32" s="126"/>
      <c r="C32" s="126"/>
      <c r="D32" s="126"/>
      <c r="G32" s="125"/>
      <c r="H32" s="126"/>
      <c r="I32" s="126"/>
      <c r="J32" s="126"/>
      <c r="K32" s="126"/>
      <c r="L32" s="126"/>
      <c r="M32" s="126"/>
      <c r="N32" s="127"/>
      <c r="O32" s="127"/>
      <c r="P32" s="127"/>
      <c r="Q32" s="128"/>
      <c r="R32" s="128"/>
      <c r="S32" s="128"/>
      <c r="T32" s="128"/>
      <c r="U32" s="128"/>
      <c r="V32" s="128"/>
      <c r="W32" s="128"/>
      <c r="X32" s="128"/>
      <c r="Y32" s="128"/>
      <c r="Z32" s="75"/>
      <c r="AB32" s="125"/>
      <c r="AC32" s="129"/>
      <c r="AD32" s="129"/>
      <c r="AE32" s="129"/>
      <c r="AF32" s="129"/>
      <c r="AG32" s="129"/>
      <c r="AH32" s="129"/>
      <c r="AI32" s="129"/>
      <c r="AJ32" s="129"/>
      <c r="AK32" s="129"/>
      <c r="AL32" s="129"/>
      <c r="AM32" s="129"/>
      <c r="AN32" s="129"/>
      <c r="AO32" s="129"/>
      <c r="AP32" s="129"/>
      <c r="AQ32" s="129"/>
      <c r="AR32" s="130"/>
      <c r="AS32" s="130"/>
      <c r="AT32" s="130"/>
      <c r="AU32" s="47"/>
      <c r="AV32" s="47"/>
    </row>
    <row r="33" spans="1:48" x14ac:dyDescent="0.25">
      <c r="B33" s="126"/>
      <c r="C33" s="126"/>
      <c r="D33" s="126"/>
      <c r="G33" s="125"/>
      <c r="H33" s="126"/>
      <c r="I33" s="126"/>
      <c r="J33" s="126"/>
      <c r="K33" s="126"/>
      <c r="L33" s="126"/>
      <c r="M33" s="126"/>
      <c r="N33" s="127"/>
      <c r="O33" s="127"/>
      <c r="P33" s="127"/>
      <c r="Q33" s="128"/>
      <c r="R33" s="128"/>
      <c r="S33" s="128"/>
      <c r="T33" s="128"/>
      <c r="U33" s="128"/>
      <c r="V33" s="128"/>
      <c r="W33" s="128"/>
      <c r="X33" s="128"/>
      <c r="Y33" s="128"/>
      <c r="Z33" s="75"/>
      <c r="AB33" s="125"/>
      <c r="AC33" s="129"/>
      <c r="AD33" s="129"/>
      <c r="AE33" s="129"/>
      <c r="AF33" s="129"/>
      <c r="AG33" s="129"/>
      <c r="AH33" s="129"/>
      <c r="AI33" s="129"/>
      <c r="AJ33" s="129"/>
      <c r="AK33" s="129"/>
      <c r="AL33" s="129"/>
      <c r="AM33" s="129"/>
      <c r="AN33" s="129"/>
      <c r="AO33" s="129"/>
      <c r="AP33" s="129"/>
      <c r="AQ33" s="129"/>
      <c r="AR33" s="130"/>
      <c r="AS33" s="130"/>
      <c r="AT33" s="130"/>
      <c r="AU33" s="47"/>
      <c r="AV33" s="47"/>
    </row>
    <row r="34" spans="1:48" x14ac:dyDescent="0.25">
      <c r="A34" s="125"/>
      <c r="B34" s="126"/>
      <c r="C34" s="126"/>
      <c r="D34" s="126"/>
      <c r="G34" s="125"/>
      <c r="H34" s="126"/>
      <c r="I34" s="126"/>
      <c r="J34" s="126"/>
      <c r="K34" s="126"/>
      <c r="L34" s="126"/>
      <c r="M34" s="126"/>
      <c r="N34" s="127"/>
      <c r="O34" s="127"/>
      <c r="P34" s="127"/>
      <c r="Q34" s="128"/>
      <c r="R34" s="128"/>
      <c r="S34" s="128"/>
      <c r="T34" s="128"/>
      <c r="U34" s="128"/>
      <c r="V34" s="128"/>
      <c r="W34" s="128"/>
      <c r="X34" s="128"/>
      <c r="Y34" s="128"/>
      <c r="Z34" s="75"/>
      <c r="AB34" s="125"/>
      <c r="AC34" s="129"/>
      <c r="AD34" s="129"/>
      <c r="AE34" s="129"/>
      <c r="AF34" s="129"/>
      <c r="AG34" s="129"/>
      <c r="AH34" s="129"/>
      <c r="AI34" s="129"/>
      <c r="AJ34" s="129"/>
      <c r="AK34" s="129"/>
      <c r="AL34" s="129"/>
      <c r="AM34" s="129"/>
      <c r="AN34" s="129"/>
      <c r="AO34" s="129"/>
      <c r="AP34" s="129"/>
      <c r="AQ34" s="129"/>
      <c r="AR34" s="130"/>
      <c r="AS34" s="130"/>
      <c r="AT34" s="130"/>
      <c r="AU34" s="47"/>
      <c r="AV34" s="47"/>
    </row>
    <row r="35" spans="1:48" x14ac:dyDescent="0.25">
      <c r="A35" s="125"/>
      <c r="B35" s="126"/>
      <c r="C35" s="126"/>
      <c r="D35" s="126"/>
      <c r="G35" s="125"/>
      <c r="H35" s="126"/>
      <c r="I35" s="126"/>
      <c r="J35" s="126"/>
      <c r="K35" s="126"/>
      <c r="L35" s="126"/>
      <c r="M35" s="126"/>
      <c r="N35" s="127"/>
      <c r="O35" s="127"/>
      <c r="P35" s="127"/>
      <c r="Q35" s="128"/>
      <c r="R35" s="128"/>
      <c r="S35" s="128"/>
      <c r="T35" s="128"/>
      <c r="U35" s="128"/>
      <c r="V35" s="128"/>
      <c r="W35" s="128"/>
      <c r="X35" s="128"/>
      <c r="Y35" s="128"/>
      <c r="Z35" s="75"/>
      <c r="AB35" s="125"/>
      <c r="AC35" s="129"/>
      <c r="AD35" s="129"/>
      <c r="AE35" s="129"/>
      <c r="AF35" s="129"/>
      <c r="AG35" s="129"/>
      <c r="AH35" s="129"/>
      <c r="AI35" s="129"/>
      <c r="AJ35" s="129"/>
      <c r="AK35" s="129"/>
      <c r="AL35" s="129"/>
      <c r="AM35" s="129"/>
      <c r="AN35" s="129"/>
      <c r="AO35" s="129"/>
      <c r="AP35" s="129"/>
      <c r="AQ35" s="129"/>
      <c r="AR35" s="130"/>
      <c r="AS35" s="130"/>
      <c r="AT35" s="130"/>
      <c r="AU35" s="47"/>
      <c r="AV35" s="47"/>
    </row>
    <row r="58" spans="61:63" x14ac:dyDescent="0.25">
      <c r="BI58">
        <v>2023</v>
      </c>
      <c r="BJ58" s="99">
        <v>57379.118437812736</v>
      </c>
      <c r="BK58" s="169">
        <v>130.1440193267137</v>
      </c>
    </row>
    <row r="59" spans="61:63" x14ac:dyDescent="0.25">
      <c r="BI59">
        <f>+BI58+1</f>
        <v>2024</v>
      </c>
      <c r="BJ59" s="99">
        <v>42330.872264007121</v>
      </c>
      <c r="BK59" s="169">
        <v>133.06696466155492</v>
      </c>
    </row>
    <row r="60" spans="61:63" x14ac:dyDescent="0.25">
      <c r="BI60">
        <f t="shared" ref="BI60:BI64" si="24">+BI59+1</f>
        <v>2025</v>
      </c>
      <c r="BJ60" s="99">
        <v>14619.238973267578</v>
      </c>
      <c r="BK60" s="169">
        <v>127.77483497182544</v>
      </c>
    </row>
    <row r="61" spans="61:63" x14ac:dyDescent="0.25">
      <c r="BI61">
        <f t="shared" si="24"/>
        <v>2026</v>
      </c>
      <c r="BJ61" s="99">
        <v>7799.2472993371366</v>
      </c>
      <c r="BK61" s="169">
        <v>116.13318092050437</v>
      </c>
    </row>
    <row r="62" spans="61:63" x14ac:dyDescent="0.25">
      <c r="BI62">
        <f t="shared" si="24"/>
        <v>2027</v>
      </c>
      <c r="BJ62" s="99">
        <v>3265.4622990341522</v>
      </c>
      <c r="BK62" s="169">
        <v>109.85935202190797</v>
      </c>
    </row>
    <row r="63" spans="61:63" x14ac:dyDescent="0.25">
      <c r="BI63">
        <f t="shared" si="24"/>
        <v>2028</v>
      </c>
      <c r="BJ63" s="99">
        <v>1002.1265108420055</v>
      </c>
      <c r="BK63" s="169">
        <v>103.87035506579824</v>
      </c>
    </row>
    <row r="64" spans="61:63" x14ac:dyDescent="0.25">
      <c r="BI64">
        <f t="shared" si="24"/>
        <v>2029</v>
      </c>
      <c r="BJ64" s="99">
        <v>947.72595574570119</v>
      </c>
      <c r="BK64" s="169">
        <v>58.654321187669218</v>
      </c>
    </row>
    <row r="65" spans="61:63" x14ac:dyDescent="0.25">
      <c r="BI65" t="s">
        <v>251</v>
      </c>
      <c r="BJ65" s="99">
        <v>685.02799124584237</v>
      </c>
      <c r="BK65" s="169">
        <v>15.091423273376698</v>
      </c>
    </row>
    <row r="94" spans="59:62" x14ac:dyDescent="0.25">
      <c r="BI94" t="s">
        <v>223</v>
      </c>
      <c r="BJ94" t="s">
        <v>224</v>
      </c>
    </row>
    <row r="95" spans="59:62" x14ac:dyDescent="0.25">
      <c r="BG95">
        <v>2023</v>
      </c>
      <c r="BH95" s="99">
        <v>57379.118437812736</v>
      </c>
      <c r="BI95" s="145">
        <v>0.49839014794218117</v>
      </c>
      <c r="BJ95" s="145">
        <v>0.50160985205781883</v>
      </c>
    </row>
    <row r="96" spans="59:62" x14ac:dyDescent="0.25">
      <c r="BG96">
        <f>+BG95+1</f>
        <v>2024</v>
      </c>
      <c r="BH96" s="99">
        <v>42330.872264007121</v>
      </c>
      <c r="BI96" s="145">
        <v>0.45661033635194404</v>
      </c>
      <c r="BJ96" s="145">
        <v>0.54338966364805608</v>
      </c>
    </row>
    <row r="97" spans="59:62" x14ac:dyDescent="0.25">
      <c r="BG97">
        <f t="shared" ref="BG97:BG101" si="25">+BG96+1</f>
        <v>2025</v>
      </c>
      <c r="BH97" s="99">
        <v>14619.238973267578</v>
      </c>
      <c r="BI97" s="145">
        <v>0.44820441234309083</v>
      </c>
      <c r="BJ97" s="145">
        <v>0.55179558765690906</v>
      </c>
    </row>
    <row r="98" spans="59:62" x14ac:dyDescent="0.25">
      <c r="BG98">
        <f t="shared" si="25"/>
        <v>2026</v>
      </c>
      <c r="BH98" s="99">
        <v>7799.2472993371366</v>
      </c>
      <c r="BI98" s="145">
        <v>0.66602025288929667</v>
      </c>
      <c r="BJ98" s="145">
        <v>0.33397974711070338</v>
      </c>
    </row>
    <row r="99" spans="59:62" x14ac:dyDescent="0.25">
      <c r="BG99">
        <f t="shared" si="25"/>
        <v>2027</v>
      </c>
      <c r="BH99" s="99">
        <v>3265.4622990341522</v>
      </c>
      <c r="BI99" s="145">
        <v>0.80878286090316776</v>
      </c>
      <c r="BJ99" s="145">
        <v>0.19121713909683227</v>
      </c>
    </row>
    <row r="100" spans="59:62" x14ac:dyDescent="0.25">
      <c r="BG100">
        <f t="shared" si="25"/>
        <v>2028</v>
      </c>
      <c r="BH100" s="99">
        <v>1002.1265108420055</v>
      </c>
      <c r="BI100" s="145">
        <v>0.84467809161445484</v>
      </c>
      <c r="BJ100" s="145">
        <v>0.15532190838554527</v>
      </c>
    </row>
    <row r="101" spans="59:62" x14ac:dyDescent="0.25">
      <c r="BG101">
        <f t="shared" si="25"/>
        <v>2029</v>
      </c>
      <c r="BH101" s="99">
        <v>947.72595574570119</v>
      </c>
      <c r="BI101" s="145">
        <v>0.89316358131000462</v>
      </c>
      <c r="BJ101" s="145">
        <v>0.10683641868999531</v>
      </c>
    </row>
    <row r="102" spans="59:62" x14ac:dyDescent="0.25">
      <c r="BG102" t="s">
        <v>251</v>
      </c>
      <c r="BH102" s="99">
        <v>685.02799124584237</v>
      </c>
      <c r="BI102" s="145">
        <v>0.93690601050647282</v>
      </c>
      <c r="BJ102" s="145">
        <v>6.3093989493527236E-2</v>
      </c>
    </row>
    <row r="113" spans="67:69" x14ac:dyDescent="0.25">
      <c r="BP113" t="s">
        <v>192</v>
      </c>
      <c r="BQ113" t="s">
        <v>225</v>
      </c>
    </row>
    <row r="114" spans="67:69" x14ac:dyDescent="0.25">
      <c r="BO114" s="146">
        <v>130.14401932671367</v>
      </c>
      <c r="BP114" s="145">
        <v>0.73768534719952839</v>
      </c>
      <c r="BQ114" s="145">
        <v>0.26231465280047167</v>
      </c>
    </row>
    <row r="115" spans="67:69" x14ac:dyDescent="0.25">
      <c r="BO115" s="146">
        <v>133.06696466155492</v>
      </c>
      <c r="BP115" s="145">
        <v>0.7217292935835139</v>
      </c>
      <c r="BQ115" s="145">
        <v>0.27827070641648605</v>
      </c>
    </row>
    <row r="116" spans="67:69" x14ac:dyDescent="0.25">
      <c r="BO116" s="146">
        <v>127.77483497182544</v>
      </c>
      <c r="BP116" s="145">
        <v>0.76503266956465865</v>
      </c>
      <c r="BQ116" s="145">
        <v>0.2349673304353414</v>
      </c>
    </row>
    <row r="117" spans="67:69" x14ac:dyDescent="0.25">
      <c r="BO117" s="146">
        <v>116.13318092050437</v>
      </c>
      <c r="BP117" s="145">
        <v>0.80208825502579351</v>
      </c>
      <c r="BQ117" s="145">
        <v>0.19791174497420647</v>
      </c>
    </row>
    <row r="118" spans="67:69" x14ac:dyDescent="0.25">
      <c r="BO118" s="146">
        <v>109.85935202190798</v>
      </c>
      <c r="BP118" s="145">
        <v>0.8478967953183123</v>
      </c>
      <c r="BQ118" s="145">
        <v>0.1521032046816877</v>
      </c>
    </row>
    <row r="119" spans="67:69" x14ac:dyDescent="0.25">
      <c r="BO119" s="146">
        <v>103.87035506579824</v>
      </c>
      <c r="BP119" s="145">
        <v>0.89678839074069827</v>
      </c>
      <c r="BQ119" s="145">
        <v>0.10321160925930184</v>
      </c>
    </row>
    <row r="120" spans="67:69" x14ac:dyDescent="0.25">
      <c r="BO120" s="146">
        <v>58.654321187669218</v>
      </c>
      <c r="BP120" s="145">
        <v>0.90875315432954851</v>
      </c>
      <c r="BQ120" s="145">
        <v>9.1246845670451493E-2</v>
      </c>
    </row>
    <row r="121" spans="67:69" x14ac:dyDescent="0.25">
      <c r="BO121" s="146">
        <v>15.0914232733767</v>
      </c>
      <c r="BP121" s="145">
        <v>0.87168222072839763</v>
      </c>
      <c r="BQ121" s="145">
        <v>0.12831777927160234</v>
      </c>
    </row>
    <row r="122" spans="67:69" x14ac:dyDescent="0.25">
      <c r="BP122" s="145"/>
      <c r="BQ122" s="145"/>
    </row>
    <row r="151" spans="67:67" x14ac:dyDescent="0.25">
      <c r="BO151" s="99">
        <v>57379.118437812736</v>
      </c>
    </row>
    <row r="152" spans="67:67" x14ac:dyDescent="0.25">
      <c r="BO152" s="99">
        <v>42330.872264007121</v>
      </c>
    </row>
    <row r="153" spans="67:67" x14ac:dyDescent="0.25">
      <c r="BO153" s="99">
        <v>14619.238973267578</v>
      </c>
    </row>
    <row r="154" spans="67:67" x14ac:dyDescent="0.25">
      <c r="BO154" s="99">
        <v>7799.2472993371366</v>
      </c>
    </row>
    <row r="155" spans="67:67" x14ac:dyDescent="0.25">
      <c r="BO155" s="99">
        <v>3265.4622990341522</v>
      </c>
    </row>
    <row r="156" spans="67:67" x14ac:dyDescent="0.25">
      <c r="BO156" s="99">
        <v>1002.1265108420055</v>
      </c>
    </row>
    <row r="157" spans="67:67" x14ac:dyDescent="0.25">
      <c r="BO157" s="99">
        <v>947.72595574570119</v>
      </c>
    </row>
    <row r="158" spans="67:67" x14ac:dyDescent="0.25">
      <c r="BO158" s="99">
        <v>685.02799124584237</v>
      </c>
    </row>
    <row r="167" spans="67:67" x14ac:dyDescent="0.25">
      <c r="BO167" s="146">
        <v>130.14401932671367</v>
      </c>
    </row>
    <row r="168" spans="67:67" x14ac:dyDescent="0.25">
      <c r="BO168" s="146">
        <v>133.06696466155492</v>
      </c>
    </row>
    <row r="169" spans="67:67" x14ac:dyDescent="0.25">
      <c r="BO169" s="146">
        <v>127.77483497182544</v>
      </c>
    </row>
    <row r="170" spans="67:67" x14ac:dyDescent="0.25">
      <c r="BO170" s="146">
        <v>116.13318092050437</v>
      </c>
    </row>
    <row r="171" spans="67:67" x14ac:dyDescent="0.25">
      <c r="BO171" s="146">
        <v>109.85935202190798</v>
      </c>
    </row>
    <row r="172" spans="67:67" x14ac:dyDescent="0.25">
      <c r="BO172" s="146">
        <v>103.87035506579824</v>
      </c>
    </row>
    <row r="173" spans="67:67" x14ac:dyDescent="0.25">
      <c r="BO173" s="146">
        <v>58.654321187669218</v>
      </c>
    </row>
    <row r="174" spans="67:67" x14ac:dyDescent="0.25">
      <c r="BO174" s="146">
        <v>15.0914232733767</v>
      </c>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4"/>
  <sheetViews>
    <sheetView showGridLines="0" zoomScaleNormal="100" workbookViewId="0">
      <pane xSplit="3" ySplit="6" topLeftCell="D7" activePane="bottomRight" state="frozen"/>
      <selection activeCell="F1" sqref="F1:F1048576"/>
      <selection pane="topRight" activeCell="F1" sqref="F1:F1048576"/>
      <selection pane="bottomLeft" activeCell="F1" sqref="F1:F1048576"/>
      <selection pane="bottomRight"/>
    </sheetView>
  </sheetViews>
  <sheetFormatPr baseColWidth="10" defaultRowHeight="16.5" x14ac:dyDescent="0.3"/>
  <cols>
    <col min="1" max="1" width="5.28515625" style="21" customWidth="1"/>
    <col min="2" max="2" width="43.7109375" style="2" bestFit="1" customWidth="1"/>
    <col min="3" max="3" width="12.5703125" style="2" customWidth="1"/>
    <col min="4" max="4" width="30.85546875" style="2" bestFit="1" customWidth="1"/>
    <col min="5" max="5" width="13.7109375" style="148" customWidth="1"/>
    <col min="6" max="6" width="14.85546875" style="148" bestFit="1" customWidth="1"/>
    <col min="7" max="17" width="13" style="148" bestFit="1" customWidth="1"/>
    <col min="18" max="21" width="11.42578125" style="148"/>
    <col min="22" max="16384" width="11.42578125" style="1"/>
  </cols>
  <sheetData>
    <row r="1" spans="1:29" ht="28.5" customHeight="1" x14ac:dyDescent="0.3">
      <c r="A1" s="147"/>
      <c r="B1" s="235" t="s">
        <v>42</v>
      </c>
      <c r="C1" s="235"/>
      <c r="D1" s="235"/>
      <c r="E1" s="235"/>
    </row>
    <row r="2" spans="1:29" x14ac:dyDescent="0.3">
      <c r="B2" s="149" t="s">
        <v>50</v>
      </c>
    </row>
    <row r="4" spans="1:29" ht="30.75" customHeight="1" x14ac:dyDescent="0.3">
      <c r="B4" s="236" t="s">
        <v>139</v>
      </c>
      <c r="C4" s="236"/>
      <c r="D4" s="236"/>
      <c r="F4" s="150"/>
      <c r="G4" s="150"/>
      <c r="H4" s="150"/>
      <c r="I4" s="150"/>
      <c r="J4" s="150"/>
      <c r="K4" s="150"/>
      <c r="L4" s="150"/>
      <c r="M4" s="150"/>
      <c r="N4" s="150"/>
      <c r="O4" s="150"/>
      <c r="P4" s="150"/>
      <c r="Q4" s="150"/>
    </row>
    <row r="5" spans="1:29" ht="15.75" customHeight="1" x14ac:dyDescent="0.3">
      <c r="B5" s="230" t="s">
        <v>0</v>
      </c>
      <c r="C5" s="232" t="s">
        <v>1</v>
      </c>
      <c r="D5" s="232" t="s">
        <v>99</v>
      </c>
      <c r="F5" s="151">
        <v>2023</v>
      </c>
      <c r="G5" s="151">
        <v>2023</v>
      </c>
      <c r="H5" s="151">
        <v>2023</v>
      </c>
      <c r="I5" s="151">
        <v>2023</v>
      </c>
      <c r="J5" s="151">
        <v>2023</v>
      </c>
      <c r="K5" s="151">
        <v>2023</v>
      </c>
      <c r="L5" s="151">
        <v>2023</v>
      </c>
      <c r="M5" s="151">
        <v>2023</v>
      </c>
      <c r="N5" s="151">
        <v>2023</v>
      </c>
      <c r="O5" s="151">
        <v>2023</v>
      </c>
      <c r="P5" s="151">
        <v>2023</v>
      </c>
      <c r="Q5" s="151">
        <v>2023</v>
      </c>
      <c r="R5" s="151">
        <v>2024</v>
      </c>
      <c r="S5" s="151">
        <v>2024</v>
      </c>
      <c r="T5" s="151">
        <v>2024</v>
      </c>
      <c r="U5" s="151">
        <v>2024</v>
      </c>
      <c r="V5" s="151">
        <v>2024</v>
      </c>
      <c r="W5" s="151">
        <v>2024</v>
      </c>
      <c r="X5" s="151">
        <v>2024</v>
      </c>
      <c r="Y5" s="151">
        <v>2024</v>
      </c>
      <c r="Z5" s="151">
        <v>2024</v>
      </c>
      <c r="AA5" s="151">
        <v>2024</v>
      </c>
      <c r="AB5" s="151">
        <v>2024</v>
      </c>
      <c r="AC5" s="151">
        <v>2024</v>
      </c>
    </row>
    <row r="6" spans="1:29" x14ac:dyDescent="0.3">
      <c r="B6" s="231"/>
      <c r="C6" s="233"/>
      <c r="D6" s="233"/>
      <c r="F6" s="151">
        <v>1</v>
      </c>
      <c r="G6" s="151">
        <f>+F6+1</f>
        <v>2</v>
      </c>
      <c r="H6" s="151">
        <f t="shared" ref="H6:Q6" si="0">+G6+1</f>
        <v>3</v>
      </c>
      <c r="I6" s="151">
        <f t="shared" si="0"/>
        <v>4</v>
      </c>
      <c r="J6" s="151">
        <f t="shared" si="0"/>
        <v>5</v>
      </c>
      <c r="K6" s="151">
        <f t="shared" si="0"/>
        <v>6</v>
      </c>
      <c r="L6" s="151">
        <f t="shared" si="0"/>
        <v>7</v>
      </c>
      <c r="M6" s="151">
        <f t="shared" si="0"/>
        <v>8</v>
      </c>
      <c r="N6" s="151">
        <f t="shared" si="0"/>
        <v>9</v>
      </c>
      <c r="O6" s="151">
        <f t="shared" si="0"/>
        <v>10</v>
      </c>
      <c r="P6" s="151">
        <f t="shared" si="0"/>
        <v>11</v>
      </c>
      <c r="Q6" s="151">
        <f t="shared" si="0"/>
        <v>12</v>
      </c>
      <c r="R6" s="151">
        <v>1</v>
      </c>
      <c r="S6" s="151">
        <f>+R6+1</f>
        <v>2</v>
      </c>
      <c r="T6" s="151">
        <f t="shared" ref="T6" si="1">+S6+1</f>
        <v>3</v>
      </c>
      <c r="U6" s="151">
        <f t="shared" ref="U6" si="2">+T6+1</f>
        <v>4</v>
      </c>
      <c r="V6" s="151">
        <f t="shared" ref="V6" si="3">+U6+1</f>
        <v>5</v>
      </c>
      <c r="W6" s="151">
        <f t="shared" ref="W6" si="4">+V6+1</f>
        <v>6</v>
      </c>
      <c r="X6" s="151">
        <f t="shared" ref="X6" si="5">+W6+1</f>
        <v>7</v>
      </c>
      <c r="Y6" s="151">
        <f t="shared" ref="Y6" si="6">+X6+1</f>
        <v>8</v>
      </c>
      <c r="Z6" s="151">
        <f t="shared" ref="Z6" si="7">+Y6+1</f>
        <v>9</v>
      </c>
      <c r="AA6" s="151">
        <f t="shared" ref="AA6" si="8">+Z6+1</f>
        <v>10</v>
      </c>
      <c r="AB6" s="151">
        <f t="shared" ref="AB6" si="9">+AA6+1</f>
        <v>11</v>
      </c>
      <c r="AC6" s="151">
        <f t="shared" ref="AC6" si="10">+AB6+1</f>
        <v>12</v>
      </c>
    </row>
    <row r="7" spans="1:29" x14ac:dyDescent="0.3">
      <c r="A7" s="118"/>
      <c r="B7" s="152" t="s">
        <v>3</v>
      </c>
      <c r="C7" s="152" t="s">
        <v>4</v>
      </c>
      <c r="D7" s="152" t="s">
        <v>93</v>
      </c>
      <c r="E7" s="153"/>
      <c r="F7" s="199">
        <v>523.21377179639296</v>
      </c>
      <c r="G7" s="199">
        <v>523.21377179639296</v>
      </c>
      <c r="H7" s="199">
        <v>523.21377179639296</v>
      </c>
      <c r="I7" s="199">
        <v>523.21377179639296</v>
      </c>
      <c r="J7" s="199">
        <v>523.21377179639296</v>
      </c>
      <c r="K7" s="199">
        <v>523.21377180000002</v>
      </c>
      <c r="L7" s="199">
        <v>523.21377179639296</v>
      </c>
      <c r="M7" s="199">
        <v>523.21377179639296</v>
      </c>
      <c r="N7" s="199">
        <v>523.21377179639296</v>
      </c>
      <c r="O7" s="199">
        <v>523.21377180000002</v>
      </c>
      <c r="P7" s="199">
        <v>0</v>
      </c>
      <c r="Q7" s="199">
        <v>0</v>
      </c>
      <c r="R7" s="199">
        <v>0</v>
      </c>
      <c r="S7" s="199">
        <v>0</v>
      </c>
      <c r="T7" s="199">
        <v>0</v>
      </c>
      <c r="U7" s="199">
        <v>0</v>
      </c>
      <c r="V7" s="199">
        <v>0</v>
      </c>
      <c r="W7" s="199">
        <v>0</v>
      </c>
      <c r="X7" s="199">
        <v>0</v>
      </c>
      <c r="Y7" s="199">
        <v>0</v>
      </c>
      <c r="Z7" s="199">
        <v>0</v>
      </c>
      <c r="AA7" s="199">
        <v>0</v>
      </c>
      <c r="AB7" s="199">
        <v>0</v>
      </c>
      <c r="AC7" s="199">
        <v>0</v>
      </c>
    </row>
    <row r="8" spans="1:29" x14ac:dyDescent="0.3">
      <c r="A8" s="118"/>
      <c r="B8" s="152" t="s">
        <v>129</v>
      </c>
      <c r="C8" s="152" t="s">
        <v>130</v>
      </c>
      <c r="D8" s="152" t="s">
        <v>93</v>
      </c>
      <c r="E8" s="153"/>
      <c r="F8" s="199">
        <v>262.63990592238855</v>
      </c>
      <c r="G8" s="199">
        <v>276.41588038023167</v>
      </c>
      <c r="H8" s="199">
        <v>294.74459659442431</v>
      </c>
      <c r="I8" s="199">
        <v>313.93294994993397</v>
      </c>
      <c r="J8" s="199">
        <v>341.328013385752</v>
      </c>
      <c r="K8" s="199">
        <v>368.49472507104605</v>
      </c>
      <c r="L8" s="199">
        <v>394.27703299906489</v>
      </c>
      <c r="M8" s="199">
        <v>418.54391567360591</v>
      </c>
      <c r="N8" s="199">
        <v>455.27145311034872</v>
      </c>
      <c r="O8" s="199">
        <v>515.40113134000001</v>
      </c>
      <c r="P8" s="199">
        <v>568.30829214434027</v>
      </c>
      <c r="Q8" s="199">
        <v>624.48452435112461</v>
      </c>
      <c r="R8" s="199">
        <v>0</v>
      </c>
      <c r="S8" s="199">
        <v>0</v>
      </c>
      <c r="T8" s="199">
        <v>0</v>
      </c>
      <c r="U8" s="199">
        <v>0</v>
      </c>
      <c r="V8" s="199">
        <v>0</v>
      </c>
      <c r="W8" s="199">
        <v>0</v>
      </c>
      <c r="X8" s="199">
        <v>0</v>
      </c>
      <c r="Y8" s="199">
        <v>0</v>
      </c>
      <c r="Z8" s="199">
        <v>0</v>
      </c>
      <c r="AA8" s="199">
        <v>0</v>
      </c>
      <c r="AB8" s="199">
        <v>0</v>
      </c>
      <c r="AC8" s="199">
        <v>0</v>
      </c>
    </row>
    <row r="9" spans="1:29" x14ac:dyDescent="0.3">
      <c r="A9" s="118"/>
      <c r="B9" s="152" t="s">
        <v>124</v>
      </c>
      <c r="C9" s="152" t="s">
        <v>125</v>
      </c>
      <c r="D9" s="152" t="s">
        <v>93</v>
      </c>
      <c r="E9" s="153"/>
      <c r="F9" s="199">
        <v>184.29096038501621</v>
      </c>
      <c r="G9" s="199">
        <v>193.95738009438659</v>
      </c>
      <c r="H9" s="199">
        <v>206.81839868893383</v>
      </c>
      <c r="I9" s="199">
        <v>220.28261333550356</v>
      </c>
      <c r="J9" s="199">
        <v>239.50536828077554</v>
      </c>
      <c r="K9" s="199">
        <v>258.56789181238673</v>
      </c>
      <c r="L9" s="199">
        <v>276.65899747399499</v>
      </c>
      <c r="M9" s="199">
        <v>293.68674920858183</v>
      </c>
      <c r="N9" s="199">
        <v>319.45797815805497</v>
      </c>
      <c r="O9" s="199">
        <v>361.65018086579312</v>
      </c>
      <c r="P9" s="199">
        <v>398.77443827975731</v>
      </c>
      <c r="Q9" s="199">
        <v>438.19256001507074</v>
      </c>
      <c r="R9" s="199">
        <v>0</v>
      </c>
      <c r="S9" s="199">
        <v>0</v>
      </c>
      <c r="T9" s="199">
        <v>0</v>
      </c>
      <c r="U9" s="199">
        <v>0</v>
      </c>
      <c r="V9" s="199">
        <v>0</v>
      </c>
      <c r="W9" s="199">
        <v>0</v>
      </c>
      <c r="X9" s="199">
        <v>0</v>
      </c>
      <c r="Y9" s="199">
        <v>0</v>
      </c>
      <c r="Z9" s="199">
        <v>0</v>
      </c>
      <c r="AA9" s="199">
        <v>0</v>
      </c>
      <c r="AB9" s="199">
        <v>0</v>
      </c>
      <c r="AC9" s="199">
        <v>0</v>
      </c>
    </row>
    <row r="10" spans="1:29" x14ac:dyDescent="0.3">
      <c r="A10" s="118"/>
      <c r="B10" s="152" t="s">
        <v>5</v>
      </c>
      <c r="C10" s="152" t="s">
        <v>6</v>
      </c>
      <c r="D10" s="152" t="s">
        <v>93</v>
      </c>
      <c r="E10" s="153"/>
      <c r="F10" s="199">
        <v>0</v>
      </c>
      <c r="G10" s="199">
        <v>0</v>
      </c>
      <c r="H10" s="199">
        <v>0</v>
      </c>
      <c r="I10" s="199">
        <v>0</v>
      </c>
      <c r="J10" s="199">
        <v>0</v>
      </c>
      <c r="K10" s="199">
        <v>0</v>
      </c>
      <c r="L10" s="199">
        <v>0</v>
      </c>
      <c r="M10" s="199">
        <v>0</v>
      </c>
      <c r="N10" s="199">
        <v>0</v>
      </c>
      <c r="O10" s="199">
        <v>0</v>
      </c>
      <c r="P10" s="199">
        <v>0</v>
      </c>
      <c r="Q10" s="199">
        <v>0</v>
      </c>
      <c r="R10" s="199">
        <v>0</v>
      </c>
      <c r="S10" s="199">
        <v>0</v>
      </c>
      <c r="T10" s="199">
        <v>0</v>
      </c>
      <c r="U10" s="199">
        <v>0</v>
      </c>
      <c r="V10" s="199">
        <v>0</v>
      </c>
      <c r="W10" s="199">
        <v>0</v>
      </c>
      <c r="X10" s="199">
        <v>0</v>
      </c>
      <c r="Y10" s="199">
        <v>0</v>
      </c>
      <c r="Z10" s="199">
        <v>0</v>
      </c>
      <c r="AA10" s="199">
        <v>0</v>
      </c>
      <c r="AB10" s="199">
        <v>0</v>
      </c>
      <c r="AC10" s="199">
        <v>0</v>
      </c>
    </row>
    <row r="11" spans="1:29" x14ac:dyDescent="0.3">
      <c r="A11" s="118"/>
      <c r="B11" s="152" t="s">
        <v>11</v>
      </c>
      <c r="C11" s="152" t="s">
        <v>12</v>
      </c>
      <c r="D11" s="152" t="s">
        <v>93</v>
      </c>
      <c r="E11" s="153"/>
      <c r="F11" s="199">
        <v>4.7601719999999998</v>
      </c>
      <c r="G11" s="199">
        <v>0</v>
      </c>
      <c r="H11" s="199">
        <v>0</v>
      </c>
      <c r="I11" s="199">
        <v>4.9704381999999994</v>
      </c>
      <c r="J11" s="199">
        <v>0</v>
      </c>
      <c r="K11" s="199">
        <v>0</v>
      </c>
      <c r="L11" s="199">
        <v>5.1850963999999999</v>
      </c>
      <c r="M11" s="199">
        <v>0</v>
      </c>
      <c r="N11" s="199">
        <v>0</v>
      </c>
      <c r="O11" s="199">
        <v>5.2522488000000012</v>
      </c>
      <c r="P11" s="199">
        <v>0</v>
      </c>
      <c r="Q11" s="199">
        <v>0</v>
      </c>
      <c r="R11" s="199">
        <v>5.3271473199999999</v>
      </c>
      <c r="S11" s="199">
        <v>0</v>
      </c>
      <c r="T11" s="199">
        <v>0</v>
      </c>
      <c r="U11" s="199">
        <v>5.5510141299999995</v>
      </c>
      <c r="V11" s="199">
        <v>0</v>
      </c>
      <c r="W11" s="199">
        <v>0</v>
      </c>
      <c r="X11" s="199">
        <v>5.5882264599999996</v>
      </c>
      <c r="Y11" s="199">
        <v>0</v>
      </c>
      <c r="Z11" s="199">
        <v>0</v>
      </c>
      <c r="AA11" s="199">
        <v>5.611060890000001</v>
      </c>
      <c r="AB11" s="199">
        <v>0</v>
      </c>
      <c r="AC11" s="199">
        <v>0</v>
      </c>
    </row>
    <row r="12" spans="1:29" x14ac:dyDescent="0.3">
      <c r="A12" s="118"/>
      <c r="B12" s="152" t="s">
        <v>143</v>
      </c>
      <c r="C12" s="152" t="s">
        <v>144</v>
      </c>
      <c r="D12" s="152" t="s">
        <v>97</v>
      </c>
      <c r="E12" s="153"/>
      <c r="F12" s="199">
        <v>0</v>
      </c>
      <c r="G12" s="199">
        <v>0</v>
      </c>
      <c r="H12" s="199">
        <v>0</v>
      </c>
      <c r="I12" s="199">
        <v>0</v>
      </c>
      <c r="J12" s="199">
        <v>0</v>
      </c>
      <c r="K12" s="199">
        <v>0</v>
      </c>
      <c r="L12" s="199">
        <v>0</v>
      </c>
      <c r="M12" s="199">
        <v>0</v>
      </c>
      <c r="N12" s="199">
        <v>0</v>
      </c>
      <c r="O12" s="199">
        <v>0</v>
      </c>
      <c r="P12" s="199">
        <v>0</v>
      </c>
      <c r="Q12" s="199">
        <v>4500.9449077899999</v>
      </c>
      <c r="R12" s="199">
        <v>0</v>
      </c>
      <c r="S12" s="199">
        <v>0</v>
      </c>
      <c r="T12" s="199">
        <v>0</v>
      </c>
      <c r="U12" s="199">
        <v>0</v>
      </c>
      <c r="V12" s="199">
        <v>0</v>
      </c>
      <c r="W12" s="199">
        <v>4500.9449077990184</v>
      </c>
      <c r="X12" s="199">
        <v>0</v>
      </c>
      <c r="Y12" s="199">
        <v>0</v>
      </c>
      <c r="Z12" s="199">
        <v>0</v>
      </c>
      <c r="AA12" s="199">
        <v>0</v>
      </c>
      <c r="AB12" s="199">
        <v>0</v>
      </c>
      <c r="AC12" s="199">
        <v>4502.2953263132094</v>
      </c>
    </row>
    <row r="13" spans="1:29" x14ac:dyDescent="0.3">
      <c r="A13" s="118"/>
      <c r="B13" s="152" t="s">
        <v>189</v>
      </c>
      <c r="C13" s="152" t="s">
        <v>182</v>
      </c>
      <c r="D13" s="152" t="s">
        <v>97</v>
      </c>
      <c r="E13" s="153"/>
      <c r="F13" s="199">
        <v>0</v>
      </c>
      <c r="G13" s="199">
        <v>0</v>
      </c>
      <c r="H13" s="199">
        <v>0</v>
      </c>
      <c r="I13" s="199">
        <v>0</v>
      </c>
      <c r="J13" s="199">
        <v>0</v>
      </c>
      <c r="K13" s="199">
        <v>0</v>
      </c>
      <c r="L13" s="199">
        <v>0</v>
      </c>
      <c r="M13" s="199">
        <v>0</v>
      </c>
      <c r="N13" s="199">
        <v>609.58416650000004</v>
      </c>
      <c r="O13" s="199">
        <v>0</v>
      </c>
      <c r="P13" s="199">
        <v>0</v>
      </c>
      <c r="Q13" s="199">
        <v>609.58416650000004</v>
      </c>
      <c r="R13" s="199">
        <v>0</v>
      </c>
      <c r="S13" s="199">
        <v>0</v>
      </c>
      <c r="T13" s="199">
        <v>609.58416650000004</v>
      </c>
      <c r="U13" s="199">
        <v>0</v>
      </c>
      <c r="V13" s="199">
        <v>0</v>
      </c>
      <c r="W13" s="199">
        <v>609.58416650000004</v>
      </c>
      <c r="X13" s="199">
        <v>0</v>
      </c>
      <c r="Y13" s="199">
        <v>0</v>
      </c>
      <c r="Z13" s="199">
        <v>609.58416650000004</v>
      </c>
      <c r="AA13" s="199">
        <v>0</v>
      </c>
      <c r="AB13" s="199">
        <v>0</v>
      </c>
      <c r="AC13" s="199">
        <v>609.58416650000004</v>
      </c>
    </row>
    <row r="14" spans="1:29" x14ac:dyDescent="0.3">
      <c r="A14" s="118"/>
      <c r="B14" s="152" t="s">
        <v>190</v>
      </c>
      <c r="C14" s="152" t="s">
        <v>183</v>
      </c>
      <c r="D14" s="152" t="s">
        <v>97</v>
      </c>
      <c r="E14" s="153"/>
      <c r="F14" s="199">
        <v>0</v>
      </c>
      <c r="G14" s="199">
        <v>0</v>
      </c>
      <c r="H14" s="199">
        <v>0</v>
      </c>
      <c r="I14" s="199">
        <v>0</v>
      </c>
      <c r="J14" s="199">
        <v>0</v>
      </c>
      <c r="K14" s="199">
        <v>0</v>
      </c>
      <c r="L14" s="199">
        <v>0</v>
      </c>
      <c r="M14" s="199">
        <v>0</v>
      </c>
      <c r="N14" s="199">
        <v>438.85341849999998</v>
      </c>
      <c r="O14" s="199">
        <v>0</v>
      </c>
      <c r="P14" s="199">
        <v>0</v>
      </c>
      <c r="Q14" s="199">
        <v>438.85341849999998</v>
      </c>
      <c r="R14" s="199">
        <v>0</v>
      </c>
      <c r="S14" s="199">
        <v>0</v>
      </c>
      <c r="T14" s="199">
        <v>438.85341849999998</v>
      </c>
      <c r="U14" s="199">
        <v>0</v>
      </c>
      <c r="V14" s="199">
        <v>0</v>
      </c>
      <c r="W14" s="199">
        <v>438.85341849999998</v>
      </c>
      <c r="X14" s="199">
        <v>0</v>
      </c>
      <c r="Y14" s="199">
        <v>0</v>
      </c>
      <c r="Z14" s="199">
        <v>438.85341849999998</v>
      </c>
      <c r="AA14" s="199">
        <v>0</v>
      </c>
      <c r="AB14" s="199">
        <v>0</v>
      </c>
      <c r="AC14" s="199">
        <v>438.85341849999998</v>
      </c>
    </row>
    <row r="15" spans="1:29" x14ac:dyDescent="0.3">
      <c r="A15" s="118"/>
      <c r="B15" s="152" t="s">
        <v>147</v>
      </c>
      <c r="C15" s="152" t="s">
        <v>148</v>
      </c>
      <c r="D15" s="152" t="s">
        <v>97</v>
      </c>
      <c r="E15" s="153"/>
      <c r="F15" s="199">
        <v>0</v>
      </c>
      <c r="G15" s="199">
        <v>0</v>
      </c>
      <c r="H15" s="199">
        <v>0</v>
      </c>
      <c r="I15" s="199">
        <v>0</v>
      </c>
      <c r="J15" s="199">
        <v>0</v>
      </c>
      <c r="K15" s="199">
        <v>0</v>
      </c>
      <c r="L15" s="199">
        <v>0</v>
      </c>
      <c r="M15" s="199">
        <v>0</v>
      </c>
      <c r="N15" s="199">
        <v>0</v>
      </c>
      <c r="O15" s="199">
        <v>0</v>
      </c>
      <c r="P15" s="199">
        <v>0</v>
      </c>
      <c r="Q15" s="199">
        <v>0</v>
      </c>
      <c r="R15" s="199">
        <v>0</v>
      </c>
      <c r="S15" s="199">
        <v>0</v>
      </c>
      <c r="T15" s="199">
        <v>0</v>
      </c>
      <c r="U15" s="199">
        <v>0</v>
      </c>
      <c r="V15" s="199">
        <v>0</v>
      </c>
      <c r="W15" s="199">
        <v>0</v>
      </c>
      <c r="X15" s="199">
        <v>0</v>
      </c>
      <c r="Y15" s="199">
        <v>0</v>
      </c>
      <c r="Z15" s="199">
        <v>0</v>
      </c>
      <c r="AA15" s="199">
        <v>0</v>
      </c>
      <c r="AB15" s="199">
        <v>0</v>
      </c>
      <c r="AC15" s="199">
        <v>0</v>
      </c>
    </row>
    <row r="16" spans="1:29" x14ac:dyDescent="0.3">
      <c r="A16" s="118"/>
      <c r="B16" s="152" t="s">
        <v>136</v>
      </c>
      <c r="C16" s="152" t="s">
        <v>137</v>
      </c>
      <c r="D16" s="152" t="s">
        <v>97</v>
      </c>
      <c r="E16" s="153"/>
      <c r="F16" s="199">
        <v>0</v>
      </c>
      <c r="G16" s="199">
        <v>201.92307692307693</v>
      </c>
      <c r="H16" s="199">
        <v>0</v>
      </c>
      <c r="I16" s="199">
        <v>0</v>
      </c>
      <c r="J16" s="199">
        <v>201.92307692307693</v>
      </c>
      <c r="K16" s="199">
        <v>0</v>
      </c>
      <c r="L16" s="199">
        <v>0</v>
      </c>
      <c r="M16" s="199">
        <v>201.92307692307693</v>
      </c>
      <c r="N16" s="199">
        <v>0</v>
      </c>
      <c r="O16" s="199">
        <v>0</v>
      </c>
      <c r="P16" s="199">
        <v>201.92307692307693</v>
      </c>
      <c r="Q16" s="199">
        <v>0</v>
      </c>
      <c r="R16" s="199">
        <v>0</v>
      </c>
      <c r="S16" s="199">
        <v>201.92307692307693</v>
      </c>
      <c r="T16" s="199">
        <v>0</v>
      </c>
      <c r="U16" s="199">
        <v>0</v>
      </c>
      <c r="V16" s="199">
        <v>201.92307692307693</v>
      </c>
      <c r="W16" s="199">
        <v>0</v>
      </c>
      <c r="X16" s="199">
        <v>0</v>
      </c>
      <c r="Y16" s="199">
        <v>201.92307692307693</v>
      </c>
      <c r="Z16" s="199">
        <v>0</v>
      </c>
      <c r="AA16" s="199">
        <v>0</v>
      </c>
      <c r="AB16" s="199">
        <v>201.92307692307693</v>
      </c>
      <c r="AC16" s="199">
        <v>0</v>
      </c>
    </row>
    <row r="17" spans="1:29" x14ac:dyDescent="0.3">
      <c r="A17" s="118"/>
      <c r="B17" s="152" t="s">
        <v>145</v>
      </c>
      <c r="C17" s="152" t="s">
        <v>146</v>
      </c>
      <c r="D17" s="152" t="s">
        <v>97</v>
      </c>
      <c r="E17" s="153"/>
      <c r="F17" s="199">
        <v>0</v>
      </c>
      <c r="G17" s="199">
        <v>0</v>
      </c>
      <c r="H17" s="199">
        <v>0</v>
      </c>
      <c r="I17" s="199">
        <v>0</v>
      </c>
      <c r="J17" s="199">
        <v>0</v>
      </c>
      <c r="K17" s="199">
        <v>2585.6320890000002</v>
      </c>
      <c r="L17" s="199">
        <v>0</v>
      </c>
      <c r="M17" s="199">
        <v>0</v>
      </c>
      <c r="N17" s="199">
        <v>0</v>
      </c>
      <c r="O17" s="199">
        <v>0</v>
      </c>
      <c r="P17" s="199">
        <v>0</v>
      </c>
      <c r="Q17" s="199">
        <v>0</v>
      </c>
      <c r="R17" s="199">
        <v>0</v>
      </c>
      <c r="S17" s="199">
        <v>0</v>
      </c>
      <c r="T17" s="199">
        <v>0</v>
      </c>
      <c r="U17" s="199">
        <v>0</v>
      </c>
      <c r="V17" s="199">
        <v>0</v>
      </c>
      <c r="W17" s="199">
        <v>0</v>
      </c>
      <c r="X17" s="199">
        <v>0</v>
      </c>
      <c r="Y17" s="199">
        <v>0</v>
      </c>
      <c r="Z17" s="199">
        <v>0</v>
      </c>
      <c r="AA17" s="199">
        <v>0</v>
      </c>
      <c r="AB17" s="199">
        <v>0</v>
      </c>
      <c r="AC17" s="199">
        <v>0</v>
      </c>
    </row>
    <row r="18" spans="1:29" x14ac:dyDescent="0.3">
      <c r="A18" s="118"/>
      <c r="B18" s="152" t="s">
        <v>38</v>
      </c>
      <c r="C18" s="152" t="s">
        <v>39</v>
      </c>
      <c r="D18" s="152" t="s">
        <v>97</v>
      </c>
      <c r="E18" s="153"/>
      <c r="F18" s="199">
        <v>0</v>
      </c>
      <c r="G18" s="199">
        <v>3.5214128711999999</v>
      </c>
      <c r="H18" s="199">
        <v>0</v>
      </c>
      <c r="I18" s="199">
        <v>0</v>
      </c>
      <c r="J18" s="199">
        <v>0</v>
      </c>
      <c r="K18" s="199">
        <v>0</v>
      </c>
      <c r="L18" s="199">
        <v>0</v>
      </c>
      <c r="M18" s="199">
        <v>3.5214128711999999</v>
      </c>
      <c r="N18" s="199">
        <v>0</v>
      </c>
      <c r="O18" s="199">
        <v>0</v>
      </c>
      <c r="P18" s="199">
        <v>0</v>
      </c>
      <c r="Q18" s="199">
        <v>0</v>
      </c>
      <c r="R18" s="199">
        <v>0</v>
      </c>
      <c r="S18" s="199">
        <v>3.5214128711999999</v>
      </c>
      <c r="T18" s="199">
        <v>0</v>
      </c>
      <c r="U18" s="199">
        <v>0</v>
      </c>
      <c r="V18" s="199">
        <v>0</v>
      </c>
      <c r="W18" s="199">
        <v>0</v>
      </c>
      <c r="X18" s="199">
        <v>0</v>
      </c>
      <c r="Y18" s="199">
        <v>3.5214128711999999</v>
      </c>
      <c r="Z18" s="199">
        <v>0</v>
      </c>
      <c r="AA18" s="199">
        <v>0</v>
      </c>
      <c r="AB18" s="199">
        <v>0</v>
      </c>
      <c r="AC18" s="199">
        <v>0</v>
      </c>
    </row>
    <row r="19" spans="1:29" x14ac:dyDescent="0.3">
      <c r="A19" s="118"/>
      <c r="B19" s="152" t="s">
        <v>7</v>
      </c>
      <c r="C19" s="152" t="s">
        <v>8</v>
      </c>
      <c r="D19" s="152" t="s">
        <v>93</v>
      </c>
      <c r="E19" s="153"/>
      <c r="F19" s="199">
        <v>32.428686439611376</v>
      </c>
      <c r="G19" s="199">
        <v>34.231578998449855</v>
      </c>
      <c r="H19" s="199">
        <v>36.340956777275252</v>
      </c>
      <c r="I19" s="199">
        <v>38.377924747037227</v>
      </c>
      <c r="J19" s="199">
        <v>40.095749741025479</v>
      </c>
      <c r="K19" s="199">
        <v>43.221675612677849</v>
      </c>
      <c r="L19" s="199">
        <v>46.324370779510161</v>
      </c>
      <c r="M19" s="199">
        <v>48.925465143249745</v>
      </c>
      <c r="N19" s="199">
        <v>52.773143697373953</v>
      </c>
      <c r="O19" s="199">
        <v>60.514385170766914</v>
      </c>
      <c r="P19" s="199">
        <v>67.258288557227644</v>
      </c>
      <c r="Q19" s="199">
        <v>72.033184964042363</v>
      </c>
      <c r="R19" s="199">
        <v>72.033184954042355</v>
      </c>
      <c r="S19" s="199">
        <v>72.033184954042355</v>
      </c>
      <c r="T19" s="199">
        <v>72.033184954042355</v>
      </c>
      <c r="U19" s="199">
        <v>72.033184954042355</v>
      </c>
      <c r="V19" s="199">
        <v>72.033184954042355</v>
      </c>
      <c r="W19" s="199">
        <v>72.033184954042355</v>
      </c>
      <c r="X19" s="199">
        <v>72.033184954042355</v>
      </c>
      <c r="Y19" s="199">
        <v>72.033184954042355</v>
      </c>
      <c r="Z19" s="199">
        <v>72.033184954042355</v>
      </c>
      <c r="AA19" s="199">
        <v>72.033184954042355</v>
      </c>
      <c r="AB19" s="199">
        <v>0</v>
      </c>
      <c r="AC19" s="199">
        <v>0</v>
      </c>
    </row>
    <row r="20" spans="1:29" x14ac:dyDescent="0.3">
      <c r="A20" s="118"/>
      <c r="B20" s="152" t="s">
        <v>9</v>
      </c>
      <c r="C20" s="152" t="s">
        <v>10</v>
      </c>
      <c r="D20" s="152" t="s">
        <v>93</v>
      </c>
      <c r="E20" s="153"/>
      <c r="F20" s="199">
        <v>9.3543569946121412</v>
      </c>
      <c r="G20" s="199">
        <v>9.4775548629040394</v>
      </c>
      <c r="H20" s="199">
        <v>9.6023748342958335</v>
      </c>
      <c r="I20" s="199">
        <v>9.7288169487875216</v>
      </c>
      <c r="J20" s="199">
        <v>9.8569443963190206</v>
      </c>
      <c r="K20" s="199">
        <v>9.9867571768867407</v>
      </c>
      <c r="L20" s="199">
        <v>10.118276357215148</v>
      </c>
      <c r="M20" s="199">
        <v>10.251544070513406</v>
      </c>
      <c r="N20" s="199">
        <v>10.386539250414458</v>
      </c>
      <c r="O20" s="199">
        <v>10.523325096615752</v>
      </c>
      <c r="P20" s="199">
        <v>10.66192267583817</v>
      </c>
      <c r="Q20" s="199">
        <v>10.802331990000001</v>
      </c>
      <c r="R20" s="199">
        <v>10.80233198820294</v>
      </c>
      <c r="S20" s="199">
        <v>10.80233198820294</v>
      </c>
      <c r="T20" s="199">
        <v>10.802331988202939</v>
      </c>
      <c r="U20" s="199">
        <v>10.802331988202937</v>
      </c>
      <c r="V20" s="199">
        <v>10.802331988202937</v>
      </c>
      <c r="W20" s="199">
        <v>10.802331988202935</v>
      </c>
      <c r="X20" s="199">
        <v>10.802331988202933</v>
      </c>
      <c r="Y20" s="199">
        <v>10.802331988202932</v>
      </c>
      <c r="Z20" s="199">
        <v>10.802331988202933</v>
      </c>
      <c r="AA20" s="199">
        <v>10.802331988202935</v>
      </c>
      <c r="AB20" s="199">
        <v>10.802331988202933</v>
      </c>
      <c r="AC20" s="199">
        <v>10.802331988202932</v>
      </c>
    </row>
    <row r="21" spans="1:29" x14ac:dyDescent="0.3">
      <c r="A21" s="118"/>
      <c r="B21" s="152" t="s">
        <v>13</v>
      </c>
      <c r="C21" s="152" t="s">
        <v>14</v>
      </c>
      <c r="D21" s="152" t="s">
        <v>93</v>
      </c>
      <c r="E21" s="153"/>
      <c r="F21" s="199">
        <v>1.0104688934163899</v>
      </c>
      <c r="G21" s="199">
        <v>1.023776873064784</v>
      </c>
      <c r="H21" s="199">
        <v>1.0372600775027685</v>
      </c>
      <c r="I21" s="199">
        <v>1.0509185067303433</v>
      </c>
      <c r="J21" s="199">
        <v>1.0647589877076411</v>
      </c>
      <c r="K21" s="199">
        <v>1.07878151</v>
      </c>
      <c r="L21" s="199">
        <v>1.0929883804125138</v>
      </c>
      <c r="M21" s="199">
        <v>1.1073841191002214</v>
      </c>
      <c r="N21" s="199">
        <v>1.1219664607668882</v>
      </c>
      <c r="O21" s="199">
        <v>1.1367422323754151</v>
      </c>
      <c r="P21" s="199">
        <v>1.1517137096566998</v>
      </c>
      <c r="Q21" s="199">
        <v>1.1668808923754153</v>
      </c>
      <c r="R21" s="199">
        <v>1.1668808923754153</v>
      </c>
      <c r="S21" s="199">
        <v>1.1668808923754153</v>
      </c>
      <c r="T21" s="199">
        <v>1.1668808923754153</v>
      </c>
      <c r="U21" s="199">
        <v>1.1668808923754153</v>
      </c>
      <c r="V21" s="199">
        <v>1.1668808923754153</v>
      </c>
      <c r="W21" s="199">
        <v>1.1668808923754153</v>
      </c>
      <c r="X21" s="199">
        <v>1.1668808923754153</v>
      </c>
      <c r="Y21" s="199">
        <v>1.1668808923754153</v>
      </c>
      <c r="Z21" s="199">
        <v>1.1668808923754153</v>
      </c>
      <c r="AA21" s="199">
        <v>1.1668808923754153</v>
      </c>
      <c r="AB21" s="199">
        <v>1.1668808923754153</v>
      </c>
      <c r="AC21" s="199">
        <v>1.1668808923754153</v>
      </c>
    </row>
    <row r="22" spans="1:29" x14ac:dyDescent="0.3">
      <c r="A22" s="118"/>
      <c r="B22" s="152" t="s">
        <v>217</v>
      </c>
      <c r="C22" s="152" t="s">
        <v>216</v>
      </c>
      <c r="D22" s="152" t="s">
        <v>93</v>
      </c>
      <c r="E22" s="153"/>
      <c r="F22" s="199">
        <v>0</v>
      </c>
      <c r="G22" s="199">
        <v>0</v>
      </c>
      <c r="H22" s="199">
        <v>0</v>
      </c>
      <c r="I22" s="199">
        <v>0</v>
      </c>
      <c r="J22" s="199">
        <v>0</v>
      </c>
      <c r="K22" s="199">
        <v>0</v>
      </c>
      <c r="L22" s="199">
        <v>0</v>
      </c>
      <c r="M22" s="199">
        <v>0</v>
      </c>
      <c r="N22" s="199">
        <v>0</v>
      </c>
      <c r="O22" s="199">
        <v>0</v>
      </c>
      <c r="P22" s="199">
        <v>0</v>
      </c>
      <c r="Q22" s="199">
        <v>0</v>
      </c>
      <c r="R22" s="199">
        <v>0</v>
      </c>
      <c r="S22" s="199">
        <v>0</v>
      </c>
      <c r="T22" s="199">
        <v>0</v>
      </c>
      <c r="U22" s="199">
        <v>0</v>
      </c>
      <c r="V22" s="199">
        <v>0</v>
      </c>
      <c r="W22" s="199">
        <v>0</v>
      </c>
      <c r="X22" s="199">
        <v>0</v>
      </c>
      <c r="Y22" s="199">
        <v>0</v>
      </c>
      <c r="Z22" s="199">
        <v>0</v>
      </c>
      <c r="AA22" s="199">
        <v>2.7804443250787036</v>
      </c>
      <c r="AB22" s="199">
        <v>2.7804443250787036</v>
      </c>
      <c r="AC22" s="199">
        <v>2.7804443250787036</v>
      </c>
    </row>
    <row r="23" spans="1:29" x14ac:dyDescent="0.3">
      <c r="A23" s="118"/>
      <c r="B23" s="152" t="s">
        <v>154</v>
      </c>
      <c r="C23" s="152" t="s">
        <v>155</v>
      </c>
      <c r="D23" s="152" t="s">
        <v>94</v>
      </c>
      <c r="E23" s="153"/>
      <c r="F23" s="199">
        <v>358.91512632999996</v>
      </c>
      <c r="G23" s="199">
        <v>358.91512632999996</v>
      </c>
      <c r="H23" s="199">
        <v>358.91512632999996</v>
      </c>
      <c r="I23" s="199">
        <v>358.91512632999996</v>
      </c>
      <c r="J23" s="199">
        <v>358.91512632999996</v>
      </c>
      <c r="K23" s="199">
        <v>358.91512632999996</v>
      </c>
      <c r="L23" s="199">
        <v>358.91512632999996</v>
      </c>
      <c r="M23" s="199">
        <v>358.91512632999996</v>
      </c>
      <c r="N23" s="199">
        <v>358.91512632999996</v>
      </c>
      <c r="O23" s="199">
        <v>358.91512632999996</v>
      </c>
      <c r="P23" s="199">
        <v>358.91512632999996</v>
      </c>
      <c r="Q23" s="199">
        <v>358.91512632999996</v>
      </c>
      <c r="R23" s="199">
        <v>358.91512632999996</v>
      </c>
      <c r="S23" s="199">
        <v>358.91512632999996</v>
      </c>
      <c r="T23" s="199">
        <v>358.91512632999996</v>
      </c>
      <c r="U23" s="199">
        <v>358.91512632999996</v>
      </c>
      <c r="V23" s="199">
        <v>358.91512632999996</v>
      </c>
      <c r="W23" s="199">
        <v>358.91512632999996</v>
      </c>
      <c r="X23" s="199">
        <v>358.91512632999996</v>
      </c>
      <c r="Y23" s="199">
        <v>358.91512632999996</v>
      </c>
      <c r="Z23" s="199">
        <v>358.91512632999996</v>
      </c>
      <c r="AA23" s="199">
        <v>358.91512632999996</v>
      </c>
      <c r="AB23" s="199">
        <v>358.91512632999996</v>
      </c>
      <c r="AC23" s="199">
        <v>358.91512632999996</v>
      </c>
    </row>
    <row r="24" spans="1:29" customFormat="1" ht="6.75" customHeight="1" x14ac:dyDescent="0.25">
      <c r="B24" s="4"/>
      <c r="C24" s="4"/>
      <c r="D24" s="4"/>
      <c r="E24" s="154"/>
      <c r="F24" s="155"/>
      <c r="G24" s="155"/>
      <c r="H24" s="155"/>
      <c r="I24" s="155"/>
      <c r="J24" s="155"/>
      <c r="K24" s="155"/>
      <c r="L24" s="155"/>
      <c r="M24" s="155"/>
      <c r="N24" s="155"/>
      <c r="O24" s="155"/>
      <c r="P24" s="155"/>
      <c r="Q24" s="155"/>
      <c r="R24" s="155"/>
      <c r="S24" s="155"/>
      <c r="T24" s="155"/>
      <c r="U24" s="155"/>
    </row>
    <row r="25" spans="1:29" ht="28.5" customHeight="1" x14ac:dyDescent="0.3">
      <c r="B25" s="229" t="s">
        <v>41</v>
      </c>
      <c r="C25" s="229"/>
      <c r="D25" s="229"/>
      <c r="E25" s="153"/>
      <c r="F25" s="156">
        <f t="shared" ref="F25:AC25" si="11">+SUM(F7:F23)</f>
        <v>1376.6134487614374</v>
      </c>
      <c r="G25" s="156">
        <f t="shared" si="11"/>
        <v>1602.6795591297071</v>
      </c>
      <c r="H25" s="156">
        <f t="shared" si="11"/>
        <v>1430.6724850988253</v>
      </c>
      <c r="I25" s="156">
        <f t="shared" si="11"/>
        <v>1470.4725598143855</v>
      </c>
      <c r="J25" s="156">
        <f t="shared" si="11"/>
        <v>1715.9028098410495</v>
      </c>
      <c r="K25" s="156">
        <f t="shared" si="11"/>
        <v>4149.1108183129973</v>
      </c>
      <c r="L25" s="156">
        <f t="shared" si="11"/>
        <v>1615.7856605165905</v>
      </c>
      <c r="M25" s="156">
        <f t="shared" si="11"/>
        <v>1860.0884461357211</v>
      </c>
      <c r="N25" s="156">
        <f t="shared" si="11"/>
        <v>2769.5775638033524</v>
      </c>
      <c r="O25" s="156">
        <f t="shared" si="11"/>
        <v>1836.6069116355511</v>
      </c>
      <c r="P25" s="156">
        <f t="shared" si="11"/>
        <v>1606.9928586198971</v>
      </c>
      <c r="Q25" s="156">
        <f t="shared" si="11"/>
        <v>7054.9771013326126</v>
      </c>
      <c r="R25" s="156">
        <f>+SUM(R7:R23)</f>
        <v>448.24467148462065</v>
      </c>
      <c r="S25" s="156">
        <f>+SUM(S7:S23)</f>
        <v>648.36201395889748</v>
      </c>
      <c r="T25" s="156">
        <f t="shared" si="11"/>
        <v>1491.3551091646209</v>
      </c>
      <c r="U25" s="156">
        <f t="shared" si="11"/>
        <v>448.46853829462066</v>
      </c>
      <c r="V25" s="156">
        <f t="shared" si="11"/>
        <v>644.84060108769756</v>
      </c>
      <c r="W25" s="156">
        <f t="shared" si="11"/>
        <v>5992.3000169636389</v>
      </c>
      <c r="X25" s="156">
        <f t="shared" si="11"/>
        <v>448.50575062462065</v>
      </c>
      <c r="Y25" s="156">
        <f t="shared" si="11"/>
        <v>648.36201395889748</v>
      </c>
      <c r="Z25" s="156">
        <f t="shared" si="11"/>
        <v>1491.3551091646209</v>
      </c>
      <c r="AA25" s="156">
        <f t="shared" si="11"/>
        <v>451.30902937969938</v>
      </c>
      <c r="AB25" s="156">
        <f t="shared" si="11"/>
        <v>575.58786045873399</v>
      </c>
      <c r="AC25" s="156">
        <f t="shared" si="11"/>
        <v>5924.3976948488662</v>
      </c>
    </row>
    <row r="26" spans="1:29" x14ac:dyDescent="0.3">
      <c r="B26" s="234" t="s">
        <v>204</v>
      </c>
      <c r="C26" s="234"/>
      <c r="D26" s="234"/>
      <c r="E26" s="153"/>
      <c r="F26" s="153"/>
      <c r="G26" s="153"/>
      <c r="H26" s="153"/>
      <c r="I26" s="153"/>
      <c r="J26" s="153"/>
      <c r="K26" s="153"/>
      <c r="L26" s="153"/>
      <c r="M26" s="153"/>
      <c r="N26" s="153"/>
      <c r="O26" s="153"/>
      <c r="P26" s="153"/>
      <c r="Q26" s="153"/>
    </row>
    <row r="27" spans="1:29" x14ac:dyDescent="0.3">
      <c r="B27" s="234"/>
      <c r="C27" s="234"/>
      <c r="D27" s="234"/>
      <c r="E27" s="153"/>
    </row>
    <row r="28" spans="1:29" ht="16.5" customHeight="1" x14ac:dyDescent="0.3">
      <c r="B28" s="234" t="s">
        <v>205</v>
      </c>
      <c r="C28" s="234"/>
      <c r="D28" s="234"/>
      <c r="E28" s="153"/>
    </row>
    <row r="29" spans="1:29" x14ac:dyDescent="0.3">
      <c r="B29" s="234"/>
      <c r="C29" s="234"/>
      <c r="D29" s="234"/>
      <c r="E29" s="153"/>
    </row>
    <row r="30" spans="1:29" x14ac:dyDescent="0.3">
      <c r="B30" s="157"/>
      <c r="C30" s="157"/>
      <c r="D30" s="157"/>
      <c r="E30" s="153"/>
    </row>
    <row r="31" spans="1:29" x14ac:dyDescent="0.3">
      <c r="B31" s="148"/>
      <c r="C31" s="157"/>
      <c r="D31" s="157"/>
      <c r="E31" s="153"/>
    </row>
    <row r="32" spans="1:29" ht="30.75" customHeight="1" x14ac:dyDescent="0.3">
      <c r="B32" s="236" t="s">
        <v>102</v>
      </c>
      <c r="C32" s="236"/>
      <c r="D32" s="236"/>
      <c r="E32" s="153"/>
      <c r="F32" s="150"/>
      <c r="G32" s="150"/>
      <c r="H32" s="150"/>
      <c r="I32" s="150"/>
      <c r="J32" s="150"/>
      <c r="K32" s="150"/>
      <c r="L32" s="150"/>
      <c r="M32" s="150"/>
      <c r="N32" s="150"/>
      <c r="O32" s="150"/>
      <c r="P32" s="150"/>
      <c r="Q32" s="150"/>
    </row>
    <row r="33" spans="1:29" x14ac:dyDescent="0.3">
      <c r="B33" s="230" t="s">
        <v>0</v>
      </c>
      <c r="C33" s="232" t="s">
        <v>1</v>
      </c>
      <c r="D33" s="232" t="s">
        <v>99</v>
      </c>
      <c r="E33" s="153"/>
      <c r="F33" s="151">
        <v>2023</v>
      </c>
      <c r="G33" s="151">
        <v>2023</v>
      </c>
      <c r="H33" s="151">
        <v>2023</v>
      </c>
      <c r="I33" s="151">
        <v>2023</v>
      </c>
      <c r="J33" s="151">
        <v>2023</v>
      </c>
      <c r="K33" s="151">
        <v>2023</v>
      </c>
      <c r="L33" s="151">
        <v>2023</v>
      </c>
      <c r="M33" s="151">
        <v>2023</v>
      </c>
      <c r="N33" s="151">
        <v>2023</v>
      </c>
      <c r="O33" s="151">
        <v>2023</v>
      </c>
      <c r="P33" s="151">
        <v>2023</v>
      </c>
      <c r="Q33" s="151">
        <v>2023</v>
      </c>
      <c r="R33" s="151">
        <v>2024</v>
      </c>
      <c r="S33" s="151">
        <v>2024</v>
      </c>
      <c r="T33" s="151">
        <v>2024</v>
      </c>
      <c r="U33" s="151">
        <v>2024</v>
      </c>
      <c r="V33" s="151">
        <v>2024</v>
      </c>
      <c r="W33" s="151">
        <v>2024</v>
      </c>
      <c r="X33" s="151">
        <v>2024</v>
      </c>
      <c r="Y33" s="151">
        <v>2024</v>
      </c>
      <c r="Z33" s="151">
        <v>2024</v>
      </c>
      <c r="AA33" s="151">
        <v>2024</v>
      </c>
      <c r="AB33" s="151">
        <v>2024</v>
      </c>
      <c r="AC33" s="151">
        <v>2024</v>
      </c>
    </row>
    <row r="34" spans="1:29" x14ac:dyDescent="0.3">
      <c r="B34" s="231"/>
      <c r="C34" s="233"/>
      <c r="D34" s="233"/>
      <c r="E34" s="153"/>
      <c r="F34" s="151">
        <v>1</v>
      </c>
      <c r="G34" s="151">
        <f>+F34+1</f>
        <v>2</v>
      </c>
      <c r="H34" s="151">
        <f t="shared" ref="H34:Q34" si="12">+G34+1</f>
        <v>3</v>
      </c>
      <c r="I34" s="151">
        <f t="shared" si="12"/>
        <v>4</v>
      </c>
      <c r="J34" s="151">
        <f t="shared" si="12"/>
        <v>5</v>
      </c>
      <c r="K34" s="151">
        <f t="shared" si="12"/>
        <v>6</v>
      </c>
      <c r="L34" s="151">
        <f t="shared" si="12"/>
        <v>7</v>
      </c>
      <c r="M34" s="151">
        <f t="shared" si="12"/>
        <v>8</v>
      </c>
      <c r="N34" s="151">
        <f t="shared" si="12"/>
        <v>9</v>
      </c>
      <c r="O34" s="151">
        <f t="shared" si="12"/>
        <v>10</v>
      </c>
      <c r="P34" s="151">
        <f t="shared" si="12"/>
        <v>11</v>
      </c>
      <c r="Q34" s="151">
        <f t="shared" si="12"/>
        <v>12</v>
      </c>
      <c r="R34" s="151">
        <v>1</v>
      </c>
      <c r="S34" s="151">
        <f>+R34+1</f>
        <v>2</v>
      </c>
      <c r="T34" s="151">
        <f t="shared" ref="T34" si="13">+S34+1</f>
        <v>3</v>
      </c>
      <c r="U34" s="151">
        <f t="shared" ref="U34" si="14">+T34+1</f>
        <v>4</v>
      </c>
      <c r="V34" s="151">
        <f t="shared" ref="V34" si="15">+U34+1</f>
        <v>5</v>
      </c>
      <c r="W34" s="151">
        <f t="shared" ref="W34" si="16">+V34+1</f>
        <v>6</v>
      </c>
      <c r="X34" s="151">
        <f t="shared" ref="X34" si="17">+W34+1</f>
        <v>7</v>
      </c>
      <c r="Y34" s="151">
        <f t="shared" ref="Y34" si="18">+X34+1</f>
        <v>8</v>
      </c>
      <c r="Z34" s="151">
        <f t="shared" ref="Z34" si="19">+Y34+1</f>
        <v>9</v>
      </c>
      <c r="AA34" s="151">
        <f t="shared" ref="AA34" si="20">+Z34+1</f>
        <v>10</v>
      </c>
      <c r="AB34" s="151">
        <f t="shared" ref="AB34" si="21">+AA34+1</f>
        <v>11</v>
      </c>
      <c r="AC34" s="151">
        <f t="shared" ref="AC34" si="22">+AB34+1</f>
        <v>12</v>
      </c>
    </row>
    <row r="35" spans="1:29" x14ac:dyDescent="0.3">
      <c r="A35" s="22" t="s">
        <v>44</v>
      </c>
      <c r="B35" s="152" t="s">
        <v>17</v>
      </c>
      <c r="C35" s="152" t="s">
        <v>18</v>
      </c>
      <c r="D35" s="152" t="s">
        <v>96</v>
      </c>
      <c r="E35" s="153"/>
      <c r="F35" s="15">
        <v>0</v>
      </c>
      <c r="G35" s="15">
        <v>0</v>
      </c>
      <c r="H35" s="15">
        <v>0</v>
      </c>
      <c r="I35" s="15">
        <v>0</v>
      </c>
      <c r="J35" s="15">
        <v>0</v>
      </c>
      <c r="K35" s="15">
        <v>1.4257660471664431</v>
      </c>
      <c r="L35" s="15">
        <v>0</v>
      </c>
      <c r="M35" s="15">
        <v>0</v>
      </c>
      <c r="N35" s="15">
        <v>0</v>
      </c>
      <c r="O35" s="15">
        <v>0</v>
      </c>
      <c r="P35" s="15">
        <v>0</v>
      </c>
      <c r="Q35" s="15">
        <v>1.4257660471664431</v>
      </c>
      <c r="R35" s="15">
        <v>0</v>
      </c>
      <c r="S35" s="15">
        <v>0</v>
      </c>
      <c r="T35" s="15">
        <v>0</v>
      </c>
      <c r="U35" s="15">
        <v>0</v>
      </c>
      <c r="V35" s="15">
        <v>0</v>
      </c>
      <c r="W35" s="15">
        <v>1.4257660471664431</v>
      </c>
      <c r="X35" s="15">
        <v>0</v>
      </c>
      <c r="Y35" s="15">
        <v>0</v>
      </c>
      <c r="Z35" s="15">
        <v>0</v>
      </c>
      <c r="AA35" s="15">
        <v>0</v>
      </c>
      <c r="AB35" s="15">
        <v>0</v>
      </c>
      <c r="AC35" s="15">
        <v>1.4257660471664431</v>
      </c>
    </row>
    <row r="36" spans="1:29" x14ac:dyDescent="0.3">
      <c r="A36" s="22" t="s">
        <v>44</v>
      </c>
      <c r="B36" s="152" t="s">
        <v>23</v>
      </c>
      <c r="C36" s="152" t="s">
        <v>24</v>
      </c>
      <c r="D36" s="152" t="s">
        <v>96</v>
      </c>
      <c r="E36" s="153"/>
      <c r="F36" s="15">
        <v>0</v>
      </c>
      <c r="G36" s="15">
        <v>1.2432372835614041</v>
      </c>
      <c r="H36" s="15">
        <v>0</v>
      </c>
      <c r="I36" s="15">
        <v>0</v>
      </c>
      <c r="J36" s="15">
        <v>0</v>
      </c>
      <c r="K36" s="15">
        <v>0</v>
      </c>
      <c r="L36" s="15">
        <v>0</v>
      </c>
      <c r="M36" s="15">
        <v>1.2905932099999999</v>
      </c>
      <c r="N36" s="15">
        <v>0</v>
      </c>
      <c r="O36" s="15">
        <v>0</v>
      </c>
      <c r="P36" s="15">
        <v>0</v>
      </c>
      <c r="Q36" s="15">
        <v>0</v>
      </c>
      <c r="R36" s="15">
        <v>0</v>
      </c>
      <c r="S36" s="15">
        <v>1.2905932138555218</v>
      </c>
      <c r="T36" s="15">
        <v>0</v>
      </c>
      <c r="U36" s="15">
        <v>0</v>
      </c>
      <c r="V36" s="15">
        <v>0</v>
      </c>
      <c r="W36" s="15">
        <v>0</v>
      </c>
      <c r="X36" s="15">
        <v>0</v>
      </c>
      <c r="Y36" s="15">
        <v>1.2706333551083493</v>
      </c>
      <c r="Z36" s="15">
        <v>0</v>
      </c>
      <c r="AA36" s="15">
        <v>0</v>
      </c>
      <c r="AB36" s="15">
        <v>0</v>
      </c>
      <c r="AC36" s="15">
        <v>0</v>
      </c>
    </row>
    <row r="37" spans="1:29" x14ac:dyDescent="0.3">
      <c r="A37" s="22" t="s">
        <v>44</v>
      </c>
      <c r="B37" s="152" t="s">
        <v>19</v>
      </c>
      <c r="C37" s="152" t="s">
        <v>20</v>
      </c>
      <c r="D37" s="152" t="s">
        <v>96</v>
      </c>
      <c r="E37" s="153"/>
      <c r="F37" s="15">
        <v>0</v>
      </c>
      <c r="G37" s="15">
        <v>0</v>
      </c>
      <c r="H37" s="15">
        <v>0</v>
      </c>
      <c r="I37" s="15">
        <v>1.4459427699999992</v>
      </c>
      <c r="J37" s="15">
        <v>0</v>
      </c>
      <c r="K37" s="15">
        <v>0</v>
      </c>
      <c r="L37" s="15">
        <v>0</v>
      </c>
      <c r="M37" s="15">
        <v>0</v>
      </c>
      <c r="N37" s="15">
        <v>0</v>
      </c>
      <c r="O37" s="15">
        <v>1.44594277</v>
      </c>
      <c r="P37" s="15">
        <v>0</v>
      </c>
      <c r="Q37" s="15">
        <v>0</v>
      </c>
      <c r="R37" s="15">
        <v>0</v>
      </c>
      <c r="S37" s="15">
        <v>0</v>
      </c>
      <c r="T37" s="15">
        <v>0</v>
      </c>
      <c r="U37" s="15">
        <v>1.445942759999999</v>
      </c>
      <c r="V37" s="15">
        <v>0</v>
      </c>
      <c r="W37" s="15">
        <v>0</v>
      </c>
      <c r="X37" s="15">
        <v>0</v>
      </c>
      <c r="Y37" s="15">
        <v>0</v>
      </c>
      <c r="Z37" s="15">
        <v>0</v>
      </c>
      <c r="AA37" s="15">
        <v>1.445942759999999</v>
      </c>
      <c r="AB37" s="15">
        <v>0</v>
      </c>
      <c r="AC37" s="15">
        <v>0</v>
      </c>
    </row>
    <row r="38" spans="1:29" x14ac:dyDescent="0.3">
      <c r="A38" s="22" t="s">
        <v>44</v>
      </c>
      <c r="B38" s="152" t="s">
        <v>21</v>
      </c>
      <c r="C38" s="152" t="s">
        <v>22</v>
      </c>
      <c r="D38" s="152" t="s">
        <v>96</v>
      </c>
      <c r="E38" s="153"/>
      <c r="F38" s="15">
        <v>0</v>
      </c>
      <c r="G38" s="15">
        <v>2.4354049257142849</v>
      </c>
      <c r="H38" s="15">
        <v>0</v>
      </c>
      <c r="I38" s="15">
        <v>0</v>
      </c>
      <c r="J38" s="15">
        <v>0</v>
      </c>
      <c r="K38" s="15">
        <v>0</v>
      </c>
      <c r="L38" s="15">
        <v>0</v>
      </c>
      <c r="M38" s="15">
        <v>2.4354049300000002</v>
      </c>
      <c r="N38" s="15">
        <v>0</v>
      </c>
      <c r="O38" s="15">
        <v>0</v>
      </c>
      <c r="P38" s="15">
        <v>0</v>
      </c>
      <c r="Q38" s="15">
        <v>0</v>
      </c>
      <c r="R38" s="15">
        <v>0</v>
      </c>
      <c r="S38" s="15">
        <v>2.4354049257142849</v>
      </c>
      <c r="T38" s="15">
        <v>0</v>
      </c>
      <c r="U38" s="15">
        <v>0</v>
      </c>
      <c r="V38" s="15">
        <v>0</v>
      </c>
      <c r="W38" s="15">
        <v>0</v>
      </c>
      <c r="X38" s="15">
        <v>0</v>
      </c>
      <c r="Y38" s="15">
        <v>2.4354049257142849</v>
      </c>
      <c r="Z38" s="15">
        <v>0</v>
      </c>
      <c r="AA38" s="15">
        <v>0</v>
      </c>
      <c r="AB38" s="15">
        <v>0</v>
      </c>
      <c r="AC38" s="15">
        <v>0</v>
      </c>
    </row>
    <row r="39" spans="1:29" x14ac:dyDescent="0.3">
      <c r="A39" s="22" t="s">
        <v>44</v>
      </c>
      <c r="B39" s="152" t="s">
        <v>27</v>
      </c>
      <c r="C39" s="152" t="s">
        <v>28</v>
      </c>
      <c r="D39" s="152" t="s">
        <v>96</v>
      </c>
      <c r="E39" s="153"/>
      <c r="F39" s="15">
        <v>0</v>
      </c>
      <c r="G39" s="15">
        <v>0</v>
      </c>
      <c r="H39" s="15">
        <v>0</v>
      </c>
      <c r="I39" s="15">
        <v>0.28707631484356572</v>
      </c>
      <c r="J39" s="15">
        <v>0</v>
      </c>
      <c r="K39" s="15">
        <v>0</v>
      </c>
      <c r="L39" s="15">
        <v>0</v>
      </c>
      <c r="M39" s="15">
        <v>0</v>
      </c>
      <c r="N39" s="15">
        <v>0</v>
      </c>
      <c r="O39" s="15">
        <v>0.34113603999999997</v>
      </c>
      <c r="P39" s="15">
        <v>0</v>
      </c>
      <c r="Q39" s="15">
        <v>0</v>
      </c>
      <c r="R39" s="15">
        <v>0</v>
      </c>
      <c r="S39" s="15">
        <v>0</v>
      </c>
      <c r="T39" s="15">
        <v>0</v>
      </c>
      <c r="U39" s="15">
        <v>0.34134145499346713</v>
      </c>
      <c r="V39" s="15">
        <v>0</v>
      </c>
      <c r="W39" s="15">
        <v>0</v>
      </c>
      <c r="X39" s="15">
        <v>0</v>
      </c>
      <c r="Y39" s="15">
        <v>0</v>
      </c>
      <c r="Z39" s="15">
        <v>0</v>
      </c>
      <c r="AA39" s="15">
        <v>0.37996896692258647</v>
      </c>
      <c r="AB39" s="15">
        <v>0</v>
      </c>
      <c r="AC39" s="15">
        <v>0</v>
      </c>
    </row>
    <row r="40" spans="1:29" x14ac:dyDescent="0.3">
      <c r="A40" s="22" t="s">
        <v>44</v>
      </c>
      <c r="B40" s="152" t="s">
        <v>25</v>
      </c>
      <c r="C40" s="152" t="s">
        <v>26</v>
      </c>
      <c r="D40" s="152" t="s">
        <v>96</v>
      </c>
      <c r="E40" s="153"/>
      <c r="F40" s="15">
        <v>0</v>
      </c>
      <c r="G40" s="15">
        <v>0</v>
      </c>
      <c r="H40" s="15">
        <v>0</v>
      </c>
      <c r="I40" s="15">
        <v>0</v>
      </c>
      <c r="J40" s="15">
        <v>0.19690852849999982</v>
      </c>
      <c r="K40" s="15">
        <v>0</v>
      </c>
      <c r="L40" s="15">
        <v>0</v>
      </c>
      <c r="M40" s="15">
        <v>0</v>
      </c>
      <c r="N40" s="15">
        <v>0</v>
      </c>
      <c r="O40" s="15">
        <v>0</v>
      </c>
      <c r="P40" s="15">
        <v>0.19690852902631562</v>
      </c>
      <c r="Q40" s="15">
        <v>0</v>
      </c>
      <c r="R40" s="15">
        <v>0</v>
      </c>
      <c r="S40" s="15">
        <v>0</v>
      </c>
      <c r="T40" s="15">
        <v>0</v>
      </c>
      <c r="U40" s="15">
        <v>0</v>
      </c>
      <c r="V40" s="15">
        <v>0.19690853958187118</v>
      </c>
      <c r="W40" s="15">
        <v>0</v>
      </c>
      <c r="X40" s="15">
        <v>0</v>
      </c>
      <c r="Y40" s="15">
        <v>0</v>
      </c>
      <c r="Z40" s="15">
        <v>0</v>
      </c>
      <c r="AA40" s="15">
        <v>0</v>
      </c>
      <c r="AB40" s="15">
        <v>0.19690853958187118</v>
      </c>
      <c r="AC40" s="15">
        <v>0</v>
      </c>
    </row>
    <row r="41" spans="1:29" x14ac:dyDescent="0.3">
      <c r="A41" s="22" t="s">
        <v>44</v>
      </c>
      <c r="B41" s="152" t="s">
        <v>133</v>
      </c>
      <c r="C41" s="152" t="s">
        <v>134</v>
      </c>
      <c r="D41" s="152" t="s">
        <v>96</v>
      </c>
      <c r="E41" s="153"/>
      <c r="F41" s="15">
        <v>0</v>
      </c>
      <c r="G41" s="15">
        <v>0</v>
      </c>
      <c r="H41" s="15">
        <v>0</v>
      </c>
      <c r="I41" s="15">
        <v>0</v>
      </c>
      <c r="J41" s="15">
        <v>0</v>
      </c>
      <c r="K41" s="15">
        <v>0</v>
      </c>
      <c r="L41" s="15">
        <v>0</v>
      </c>
      <c r="M41" s="15">
        <v>0</v>
      </c>
      <c r="N41" s="15">
        <v>0</v>
      </c>
      <c r="O41" s="15">
        <v>0</v>
      </c>
      <c r="P41" s="15">
        <v>0</v>
      </c>
      <c r="Q41" s="15">
        <v>0</v>
      </c>
      <c r="R41" s="15">
        <v>0</v>
      </c>
      <c r="S41" s="15">
        <v>0</v>
      </c>
      <c r="T41" s="15">
        <v>0</v>
      </c>
      <c r="U41" s="15">
        <v>0</v>
      </c>
      <c r="V41" s="15">
        <v>0</v>
      </c>
      <c r="W41" s="15">
        <v>0</v>
      </c>
      <c r="X41" s="15">
        <v>0</v>
      </c>
      <c r="Y41" s="15">
        <v>0</v>
      </c>
      <c r="Z41" s="15">
        <v>0</v>
      </c>
      <c r="AA41" s="15">
        <v>0</v>
      </c>
      <c r="AB41" s="15">
        <v>0</v>
      </c>
      <c r="AC41" s="15">
        <v>0</v>
      </c>
    </row>
    <row r="42" spans="1:29" x14ac:dyDescent="0.3">
      <c r="A42" s="22"/>
      <c r="B42" s="152" t="s">
        <v>157</v>
      </c>
      <c r="C42" s="152" t="s">
        <v>244</v>
      </c>
      <c r="D42" s="152" t="s">
        <v>96</v>
      </c>
      <c r="E42" s="153"/>
      <c r="F42" s="15">
        <v>0</v>
      </c>
      <c r="G42" s="15">
        <v>0</v>
      </c>
      <c r="H42" s="15">
        <v>0</v>
      </c>
      <c r="I42" s="15">
        <v>0</v>
      </c>
      <c r="J42" s="15">
        <v>0</v>
      </c>
      <c r="K42" s="15">
        <v>0</v>
      </c>
      <c r="L42" s="15">
        <v>0</v>
      </c>
      <c r="M42" s="15">
        <v>0</v>
      </c>
      <c r="N42" s="15">
        <v>0</v>
      </c>
      <c r="O42" s="15">
        <v>0</v>
      </c>
      <c r="P42" s="15">
        <v>0</v>
      </c>
      <c r="Q42" s="15">
        <v>0</v>
      </c>
      <c r="R42" s="15">
        <v>0</v>
      </c>
      <c r="S42" s="15">
        <v>0</v>
      </c>
      <c r="T42" s="15">
        <v>0</v>
      </c>
      <c r="U42" s="15">
        <v>0</v>
      </c>
      <c r="V42" s="15">
        <v>0</v>
      </c>
      <c r="W42" s="15">
        <v>0</v>
      </c>
      <c r="X42" s="15">
        <v>0</v>
      </c>
      <c r="Y42" s="15">
        <v>0</v>
      </c>
      <c r="Z42" s="15">
        <v>0</v>
      </c>
      <c r="AA42" s="15">
        <v>0</v>
      </c>
      <c r="AB42" s="15">
        <v>0</v>
      </c>
      <c r="AC42" s="15">
        <v>0</v>
      </c>
    </row>
    <row r="43" spans="1:29" x14ac:dyDescent="0.3">
      <c r="A43" s="22" t="s">
        <v>44</v>
      </c>
      <c r="B43" s="152" t="s">
        <v>29</v>
      </c>
      <c r="C43" s="152" t="s">
        <v>30</v>
      </c>
      <c r="D43" s="152" t="s">
        <v>96</v>
      </c>
      <c r="E43" s="153"/>
      <c r="F43" s="15">
        <v>0</v>
      </c>
      <c r="G43" s="15">
        <v>0</v>
      </c>
      <c r="H43" s="15">
        <v>0</v>
      </c>
      <c r="I43" s="15">
        <v>0.12026002000000001</v>
      </c>
      <c r="J43" s="15">
        <v>0</v>
      </c>
      <c r="K43" s="15">
        <v>0</v>
      </c>
      <c r="L43" s="15">
        <v>0</v>
      </c>
      <c r="M43" s="15">
        <v>0</v>
      </c>
      <c r="N43" s="15">
        <v>0</v>
      </c>
      <c r="O43" s="15">
        <v>0.12026002000000001</v>
      </c>
      <c r="P43" s="15">
        <v>0</v>
      </c>
      <c r="Q43" s="15">
        <v>0</v>
      </c>
      <c r="R43" s="15">
        <v>0</v>
      </c>
      <c r="S43" s="15">
        <v>0</v>
      </c>
      <c r="T43" s="15">
        <v>0</v>
      </c>
      <c r="U43" s="15">
        <v>0.12026002000000001</v>
      </c>
      <c r="V43" s="15">
        <v>0</v>
      </c>
      <c r="W43" s="15">
        <v>0</v>
      </c>
      <c r="X43" s="15">
        <v>0</v>
      </c>
      <c r="Y43" s="15">
        <v>0</v>
      </c>
      <c r="Z43" s="15">
        <v>0</v>
      </c>
      <c r="AA43" s="15">
        <v>0.12025969000000042</v>
      </c>
      <c r="AB43" s="15">
        <v>0</v>
      </c>
      <c r="AC43" s="15">
        <v>0</v>
      </c>
    </row>
    <row r="44" spans="1:29" x14ac:dyDescent="0.3">
      <c r="A44" s="22" t="s">
        <v>44</v>
      </c>
      <c r="B44" s="152" t="s">
        <v>31</v>
      </c>
      <c r="C44" s="152" t="s">
        <v>32</v>
      </c>
      <c r="D44" s="152" t="s">
        <v>96</v>
      </c>
      <c r="E44" s="153"/>
      <c r="F44" s="202">
        <v>0</v>
      </c>
      <c r="G44" s="202">
        <v>0</v>
      </c>
      <c r="H44" s="202">
        <v>6.6722999999999999E-3</v>
      </c>
      <c r="I44" s="202">
        <v>0</v>
      </c>
      <c r="J44" s="202">
        <v>0</v>
      </c>
      <c r="K44" s="202">
        <v>6.69215E-3</v>
      </c>
      <c r="L44" s="202">
        <v>0</v>
      </c>
      <c r="M44" s="202">
        <v>0</v>
      </c>
      <c r="N44" s="202">
        <v>6.7120600000000006E-3</v>
      </c>
      <c r="O44" s="202">
        <v>0</v>
      </c>
      <c r="P44" s="202">
        <v>0</v>
      </c>
      <c r="Q44" s="202">
        <v>6.73203E-3</v>
      </c>
      <c r="R44" s="202">
        <v>0</v>
      </c>
      <c r="S44" s="202">
        <v>0</v>
      </c>
      <c r="T44" s="202">
        <v>6.7520600000000007E-3</v>
      </c>
      <c r="U44" s="202">
        <v>0</v>
      </c>
      <c r="V44" s="202">
        <v>0</v>
      </c>
      <c r="W44" s="202">
        <v>6.7721400000000003E-3</v>
      </c>
      <c r="X44" s="202">
        <v>0</v>
      </c>
      <c r="Y44" s="202">
        <v>0</v>
      </c>
      <c r="Z44" s="202">
        <v>6.7922900000000003E-3</v>
      </c>
      <c r="AA44" s="202">
        <v>0</v>
      </c>
      <c r="AB44" s="202">
        <v>0</v>
      </c>
      <c r="AC44" s="202">
        <v>6.8125E-3</v>
      </c>
    </row>
    <row r="45" spans="1:29" x14ac:dyDescent="0.3">
      <c r="A45" s="22" t="s">
        <v>44</v>
      </c>
      <c r="B45" s="152" t="s">
        <v>33</v>
      </c>
      <c r="C45" s="152" t="s">
        <v>34</v>
      </c>
      <c r="D45" s="152" t="s">
        <v>96</v>
      </c>
      <c r="E45" s="153"/>
      <c r="F45" s="202">
        <v>0</v>
      </c>
      <c r="G45" s="202">
        <v>0</v>
      </c>
      <c r="H45" s="202">
        <v>8.8770800000000007E-3</v>
      </c>
      <c r="I45" s="202">
        <v>0</v>
      </c>
      <c r="J45" s="202">
        <v>0</v>
      </c>
      <c r="K45" s="202">
        <v>8.90349E-3</v>
      </c>
      <c r="L45" s="202">
        <v>0</v>
      </c>
      <c r="M45" s="202">
        <v>0</v>
      </c>
      <c r="N45" s="202">
        <v>8.8895400000000013E-3</v>
      </c>
      <c r="O45" s="202">
        <v>0</v>
      </c>
      <c r="P45" s="202">
        <v>0</v>
      </c>
      <c r="Q45" s="202">
        <v>0</v>
      </c>
      <c r="R45" s="202">
        <v>0</v>
      </c>
      <c r="S45" s="202">
        <v>0</v>
      </c>
      <c r="T45" s="202">
        <v>0</v>
      </c>
      <c r="U45" s="202">
        <v>0</v>
      </c>
      <c r="V45" s="202">
        <v>0</v>
      </c>
      <c r="W45" s="202">
        <v>0</v>
      </c>
      <c r="X45" s="202">
        <v>0</v>
      </c>
      <c r="Y45" s="202">
        <v>0</v>
      </c>
      <c r="Z45" s="202">
        <v>0</v>
      </c>
      <c r="AA45" s="202">
        <v>0</v>
      </c>
      <c r="AB45" s="202">
        <v>0</v>
      </c>
      <c r="AC45" s="202">
        <v>0</v>
      </c>
    </row>
    <row r="46" spans="1:29" x14ac:dyDescent="0.3">
      <c r="A46" s="22" t="s">
        <v>44</v>
      </c>
      <c r="B46" s="152" t="s">
        <v>36</v>
      </c>
      <c r="C46" s="152" t="s">
        <v>37</v>
      </c>
      <c r="D46" s="152" t="s">
        <v>96</v>
      </c>
      <c r="E46" s="153"/>
      <c r="F46" s="15">
        <v>0</v>
      </c>
      <c r="G46" s="15">
        <v>0</v>
      </c>
      <c r="H46" s="15">
        <v>0.89227885142857055</v>
      </c>
      <c r="I46" s="15">
        <v>0</v>
      </c>
      <c r="J46" s="15">
        <v>0</v>
      </c>
      <c r="K46" s="15">
        <v>0</v>
      </c>
      <c r="L46" s="15">
        <v>0</v>
      </c>
      <c r="M46" s="15">
        <v>0</v>
      </c>
      <c r="N46" s="15">
        <v>0.89227885142857055</v>
      </c>
      <c r="O46" s="15">
        <v>0</v>
      </c>
      <c r="P46" s="15">
        <v>0</v>
      </c>
      <c r="Q46" s="15">
        <v>0</v>
      </c>
      <c r="R46" s="15">
        <v>0</v>
      </c>
      <c r="S46" s="15">
        <v>0</v>
      </c>
      <c r="T46" s="15">
        <v>0.89227885142857055</v>
      </c>
      <c r="U46" s="15">
        <v>0</v>
      </c>
      <c r="V46" s="15">
        <v>0</v>
      </c>
      <c r="W46" s="15">
        <v>0</v>
      </c>
      <c r="X46" s="15">
        <v>0</v>
      </c>
      <c r="Y46" s="15">
        <v>0</v>
      </c>
      <c r="Z46" s="15">
        <v>0.89227885142857055</v>
      </c>
      <c r="AA46" s="15">
        <v>0</v>
      </c>
      <c r="AB46" s="15">
        <v>0</v>
      </c>
      <c r="AC46" s="15">
        <v>0</v>
      </c>
    </row>
    <row r="47" spans="1:29" x14ac:dyDescent="0.3">
      <c r="A47" s="22"/>
      <c r="B47" s="152" t="s">
        <v>159</v>
      </c>
      <c r="C47" s="152" t="s">
        <v>160</v>
      </c>
      <c r="D47" s="152" t="s">
        <v>96</v>
      </c>
      <c r="E47" s="158"/>
      <c r="F47" s="15">
        <v>0</v>
      </c>
      <c r="G47" s="15">
        <v>0</v>
      </c>
      <c r="H47" s="15">
        <v>0</v>
      </c>
      <c r="I47" s="15">
        <v>0</v>
      </c>
      <c r="J47" s="15">
        <v>0</v>
      </c>
      <c r="K47" s="15">
        <v>0</v>
      </c>
      <c r="L47" s="15">
        <v>0</v>
      </c>
      <c r="M47" s="15">
        <v>0</v>
      </c>
      <c r="N47" s="15">
        <v>0</v>
      </c>
      <c r="O47" s="15">
        <v>0</v>
      </c>
      <c r="P47" s="15">
        <v>0</v>
      </c>
      <c r="Q47" s="15">
        <v>0</v>
      </c>
      <c r="R47" s="15">
        <v>0</v>
      </c>
      <c r="S47" s="15">
        <v>0</v>
      </c>
      <c r="T47" s="15">
        <v>0</v>
      </c>
      <c r="U47" s="15">
        <v>0</v>
      </c>
      <c r="V47" s="15">
        <v>0</v>
      </c>
      <c r="W47" s="15">
        <v>0</v>
      </c>
      <c r="X47" s="15">
        <v>0</v>
      </c>
      <c r="Y47" s="15">
        <v>0</v>
      </c>
      <c r="Z47" s="15">
        <v>0</v>
      </c>
      <c r="AA47" s="15">
        <v>0</v>
      </c>
      <c r="AB47" s="15">
        <v>0</v>
      </c>
      <c r="AC47" s="15">
        <v>0</v>
      </c>
    </row>
    <row r="48" spans="1:29" x14ac:dyDescent="0.3">
      <c r="A48" s="22"/>
      <c r="B48" s="152" t="s">
        <v>186</v>
      </c>
      <c r="C48" s="152" t="s">
        <v>187</v>
      </c>
      <c r="D48" s="152" t="s">
        <v>96</v>
      </c>
      <c r="E48" s="158"/>
      <c r="F48" s="15">
        <v>0</v>
      </c>
      <c r="G48" s="15">
        <v>0</v>
      </c>
      <c r="H48" s="15">
        <v>0</v>
      </c>
      <c r="I48" s="15">
        <v>0</v>
      </c>
      <c r="J48" s="15">
        <v>0</v>
      </c>
      <c r="K48" s="15">
        <v>0</v>
      </c>
      <c r="L48" s="15">
        <v>0</v>
      </c>
      <c r="M48" s="15">
        <v>0</v>
      </c>
      <c r="N48" s="15">
        <v>0</v>
      </c>
      <c r="O48" s="15">
        <v>0</v>
      </c>
      <c r="P48" s="15">
        <v>0</v>
      </c>
      <c r="Q48" s="15">
        <v>0</v>
      </c>
      <c r="R48" s="15">
        <v>0</v>
      </c>
      <c r="S48" s="15">
        <v>0</v>
      </c>
      <c r="T48" s="15">
        <v>0</v>
      </c>
      <c r="U48" s="15">
        <v>0</v>
      </c>
      <c r="V48" s="15">
        <v>0</v>
      </c>
      <c r="W48" s="15">
        <v>0</v>
      </c>
      <c r="X48" s="15">
        <v>0</v>
      </c>
      <c r="Y48" s="15">
        <v>0</v>
      </c>
      <c r="Z48" s="15">
        <v>0</v>
      </c>
      <c r="AA48" s="15">
        <v>0</v>
      </c>
      <c r="AB48" s="15">
        <v>0</v>
      </c>
      <c r="AC48" s="15">
        <v>0</v>
      </c>
    </row>
    <row r="49" spans="1:29" x14ac:dyDescent="0.3">
      <c r="A49" s="22" t="s">
        <v>44</v>
      </c>
      <c r="B49" s="152" t="s">
        <v>132</v>
      </c>
      <c r="C49" s="152" t="s">
        <v>131</v>
      </c>
      <c r="D49" s="152" t="s">
        <v>97</v>
      </c>
      <c r="E49" s="153"/>
      <c r="F49" s="202">
        <v>0</v>
      </c>
      <c r="G49" s="202">
        <v>0</v>
      </c>
      <c r="H49" s="202">
        <v>39.908923076923081</v>
      </c>
      <c r="I49" s="202">
        <v>0</v>
      </c>
      <c r="J49" s="202">
        <v>0</v>
      </c>
      <c r="K49" s="202">
        <v>0</v>
      </c>
      <c r="L49" s="202">
        <v>0</v>
      </c>
      <c r="M49" s="202">
        <v>0</v>
      </c>
      <c r="N49" s="202">
        <v>39.847769230769231</v>
      </c>
      <c r="O49" s="202">
        <v>0</v>
      </c>
      <c r="P49" s="202">
        <v>0</v>
      </c>
      <c r="Q49" s="202">
        <v>0</v>
      </c>
      <c r="R49" s="202">
        <v>0</v>
      </c>
      <c r="S49" s="202">
        <v>0</v>
      </c>
      <c r="T49" s="202">
        <v>39.847769230769231</v>
      </c>
      <c r="U49" s="202">
        <v>0</v>
      </c>
      <c r="V49" s="202">
        <v>0</v>
      </c>
      <c r="W49" s="202">
        <v>0</v>
      </c>
      <c r="X49" s="202">
        <v>0</v>
      </c>
      <c r="Y49" s="202">
        <v>0</v>
      </c>
      <c r="Z49" s="202">
        <v>39.847769230769231</v>
      </c>
      <c r="AA49" s="202">
        <v>0</v>
      </c>
      <c r="AB49" s="202">
        <v>0</v>
      </c>
      <c r="AC49" s="202">
        <v>0</v>
      </c>
    </row>
    <row r="50" spans="1:29" customFormat="1" ht="6.75" customHeight="1" x14ac:dyDescent="0.25">
      <c r="B50" s="159"/>
      <c r="C50" s="4"/>
      <c r="D50" s="4"/>
      <c r="E50" s="154"/>
      <c r="F50" s="155"/>
      <c r="G50" s="155"/>
      <c r="H50" s="155"/>
      <c r="I50" s="155"/>
      <c r="J50" s="155"/>
      <c r="K50" s="155"/>
      <c r="L50" s="155"/>
      <c r="M50" s="155"/>
      <c r="N50" s="155"/>
      <c r="O50" s="155"/>
      <c r="P50" s="155"/>
      <c r="Q50" s="155"/>
      <c r="R50" s="155"/>
      <c r="S50" s="155"/>
      <c r="T50" s="155"/>
      <c r="U50" s="155"/>
    </row>
    <row r="51" spans="1:29" ht="28.5" customHeight="1" x14ac:dyDescent="0.3">
      <c r="B51" s="229" t="s">
        <v>123</v>
      </c>
      <c r="C51" s="229"/>
      <c r="D51" s="229"/>
      <c r="E51" s="160"/>
      <c r="F51" s="156">
        <f t="shared" ref="F51:AC51" si="23">+SUM(F35:F49)</f>
        <v>0</v>
      </c>
      <c r="G51" s="156">
        <f t="shared" si="23"/>
        <v>3.6786422092756892</v>
      </c>
      <c r="H51" s="156">
        <f t="shared" si="23"/>
        <v>40.816751308351648</v>
      </c>
      <c r="I51" s="156">
        <f t="shared" si="23"/>
        <v>1.8532791048435648</v>
      </c>
      <c r="J51" s="156">
        <f t="shared" si="23"/>
        <v>0.19690852849999982</v>
      </c>
      <c r="K51" s="156">
        <f t="shared" si="23"/>
        <v>1.441361687166443</v>
      </c>
      <c r="L51" s="156">
        <f t="shared" si="23"/>
        <v>0</v>
      </c>
      <c r="M51" s="156">
        <f t="shared" si="23"/>
        <v>3.7259981400000002</v>
      </c>
      <c r="N51" s="156">
        <f t="shared" si="23"/>
        <v>40.755649682197799</v>
      </c>
      <c r="O51" s="156">
        <f t="shared" si="23"/>
        <v>1.90733883</v>
      </c>
      <c r="P51" s="156">
        <f t="shared" si="23"/>
        <v>0.19690852902631562</v>
      </c>
      <c r="Q51" s="156">
        <f t="shared" si="23"/>
        <v>1.4324980771664431</v>
      </c>
      <c r="R51" s="156">
        <f t="shared" si="23"/>
        <v>0</v>
      </c>
      <c r="S51" s="156">
        <f t="shared" si="23"/>
        <v>3.725998139569807</v>
      </c>
      <c r="T51" s="156">
        <f t="shared" si="23"/>
        <v>40.746800142197799</v>
      </c>
      <c r="U51" s="156">
        <f t="shared" si="23"/>
        <v>1.9075442349934661</v>
      </c>
      <c r="V51" s="156">
        <f t="shared" si="23"/>
        <v>0.19690853958187118</v>
      </c>
      <c r="W51" s="156">
        <f t="shared" si="23"/>
        <v>1.4325381871664431</v>
      </c>
      <c r="X51" s="156">
        <f t="shared" si="23"/>
        <v>0</v>
      </c>
      <c r="Y51" s="156">
        <f t="shared" si="23"/>
        <v>3.706038280822634</v>
      </c>
      <c r="Z51" s="156">
        <f t="shared" si="23"/>
        <v>40.746840372197802</v>
      </c>
      <c r="AA51" s="156">
        <f t="shared" si="23"/>
        <v>1.9461714169225859</v>
      </c>
      <c r="AB51" s="156">
        <f t="shared" si="23"/>
        <v>0.19690853958187118</v>
      </c>
      <c r="AC51" s="156">
        <f t="shared" si="23"/>
        <v>1.4325785471664432</v>
      </c>
    </row>
    <row r="52" spans="1:29" x14ac:dyDescent="0.3">
      <c r="B52" s="4"/>
      <c r="C52" s="4"/>
      <c r="D52" s="4"/>
      <c r="E52" s="153"/>
    </row>
    <row r="53" spans="1:29" x14ac:dyDescent="0.3">
      <c r="B53" s="4"/>
      <c r="C53" s="4"/>
      <c r="D53" s="4"/>
      <c r="E53" s="153"/>
    </row>
    <row r="54" spans="1:29" x14ac:dyDescent="0.3">
      <c r="B54" s="4"/>
      <c r="C54" s="4"/>
      <c r="D54" s="4"/>
    </row>
  </sheetData>
  <mergeCells count="13">
    <mergeCell ref="B1:E1"/>
    <mergeCell ref="D5:D6"/>
    <mergeCell ref="D33:D34"/>
    <mergeCell ref="B4:D4"/>
    <mergeCell ref="B32:D32"/>
    <mergeCell ref="B5:B6"/>
    <mergeCell ref="C5:C6"/>
    <mergeCell ref="B28:D29"/>
    <mergeCell ref="B51:D51"/>
    <mergeCell ref="B25:D25"/>
    <mergeCell ref="B33:B34"/>
    <mergeCell ref="C33:C34"/>
    <mergeCell ref="B26:D27"/>
  </mergeCells>
  <hyperlinks>
    <hyperlink ref="C10" location="ANSE23!A1" display="ANSE23" xr:uid="{00000000-0004-0000-0100-000000000000}"/>
    <hyperlink ref="C7" location="FFDPO23!A1" display="FFDPO23" xr:uid="{00000000-0004-0000-0100-000001000000}"/>
    <hyperlink ref="C11" location="IPVO26!A1" display="IPVO26" xr:uid="{00000000-0004-0000-0100-000002000000}"/>
    <hyperlink ref="C18" location="'PMG25'!A1" display="PMG25" xr:uid="{00000000-0004-0000-0100-000003000000}"/>
    <hyperlink ref="C36" location="BIDF40!A1" display="BIDF40" xr:uid="{00000000-0004-0000-0100-000004000000}"/>
    <hyperlink ref="C43" location="BIDO24!A1" display="BIDO24" xr:uid="{00000000-0004-0000-0100-000005000000}"/>
    <hyperlink ref="C40" location="BIDN32!A1" display="BIDN32" xr:uid="{00000000-0004-0000-0100-000006000000}"/>
    <hyperlink ref="C44" location="BIDS34!A1" display="BIDS34" xr:uid="{00000000-0004-0000-0100-000007000000}"/>
    <hyperlink ref="C45" location="BIDS23!A1" display="BIDS23" xr:uid="{00000000-0004-0000-0100-000008000000}"/>
    <hyperlink ref="C39" location="BIDY42!A1" display="BIDY42" xr:uid="{00000000-0004-0000-0100-000009000000}"/>
    <hyperlink ref="C46" location="BIRS38!A1" display="BIRS38" xr:uid="{00000000-0004-0000-0100-00000A000000}"/>
    <hyperlink ref="C19" location="FFFIRO24!A1" display="FFFIRO24" xr:uid="{00000000-0004-0000-0100-00000B000000}"/>
    <hyperlink ref="C20" location="FFFIRF26!A1" display="FFFIRF26" xr:uid="{00000000-0004-0000-0100-00000C000000}"/>
    <hyperlink ref="C21" location="FFFIRE26!A1" display="FFFIRE26" xr:uid="{00000000-0004-0000-0100-00000D000000}"/>
    <hyperlink ref="C9" location="GOBD23!A1" display="GOBD23" xr:uid="{00000000-0004-0000-0100-00000E000000}"/>
    <hyperlink ref="C16" location="'PMY25'!A1" display="PMY25" xr:uid="{00000000-0004-0000-0100-00000F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5"/>
  <sheetViews>
    <sheetView showGridLines="0" zoomScaleNormal="100" workbookViewId="0">
      <pane xSplit="2" ySplit="1" topLeftCell="C2" activePane="bottomRight" state="frozen"/>
      <selection activeCell="F1" sqref="F1:F1048576"/>
      <selection pane="topRight" activeCell="F1" sqref="F1:F1048576"/>
      <selection pane="bottomLeft" activeCell="F1" sqref="F1:F1048576"/>
      <selection pane="bottomRight" activeCell="B1" sqref="B1:E1"/>
    </sheetView>
  </sheetViews>
  <sheetFormatPr baseColWidth="10" defaultRowHeight="16.5" x14ac:dyDescent="0.3"/>
  <cols>
    <col min="1" max="1" width="5.28515625" style="21"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29" ht="28.5" customHeight="1" x14ac:dyDescent="0.3">
      <c r="B1" s="212" t="s">
        <v>43</v>
      </c>
      <c r="C1" s="212"/>
      <c r="D1" s="212"/>
      <c r="E1" s="212"/>
    </row>
    <row r="2" spans="1:29" ht="17.25" x14ac:dyDescent="0.3">
      <c r="B2" s="5" t="s">
        <v>50</v>
      </c>
    </row>
    <row r="4" spans="1:29" ht="30.75" customHeight="1" x14ac:dyDescent="0.3">
      <c r="B4" s="236" t="s">
        <v>139</v>
      </c>
      <c r="C4" s="236"/>
      <c r="D4" s="236"/>
      <c r="F4" s="121"/>
      <c r="G4" s="121"/>
      <c r="H4" s="121"/>
      <c r="I4" s="121"/>
      <c r="J4" s="121"/>
      <c r="K4" s="121"/>
      <c r="L4" s="121"/>
      <c r="M4" s="121"/>
      <c r="N4" s="121"/>
      <c r="O4" s="121"/>
      <c r="P4" s="121"/>
      <c r="Q4" s="121"/>
      <c r="R4" s="121"/>
      <c r="S4" s="121"/>
      <c r="T4" s="121"/>
      <c r="U4" s="121"/>
      <c r="V4" s="121"/>
      <c r="W4" s="121"/>
      <c r="X4" s="121"/>
      <c r="Y4" s="121"/>
      <c r="Z4" s="121"/>
      <c r="AA4" s="121"/>
      <c r="AB4" s="121"/>
      <c r="AC4" s="121"/>
    </row>
    <row r="5" spans="1:29" ht="15.75" customHeight="1" x14ac:dyDescent="0.3">
      <c r="B5" s="230" t="s">
        <v>0</v>
      </c>
      <c r="C5" s="232" t="s">
        <v>1</v>
      </c>
      <c r="D5" s="215" t="s">
        <v>99</v>
      </c>
      <c r="F5" s="6">
        <v>2023</v>
      </c>
      <c r="G5" s="6">
        <v>2023</v>
      </c>
      <c r="H5" s="6">
        <v>2023</v>
      </c>
      <c r="I5" s="6">
        <v>2023</v>
      </c>
      <c r="J5" s="6">
        <v>2023</v>
      </c>
      <c r="K5" s="6">
        <v>2023</v>
      </c>
      <c r="L5" s="6">
        <v>2023</v>
      </c>
      <c r="M5" s="6">
        <v>2023</v>
      </c>
      <c r="N5" s="6">
        <v>2023</v>
      </c>
      <c r="O5" s="6">
        <v>2023</v>
      </c>
      <c r="P5" s="6">
        <v>2023</v>
      </c>
      <c r="Q5" s="6">
        <v>2023</v>
      </c>
      <c r="R5" s="6">
        <v>2024</v>
      </c>
      <c r="S5" s="6">
        <v>2024</v>
      </c>
      <c r="T5" s="6">
        <v>2024</v>
      </c>
      <c r="U5" s="6">
        <v>2024</v>
      </c>
      <c r="V5" s="6">
        <v>2024</v>
      </c>
      <c r="W5" s="6">
        <v>2024</v>
      </c>
      <c r="X5" s="6">
        <v>2024</v>
      </c>
      <c r="Y5" s="6">
        <v>2024</v>
      </c>
      <c r="Z5" s="6">
        <v>2024</v>
      </c>
      <c r="AA5" s="6">
        <v>2024</v>
      </c>
      <c r="AB5" s="6">
        <v>2024</v>
      </c>
      <c r="AC5" s="6">
        <v>2024</v>
      </c>
    </row>
    <row r="6" spans="1:29" x14ac:dyDescent="0.3">
      <c r="B6" s="231"/>
      <c r="C6" s="233"/>
      <c r="D6" s="216"/>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c r="R6" s="6">
        <v>1</v>
      </c>
      <c r="S6" s="6">
        <f>+R6+1</f>
        <v>2</v>
      </c>
      <c r="T6" s="6">
        <f t="shared" ref="T6:AC6" si="1">+S6+1</f>
        <v>3</v>
      </c>
      <c r="U6" s="6">
        <f t="shared" si="1"/>
        <v>4</v>
      </c>
      <c r="V6" s="6">
        <f t="shared" si="1"/>
        <v>5</v>
      </c>
      <c r="W6" s="6">
        <f t="shared" si="1"/>
        <v>6</v>
      </c>
      <c r="X6" s="6">
        <f t="shared" si="1"/>
        <v>7</v>
      </c>
      <c r="Y6" s="6">
        <f t="shared" si="1"/>
        <v>8</v>
      </c>
      <c r="Z6" s="6">
        <f t="shared" si="1"/>
        <v>9</v>
      </c>
      <c r="AA6" s="6">
        <f t="shared" si="1"/>
        <v>10</v>
      </c>
      <c r="AB6" s="6">
        <f t="shared" si="1"/>
        <v>11</v>
      </c>
      <c r="AC6" s="6">
        <f t="shared" si="1"/>
        <v>12</v>
      </c>
    </row>
    <row r="7" spans="1:29" x14ac:dyDescent="0.3">
      <c r="A7" s="118"/>
      <c r="B7" s="152" t="s">
        <v>3</v>
      </c>
      <c r="C7" s="152" t="s">
        <v>4</v>
      </c>
      <c r="D7" s="152" t="s">
        <v>93</v>
      </c>
      <c r="E7" s="84"/>
      <c r="F7" s="199">
        <v>114.67699107866144</v>
      </c>
      <c r="G7" s="199">
        <v>90.308130474445875</v>
      </c>
      <c r="H7" s="199">
        <v>88.874668085962597</v>
      </c>
      <c r="I7" s="199">
        <v>70.239657035680096</v>
      </c>
      <c r="J7" s="199">
        <v>70.956388229921728</v>
      </c>
      <c r="K7" s="199">
        <v>53.754839568122499</v>
      </c>
      <c r="L7" s="199">
        <v>44.437334042981249</v>
      </c>
      <c r="M7" s="199">
        <v>33.328000532235926</v>
      </c>
      <c r="N7" s="199">
        <v>20.785204633007332</v>
      </c>
      <c r="O7" s="199">
        <v>11.467699107866084</v>
      </c>
      <c r="P7" s="199">
        <v>0</v>
      </c>
      <c r="Q7" s="199">
        <v>0</v>
      </c>
      <c r="R7" s="199">
        <v>0</v>
      </c>
      <c r="S7" s="199">
        <v>0</v>
      </c>
      <c r="T7" s="199">
        <v>0</v>
      </c>
      <c r="U7" s="199">
        <v>0</v>
      </c>
      <c r="V7" s="199">
        <v>0</v>
      </c>
      <c r="W7" s="199">
        <v>0</v>
      </c>
      <c r="X7" s="199">
        <v>0</v>
      </c>
      <c r="Y7" s="199">
        <v>0</v>
      </c>
      <c r="Z7" s="199">
        <v>0</v>
      </c>
      <c r="AA7" s="199">
        <v>0</v>
      </c>
      <c r="AB7" s="199">
        <v>0</v>
      </c>
      <c r="AC7" s="199">
        <v>0</v>
      </c>
    </row>
    <row r="8" spans="1:29" x14ac:dyDescent="0.3">
      <c r="A8" s="118"/>
      <c r="B8" s="152" t="s">
        <v>129</v>
      </c>
      <c r="C8" s="152" t="s">
        <v>130</v>
      </c>
      <c r="D8" s="152" t="s">
        <v>93</v>
      </c>
      <c r="E8" s="84"/>
      <c r="F8" s="199">
        <v>0.27631157225807429</v>
      </c>
      <c r="G8" s="199">
        <v>0.23324956481400347</v>
      </c>
      <c r="H8" s="199">
        <v>0.25033102724457923</v>
      </c>
      <c r="I8" s="199">
        <v>0.21674274900652946</v>
      </c>
      <c r="J8" s="199">
        <v>0.24687834392832445</v>
      </c>
      <c r="K8" s="199">
        <v>0.21201066373950558</v>
      </c>
      <c r="L8" s="199">
        <v>0.20091925517212575</v>
      </c>
      <c r="M8" s="199">
        <v>0.17773782720385956</v>
      </c>
      <c r="N8" s="199">
        <v>0.14468900975561719</v>
      </c>
      <c r="O8" s="199">
        <v>0.13555755783365131</v>
      </c>
      <c r="P8" s="199">
        <v>9.3420541174411481E-2</v>
      </c>
      <c r="Q8" s="199">
        <v>4.9616578647074985E-2</v>
      </c>
      <c r="R8" s="199">
        <v>0</v>
      </c>
      <c r="S8" s="199">
        <v>0</v>
      </c>
      <c r="T8" s="199">
        <v>0</v>
      </c>
      <c r="U8" s="199">
        <v>0</v>
      </c>
      <c r="V8" s="199">
        <v>0</v>
      </c>
      <c r="W8" s="199">
        <v>0</v>
      </c>
      <c r="X8" s="199">
        <v>0</v>
      </c>
      <c r="Y8" s="199">
        <v>0</v>
      </c>
      <c r="Z8" s="199">
        <v>0</v>
      </c>
      <c r="AA8" s="199">
        <v>0</v>
      </c>
      <c r="AB8" s="199">
        <v>0</v>
      </c>
      <c r="AC8" s="199">
        <v>0</v>
      </c>
    </row>
    <row r="9" spans="1:29" x14ac:dyDescent="0.3">
      <c r="A9" s="118"/>
      <c r="B9" s="152" t="s">
        <v>124</v>
      </c>
      <c r="C9" s="152" t="s">
        <v>125</v>
      </c>
      <c r="D9" s="152" t="s">
        <v>93</v>
      </c>
      <c r="E9" s="84"/>
      <c r="F9" s="199">
        <v>0.1938841884598525</v>
      </c>
      <c r="G9" s="199">
        <v>0.16366814539471511</v>
      </c>
      <c r="H9" s="199">
        <v>0.17565398244813538</v>
      </c>
      <c r="I9" s="199">
        <v>0.15208553030286803</v>
      </c>
      <c r="J9" s="199">
        <v>0.17323128007157437</v>
      </c>
      <c r="K9" s="199">
        <v>0.14876508844000305</v>
      </c>
      <c r="L9" s="199">
        <v>0.14098239323332318</v>
      </c>
      <c r="M9" s="199">
        <v>0.1247162907598084</v>
      </c>
      <c r="N9" s="199">
        <v>0.10152637114064178</v>
      </c>
      <c r="O9" s="199">
        <v>9.5118951679769817E-2</v>
      </c>
      <c r="P9" s="199">
        <v>6.5551962456945959E-2</v>
      </c>
      <c r="Q9" s="199">
        <v>3.4815299288868159E-2</v>
      </c>
      <c r="R9" s="199">
        <v>0</v>
      </c>
      <c r="S9" s="199">
        <v>0</v>
      </c>
      <c r="T9" s="199">
        <v>0</v>
      </c>
      <c r="U9" s="199">
        <v>0</v>
      </c>
      <c r="V9" s="199">
        <v>0</v>
      </c>
      <c r="W9" s="199">
        <v>0</v>
      </c>
      <c r="X9" s="199">
        <v>0</v>
      </c>
      <c r="Y9" s="199">
        <v>0</v>
      </c>
      <c r="Z9" s="199">
        <v>0</v>
      </c>
      <c r="AA9" s="199">
        <v>0</v>
      </c>
      <c r="AB9" s="199">
        <v>0</v>
      </c>
      <c r="AC9" s="199">
        <v>0</v>
      </c>
    </row>
    <row r="10" spans="1:29" x14ac:dyDescent="0.3">
      <c r="A10" s="118"/>
      <c r="B10" s="152" t="s">
        <v>5</v>
      </c>
      <c r="C10" s="152" t="s">
        <v>6</v>
      </c>
      <c r="D10" s="152" t="s">
        <v>93</v>
      </c>
      <c r="E10" s="84"/>
      <c r="F10" s="199">
        <v>114.90839568000001</v>
      </c>
      <c r="G10" s="199">
        <v>0</v>
      </c>
      <c r="H10" s="199">
        <v>0</v>
      </c>
      <c r="I10" s="199">
        <v>0</v>
      </c>
      <c r="J10" s="199">
        <v>0</v>
      </c>
      <c r="K10" s="199">
        <v>0</v>
      </c>
      <c r="L10" s="199">
        <v>0</v>
      </c>
      <c r="M10" s="199">
        <v>0</v>
      </c>
      <c r="N10" s="199">
        <v>0</v>
      </c>
      <c r="O10" s="199">
        <v>0</v>
      </c>
      <c r="P10" s="199">
        <v>0</v>
      </c>
      <c r="Q10" s="199">
        <v>0</v>
      </c>
      <c r="R10" s="199">
        <v>0</v>
      </c>
      <c r="S10" s="199">
        <v>0</v>
      </c>
      <c r="T10" s="199">
        <v>0</v>
      </c>
      <c r="U10" s="199">
        <v>0</v>
      </c>
      <c r="V10" s="199">
        <v>0</v>
      </c>
      <c r="W10" s="199">
        <v>0</v>
      </c>
      <c r="X10" s="199">
        <v>0</v>
      </c>
      <c r="Y10" s="199">
        <v>0</v>
      </c>
      <c r="Z10" s="199">
        <v>0</v>
      </c>
      <c r="AA10" s="199">
        <v>0</v>
      </c>
      <c r="AB10" s="199">
        <v>0</v>
      </c>
      <c r="AC10" s="199">
        <v>0</v>
      </c>
    </row>
    <row r="11" spans="1:29" x14ac:dyDescent="0.3">
      <c r="A11" s="118"/>
      <c r="B11" s="152" t="s">
        <v>11</v>
      </c>
      <c r="C11" s="152" t="s">
        <v>12</v>
      </c>
      <c r="D11" s="152" t="s">
        <v>93</v>
      </c>
      <c r="E11" s="84"/>
      <c r="F11" s="199">
        <v>12.115574560000001</v>
      </c>
      <c r="G11" s="199">
        <v>0</v>
      </c>
      <c r="H11" s="199">
        <v>0</v>
      </c>
      <c r="I11" s="199">
        <v>14.651533200000001</v>
      </c>
      <c r="J11" s="199">
        <v>0</v>
      </c>
      <c r="K11" s="199">
        <v>0</v>
      </c>
      <c r="L11" s="199">
        <v>12.79787425</v>
      </c>
      <c r="M11" s="199">
        <v>0</v>
      </c>
      <c r="N11" s="199">
        <v>0</v>
      </c>
      <c r="O11" s="199">
        <v>15.878347300000001</v>
      </c>
      <c r="P11" s="199">
        <v>0</v>
      </c>
      <c r="Q11" s="199">
        <v>0</v>
      </c>
      <c r="R11" s="199">
        <v>17.150393390000001</v>
      </c>
      <c r="S11" s="199">
        <v>0</v>
      </c>
      <c r="T11" s="199">
        <v>0</v>
      </c>
      <c r="U11" s="199">
        <v>16.07794363</v>
      </c>
      <c r="V11" s="199">
        <v>0</v>
      </c>
      <c r="W11" s="199">
        <v>0</v>
      </c>
      <c r="X11" s="199">
        <v>12.05316374</v>
      </c>
      <c r="Y11" s="199">
        <v>0</v>
      </c>
      <c r="Z11" s="199">
        <v>0</v>
      </c>
      <c r="AA11" s="199">
        <v>8.9080357600000006</v>
      </c>
      <c r="AB11" s="199">
        <v>0</v>
      </c>
      <c r="AC11" s="199">
        <v>0</v>
      </c>
    </row>
    <row r="12" spans="1:29" x14ac:dyDescent="0.3">
      <c r="A12" s="118"/>
      <c r="B12" s="152" t="s">
        <v>143</v>
      </c>
      <c r="C12" s="152" t="s">
        <v>144</v>
      </c>
      <c r="D12" s="152" t="s">
        <v>97</v>
      </c>
      <c r="E12" s="84"/>
      <c r="F12" s="199">
        <v>0</v>
      </c>
      <c r="G12" s="199">
        <v>0</v>
      </c>
      <c r="H12" s="199">
        <v>0</v>
      </c>
      <c r="I12" s="199">
        <v>0</v>
      </c>
      <c r="J12" s="199">
        <v>0</v>
      </c>
      <c r="K12" s="199">
        <v>173.6678550761884</v>
      </c>
      <c r="L12" s="199">
        <v>0</v>
      </c>
      <c r="M12" s="199">
        <v>0</v>
      </c>
      <c r="N12" s="199">
        <v>0</v>
      </c>
      <c r="O12" s="199">
        <v>0</v>
      </c>
      <c r="P12" s="199">
        <v>0</v>
      </c>
      <c r="Q12" s="199">
        <v>287.75013682524587</v>
      </c>
      <c r="R12" s="199">
        <v>0</v>
      </c>
      <c r="S12" s="199">
        <v>0</v>
      </c>
      <c r="T12" s="199">
        <v>0</v>
      </c>
      <c r="U12" s="199">
        <v>0</v>
      </c>
      <c r="V12" s="199">
        <v>0</v>
      </c>
      <c r="W12" s="199">
        <v>191.84301622139145</v>
      </c>
      <c r="X12" s="199">
        <v>0</v>
      </c>
      <c r="Y12" s="199">
        <v>0</v>
      </c>
      <c r="Z12" s="199">
        <v>0</v>
      </c>
      <c r="AA12" s="199">
        <v>0</v>
      </c>
      <c r="AB12" s="199">
        <v>0</v>
      </c>
      <c r="AC12" s="199">
        <v>95.935895617536985</v>
      </c>
    </row>
    <row r="13" spans="1:29" x14ac:dyDescent="0.3">
      <c r="A13" s="118"/>
      <c r="B13" s="152" t="s">
        <v>189</v>
      </c>
      <c r="C13" s="152" t="s">
        <v>182</v>
      </c>
      <c r="D13" s="152" t="s">
        <v>97</v>
      </c>
      <c r="E13" s="84"/>
      <c r="F13" s="199">
        <v>0</v>
      </c>
      <c r="G13" s="199">
        <v>0</v>
      </c>
      <c r="H13" s="199">
        <v>0</v>
      </c>
      <c r="I13" s="199">
        <v>0</v>
      </c>
      <c r="J13" s="199">
        <v>0</v>
      </c>
      <c r="K13" s="199">
        <v>0</v>
      </c>
      <c r="L13" s="199">
        <v>0</v>
      </c>
      <c r="M13" s="199">
        <v>0</v>
      </c>
      <c r="N13" s="199">
        <v>1273.9479152899999</v>
      </c>
      <c r="O13" s="199">
        <v>0</v>
      </c>
      <c r="P13" s="199">
        <v>0</v>
      </c>
      <c r="Q13" s="199">
        <v>1365.8610259005834</v>
      </c>
      <c r="R13" s="199">
        <v>0</v>
      </c>
      <c r="S13" s="199">
        <v>0</v>
      </c>
      <c r="T13" s="199">
        <v>1068.1496391221629</v>
      </c>
      <c r="U13" s="199">
        <v>0</v>
      </c>
      <c r="V13" s="199">
        <v>0</v>
      </c>
      <c r="W13" s="199">
        <v>844.23626575630817</v>
      </c>
      <c r="X13" s="199">
        <v>0</v>
      </c>
      <c r="Y13" s="199">
        <v>0</v>
      </c>
      <c r="Z13" s="199">
        <v>553.97366415368492</v>
      </c>
      <c r="AA13" s="199">
        <v>0</v>
      </c>
      <c r="AB13" s="199">
        <v>0</v>
      </c>
      <c r="AC13" s="199">
        <v>353.49974152377774</v>
      </c>
    </row>
    <row r="14" spans="1:29" x14ac:dyDescent="0.3">
      <c r="A14" s="118"/>
      <c r="B14" s="152" t="s">
        <v>190</v>
      </c>
      <c r="C14" s="152" t="s">
        <v>183</v>
      </c>
      <c r="D14" s="152" t="s">
        <v>97</v>
      </c>
      <c r="E14" s="84"/>
      <c r="F14" s="199">
        <v>0</v>
      </c>
      <c r="G14" s="199">
        <v>0</v>
      </c>
      <c r="H14" s="199">
        <v>0</v>
      </c>
      <c r="I14" s="199">
        <v>0</v>
      </c>
      <c r="J14" s="199">
        <v>0</v>
      </c>
      <c r="K14" s="199">
        <v>0</v>
      </c>
      <c r="L14" s="199">
        <v>0</v>
      </c>
      <c r="M14" s="199">
        <v>0</v>
      </c>
      <c r="N14" s="199">
        <v>686.86238628632884</v>
      </c>
      <c r="O14" s="199">
        <v>0</v>
      </c>
      <c r="P14" s="199">
        <v>0</v>
      </c>
      <c r="Q14" s="199">
        <v>701.54670563755894</v>
      </c>
      <c r="R14" s="199">
        <v>0</v>
      </c>
      <c r="S14" s="199">
        <v>0</v>
      </c>
      <c r="T14" s="199">
        <v>512.00023414426505</v>
      </c>
      <c r="U14" s="199">
        <v>0</v>
      </c>
      <c r="V14" s="199">
        <v>0</v>
      </c>
      <c r="W14" s="199">
        <v>364.17309284857521</v>
      </c>
      <c r="X14" s="199">
        <v>0</v>
      </c>
      <c r="Y14" s="199">
        <v>0</v>
      </c>
      <c r="Z14" s="199">
        <v>199.07723518727499</v>
      </c>
      <c r="AA14" s="199">
        <v>0</v>
      </c>
      <c r="AB14" s="199">
        <v>0</v>
      </c>
      <c r="AC14" s="199">
        <v>84.666698601224553</v>
      </c>
    </row>
    <row r="15" spans="1:29" x14ac:dyDescent="0.3">
      <c r="A15" s="118"/>
      <c r="B15" s="152" t="s">
        <v>147</v>
      </c>
      <c r="C15" s="152" t="s">
        <v>148</v>
      </c>
      <c r="D15" s="152" t="s">
        <v>97</v>
      </c>
      <c r="E15" s="84"/>
      <c r="F15" s="199">
        <v>0</v>
      </c>
      <c r="G15" s="199">
        <v>0</v>
      </c>
      <c r="H15" s="199">
        <v>835.87234490999992</v>
      </c>
      <c r="I15" s="199">
        <v>0</v>
      </c>
      <c r="J15" s="199">
        <v>0</v>
      </c>
      <c r="K15" s="199">
        <v>962.99949054903414</v>
      </c>
      <c r="L15" s="199">
        <v>0</v>
      </c>
      <c r="M15" s="199">
        <v>0</v>
      </c>
      <c r="N15" s="199">
        <v>1187.124785567705</v>
      </c>
      <c r="O15" s="199">
        <v>0</v>
      </c>
      <c r="P15" s="199">
        <v>0</v>
      </c>
      <c r="Q15" s="199">
        <v>1477.2609837334433</v>
      </c>
      <c r="R15" s="199">
        <v>0</v>
      </c>
      <c r="S15" s="199">
        <v>0</v>
      </c>
      <c r="T15" s="199">
        <v>1364.8392421973979</v>
      </c>
      <c r="U15" s="199">
        <v>0</v>
      </c>
      <c r="V15" s="199">
        <v>0</v>
      </c>
      <c r="W15" s="199">
        <v>1289.4956538905149</v>
      </c>
      <c r="X15" s="199">
        <v>0</v>
      </c>
      <c r="Y15" s="199">
        <v>0</v>
      </c>
      <c r="Z15" s="199">
        <v>1044.9823302961327</v>
      </c>
      <c r="AA15" s="199">
        <v>0</v>
      </c>
      <c r="AB15" s="199">
        <v>0</v>
      </c>
      <c r="AC15" s="199">
        <v>879.88263050194575</v>
      </c>
    </row>
    <row r="16" spans="1:29" x14ac:dyDescent="0.3">
      <c r="A16" s="118"/>
      <c r="B16" s="152" t="s">
        <v>136</v>
      </c>
      <c r="C16" s="152" t="s">
        <v>137</v>
      </c>
      <c r="D16" s="152" t="s">
        <v>97</v>
      </c>
      <c r="E16" s="84"/>
      <c r="F16" s="199">
        <v>0</v>
      </c>
      <c r="G16" s="199">
        <v>373.33915068493155</v>
      </c>
      <c r="H16" s="199">
        <v>0</v>
      </c>
      <c r="I16" s="199">
        <v>0</v>
      </c>
      <c r="J16" s="199">
        <v>344.60539283456285</v>
      </c>
      <c r="K16" s="199">
        <v>0</v>
      </c>
      <c r="L16" s="199">
        <v>0</v>
      </c>
      <c r="M16" s="199">
        <v>392.24974583772416</v>
      </c>
      <c r="N16" s="199">
        <v>0</v>
      </c>
      <c r="O16" s="199">
        <v>0</v>
      </c>
      <c r="P16" s="199">
        <v>432.69175827186535</v>
      </c>
      <c r="Q16" s="199">
        <v>0</v>
      </c>
      <c r="R16" s="199">
        <v>0</v>
      </c>
      <c r="S16" s="199">
        <v>367.92958844624252</v>
      </c>
      <c r="T16" s="199">
        <v>0</v>
      </c>
      <c r="U16" s="199">
        <v>0</v>
      </c>
      <c r="V16" s="199">
        <v>276.29067192439408</v>
      </c>
      <c r="W16" s="199">
        <v>0</v>
      </c>
      <c r="X16" s="199">
        <v>0</v>
      </c>
      <c r="Y16" s="199">
        <v>189.7469066272995</v>
      </c>
      <c r="Z16" s="199">
        <v>0</v>
      </c>
      <c r="AA16" s="199">
        <v>0</v>
      </c>
      <c r="AB16" s="199">
        <v>120.38710758482331</v>
      </c>
      <c r="AC16" s="199">
        <v>0</v>
      </c>
    </row>
    <row r="17" spans="1:29" x14ac:dyDescent="0.3">
      <c r="A17" s="118"/>
      <c r="B17" s="152" t="s">
        <v>145</v>
      </c>
      <c r="C17" s="152" t="s">
        <v>146</v>
      </c>
      <c r="D17" s="152" t="s">
        <v>97</v>
      </c>
      <c r="E17" s="84"/>
      <c r="F17" s="199">
        <v>0</v>
      </c>
      <c r="G17" s="199">
        <v>0</v>
      </c>
      <c r="H17" s="199">
        <v>1003.988659497015</v>
      </c>
      <c r="I17" s="199">
        <v>0</v>
      </c>
      <c r="J17" s="199">
        <v>0</v>
      </c>
      <c r="K17" s="199">
        <v>1151.8758013615277</v>
      </c>
      <c r="L17" s="199">
        <v>0</v>
      </c>
      <c r="M17" s="199">
        <v>0</v>
      </c>
      <c r="N17" s="199">
        <v>0</v>
      </c>
      <c r="O17" s="199">
        <v>0</v>
      </c>
      <c r="P17" s="199">
        <v>0</v>
      </c>
      <c r="Q17" s="199">
        <v>0</v>
      </c>
      <c r="R17" s="199">
        <v>0</v>
      </c>
      <c r="S17" s="199">
        <v>0</v>
      </c>
      <c r="T17" s="199">
        <v>0</v>
      </c>
      <c r="U17" s="199">
        <v>0</v>
      </c>
      <c r="V17" s="199">
        <v>0</v>
      </c>
      <c r="W17" s="199">
        <v>0</v>
      </c>
      <c r="X17" s="199">
        <v>0</v>
      </c>
      <c r="Y17" s="199">
        <v>0</v>
      </c>
      <c r="Z17" s="199">
        <v>0</v>
      </c>
      <c r="AA17" s="199">
        <v>0</v>
      </c>
      <c r="AB17" s="199">
        <v>0</v>
      </c>
      <c r="AC17" s="199">
        <v>0</v>
      </c>
    </row>
    <row r="18" spans="1:29" x14ac:dyDescent="0.3">
      <c r="A18" s="118"/>
      <c r="B18" s="152" t="s">
        <v>38</v>
      </c>
      <c r="C18" s="152" t="s">
        <v>39</v>
      </c>
      <c r="D18" s="152" t="s">
        <v>97</v>
      </c>
      <c r="E18" s="84"/>
      <c r="F18" s="199">
        <v>0</v>
      </c>
      <c r="G18" s="199">
        <v>6.3071528110238484</v>
      </c>
      <c r="H18" s="199">
        <v>0</v>
      </c>
      <c r="I18" s="199">
        <v>0</v>
      </c>
      <c r="J18" s="199">
        <v>0</v>
      </c>
      <c r="K18" s="199">
        <v>0</v>
      </c>
      <c r="L18" s="199">
        <v>0</v>
      </c>
      <c r="M18" s="199">
        <v>6.1018556804500372</v>
      </c>
      <c r="N18" s="199">
        <v>0</v>
      </c>
      <c r="O18" s="199">
        <v>0</v>
      </c>
      <c r="P18" s="199">
        <v>0</v>
      </c>
      <c r="Q18" s="199">
        <v>0</v>
      </c>
      <c r="R18" s="199">
        <v>0</v>
      </c>
      <c r="S18" s="199">
        <v>7.1375116168927271</v>
      </c>
      <c r="T18" s="199">
        <v>0</v>
      </c>
      <c r="U18" s="199">
        <v>0</v>
      </c>
      <c r="V18" s="199">
        <v>0</v>
      </c>
      <c r="W18" s="199">
        <v>0</v>
      </c>
      <c r="X18" s="199">
        <v>0</v>
      </c>
      <c r="Y18" s="199">
        <v>5.7456504187866297</v>
      </c>
      <c r="Z18" s="199">
        <v>0</v>
      </c>
      <c r="AA18" s="199">
        <v>0</v>
      </c>
      <c r="AB18" s="199">
        <v>0</v>
      </c>
      <c r="AC18" s="199">
        <v>0</v>
      </c>
    </row>
    <row r="19" spans="1:29" x14ac:dyDescent="0.3">
      <c r="A19" s="118"/>
      <c r="B19" s="152" t="s">
        <v>7</v>
      </c>
      <c r="C19" s="152" t="s">
        <v>8</v>
      </c>
      <c r="D19" s="152" t="s">
        <v>93</v>
      </c>
      <c r="E19" s="84"/>
      <c r="F19" s="199">
        <v>5.0932654900000003</v>
      </c>
      <c r="G19" s="199">
        <v>5.6819075899999998</v>
      </c>
      <c r="H19" s="199">
        <v>5.1888441899999993</v>
      </c>
      <c r="I19" s="199">
        <v>5.52842023</v>
      </c>
      <c r="J19" s="199">
        <v>4.9588939799999991</v>
      </c>
      <c r="K19" s="199">
        <v>5.3966989999999999</v>
      </c>
      <c r="L19" s="199">
        <v>6.0753827600000001</v>
      </c>
      <c r="M19" s="199">
        <v>5.8214331699999997</v>
      </c>
      <c r="N19" s="199">
        <v>6.44669881</v>
      </c>
      <c r="O19" s="199">
        <v>4.90717873</v>
      </c>
      <c r="P19" s="199">
        <v>5.57391857</v>
      </c>
      <c r="Q19" s="199">
        <v>5.82520361</v>
      </c>
      <c r="R19" s="199">
        <v>4.2747693399999998</v>
      </c>
      <c r="S19" s="199">
        <v>4.2595023099999993</v>
      </c>
      <c r="T19" s="199">
        <v>3.54195174</v>
      </c>
      <c r="U19" s="199">
        <v>4.2817165300000006</v>
      </c>
      <c r="V19" s="199">
        <v>3.5516542700000002</v>
      </c>
      <c r="W19" s="199">
        <v>3.0583689500000002</v>
      </c>
      <c r="X19" s="199">
        <v>2.32358916</v>
      </c>
      <c r="Y19" s="199">
        <v>1.8007816000000001</v>
      </c>
      <c r="Z19" s="199">
        <v>1.20052107</v>
      </c>
      <c r="AA19" s="199">
        <v>0.56985219999999992</v>
      </c>
      <c r="AB19" s="199">
        <v>0</v>
      </c>
      <c r="AC19" s="199">
        <v>0</v>
      </c>
    </row>
    <row r="20" spans="1:29" x14ac:dyDescent="0.3">
      <c r="A20" s="118"/>
      <c r="B20" s="152" t="s">
        <v>9</v>
      </c>
      <c r="C20" s="152" t="s">
        <v>10</v>
      </c>
      <c r="D20" s="152" t="s">
        <v>93</v>
      </c>
      <c r="E20" s="84"/>
      <c r="F20" s="199">
        <v>2.5377089494009866</v>
      </c>
      <c r="G20" s="199">
        <v>2.771698385728834</v>
      </c>
      <c r="H20" s="199">
        <v>2.4678879191364369</v>
      </c>
      <c r="I20" s="199">
        <v>2.5816302067919272</v>
      </c>
      <c r="J20" s="199">
        <v>2.3026885435200035</v>
      </c>
      <c r="K20" s="199">
        <v>2.4205613983613512</v>
      </c>
      <c r="L20" s="199">
        <v>2.653998352212334</v>
      </c>
      <c r="M20" s="199">
        <v>2.5208944992372659</v>
      </c>
      <c r="N20" s="199">
        <v>2.7188703700000003</v>
      </c>
      <c r="O20" s="199">
        <v>1.9036227400000003</v>
      </c>
      <c r="P20" s="199">
        <v>2.06170784</v>
      </c>
      <c r="Q20" s="199">
        <v>2.1442088900000003</v>
      </c>
      <c r="R20" s="199">
        <v>1.6282673323903794</v>
      </c>
      <c r="S20" s="199">
        <v>1.7318132539253022</v>
      </c>
      <c r="T20" s="199">
        <v>1.5537517068898268</v>
      </c>
      <c r="U20" s="199">
        <v>2.0549554140514807</v>
      </c>
      <c r="V20" s="199">
        <v>1.8999971694199784</v>
      </c>
      <c r="W20" s="199">
        <v>1.8717148145938465</v>
      </c>
      <c r="X20" s="199">
        <v>1.6905433645606927</v>
      </c>
      <c r="Y20" s="199">
        <v>1.6570113855138024</v>
      </c>
      <c r="Z20" s="199">
        <v>1.5671420460085921</v>
      </c>
      <c r="AA20" s="199">
        <v>1.4024517651660338</v>
      </c>
      <c r="AB20" s="199">
        <v>1.3610745959395831</v>
      </c>
      <c r="AC20" s="199">
        <v>1.2319079313594816</v>
      </c>
    </row>
    <row r="21" spans="1:29" x14ac:dyDescent="0.3">
      <c r="A21" s="118"/>
      <c r="B21" s="152" t="s">
        <v>13</v>
      </c>
      <c r="C21" s="152" t="s">
        <v>14</v>
      </c>
      <c r="D21" s="152" t="s">
        <v>93</v>
      </c>
      <c r="E21" s="84"/>
      <c r="F21" s="199">
        <v>0.2620729052313488</v>
      </c>
      <c r="G21" s="199">
        <v>0.2885761</v>
      </c>
      <c r="H21" s="199">
        <v>0.25674651636270246</v>
      </c>
      <c r="I21" s="199">
        <v>0.28879441376958953</v>
      </c>
      <c r="J21" s="199">
        <v>0.25814017806626671</v>
      </c>
      <c r="K21" s="199">
        <v>0.27110498999999999</v>
      </c>
      <c r="L21" s="199">
        <v>0.26609165980973332</v>
      </c>
      <c r="M21" s="199">
        <v>0.20791136416850001</v>
      </c>
      <c r="N21" s="199">
        <v>0.22399031911529169</v>
      </c>
      <c r="O21" s="199">
        <v>0.18591544987413333</v>
      </c>
      <c r="P21" s="199">
        <v>0.22492967749066664</v>
      </c>
      <c r="Q21" s="199">
        <v>0.23360956463999999</v>
      </c>
      <c r="R21" s="199">
        <v>0.19059054575866666</v>
      </c>
      <c r="S21" s="199">
        <v>0.24076538614502987</v>
      </c>
      <c r="T21" s="199">
        <v>0.21584746313668551</v>
      </c>
      <c r="U21" s="199">
        <v>0.22070160400926331</v>
      </c>
      <c r="V21" s="199">
        <v>0.20011655927472261</v>
      </c>
      <c r="W21" s="199">
        <v>0.19694010597701231</v>
      </c>
      <c r="X21" s="199">
        <v>0.18105783939046252</v>
      </c>
      <c r="Y21" s="199">
        <v>0.17391815112215689</v>
      </c>
      <c r="Z21" s="199">
        <v>0.16425603164297137</v>
      </c>
      <c r="AA21" s="199">
        <v>0.1496070117714057</v>
      </c>
      <c r="AB21" s="199">
        <v>0.14215850575986033</v>
      </c>
      <c r="AC21" s="199">
        <v>0.12840123104034556</v>
      </c>
    </row>
    <row r="22" spans="1:29" x14ac:dyDescent="0.3">
      <c r="A22" s="118"/>
      <c r="B22" s="152" t="s">
        <v>217</v>
      </c>
      <c r="C22" s="152" t="s">
        <v>216</v>
      </c>
      <c r="D22" s="152" t="s">
        <v>93</v>
      </c>
      <c r="E22" s="84"/>
      <c r="F22" s="199">
        <v>0</v>
      </c>
      <c r="G22" s="199">
        <v>0</v>
      </c>
      <c r="H22" s="199">
        <v>0</v>
      </c>
      <c r="I22" s="199">
        <v>0</v>
      </c>
      <c r="J22" s="199">
        <v>0</v>
      </c>
      <c r="K22" s="199">
        <v>0</v>
      </c>
      <c r="L22" s="199">
        <v>0</v>
      </c>
      <c r="M22" s="199">
        <v>0</v>
      </c>
      <c r="N22" s="199">
        <v>0</v>
      </c>
      <c r="O22" s="199">
        <v>2.4763235400000001</v>
      </c>
      <c r="P22" s="199">
        <v>2.0094380913624845</v>
      </c>
      <c r="Q22" s="199">
        <v>2.289583103515155</v>
      </c>
      <c r="R22" s="199">
        <v>1.9426765641946773</v>
      </c>
      <c r="S22" s="199">
        <v>2.1508204817869641</v>
      </c>
      <c r="T22" s="199">
        <v>2.4002381086020774</v>
      </c>
      <c r="U22" s="199">
        <v>2.5657717712642896</v>
      </c>
      <c r="V22" s="199">
        <v>2.4830049399331835</v>
      </c>
      <c r="W22" s="199">
        <v>2.5181928079735423</v>
      </c>
      <c r="X22" s="199">
        <v>2.43696078190988</v>
      </c>
      <c r="Y22" s="199">
        <v>2.5181928079735423</v>
      </c>
      <c r="Z22" s="199">
        <v>2.4706138446827959</v>
      </c>
      <c r="AA22" s="199">
        <v>2.3909166238865769</v>
      </c>
      <c r="AB22" s="199">
        <v>2.4477377905653621</v>
      </c>
      <c r="AC22" s="199">
        <v>2.3231606837719463</v>
      </c>
    </row>
    <row r="23" spans="1:29" x14ac:dyDescent="0.3">
      <c r="A23" s="118"/>
      <c r="B23" s="152" t="s">
        <v>154</v>
      </c>
      <c r="C23" s="152" t="s">
        <v>155</v>
      </c>
      <c r="D23" s="152" t="s">
        <v>94</v>
      </c>
      <c r="E23" s="84"/>
      <c r="F23" s="199">
        <v>1092.9143824758544</v>
      </c>
      <c r="G23" s="199">
        <v>1133.3654695399207</v>
      </c>
      <c r="H23" s="199">
        <v>1002.24344868</v>
      </c>
      <c r="I23" s="199">
        <v>1113.5894923825081</v>
      </c>
      <c r="J23" s="199">
        <v>1108.5130560104412</v>
      </c>
      <c r="K23" s="199">
        <v>1198.3733582172088</v>
      </c>
      <c r="L23" s="199">
        <v>1244.7250346221542</v>
      </c>
      <c r="M23" s="199">
        <v>1335.62151797</v>
      </c>
      <c r="N23" s="199">
        <v>1339.8842497211181</v>
      </c>
      <c r="O23" s="199">
        <v>1468.8159047435795</v>
      </c>
      <c r="P23" s="199">
        <v>1513.1290166332531</v>
      </c>
      <c r="Q23" s="199">
        <v>1688.3883789969327</v>
      </c>
      <c r="R23" s="199">
        <v>1602.5806222670271</v>
      </c>
      <c r="S23" s="199">
        <v>1364.1233303104984</v>
      </c>
      <c r="T23" s="199">
        <v>1237.8176544567511</v>
      </c>
      <c r="U23" s="199">
        <v>1296.2067551217472</v>
      </c>
      <c r="V23" s="199">
        <v>1224.4394625850323</v>
      </c>
      <c r="W23" s="199">
        <v>1203.8426511622458</v>
      </c>
      <c r="X23" s="199">
        <v>1063.4704519794082</v>
      </c>
      <c r="Y23" s="199">
        <v>963.87887831812861</v>
      </c>
      <c r="Z23" s="199">
        <v>887.73377629198637</v>
      </c>
      <c r="AA23" s="199">
        <v>790.57952600825934</v>
      </c>
      <c r="AB23" s="199">
        <v>751.11955773700129</v>
      </c>
      <c r="AC23" s="199">
        <v>667.70703501698858</v>
      </c>
    </row>
    <row r="24" spans="1:29" customFormat="1" ht="6.75" customHeight="1" x14ac:dyDescent="0.3">
      <c r="B24" s="19"/>
      <c r="C24" s="13"/>
      <c r="D24" s="13"/>
      <c r="E24" s="20"/>
    </row>
    <row r="25" spans="1:29" ht="28.5" customHeight="1" x14ac:dyDescent="0.3">
      <c r="B25" s="238" t="s">
        <v>126</v>
      </c>
      <c r="C25" s="238"/>
      <c r="D25" s="238"/>
      <c r="E25" s="3"/>
      <c r="F25" s="82">
        <f t="shared" ref="F25:Q25" si="2">+SUM(F7:F23)</f>
        <v>1342.9785868998661</v>
      </c>
      <c r="G25" s="82">
        <f t="shared" si="2"/>
        <v>1612.4590032962594</v>
      </c>
      <c r="H25" s="82">
        <f t="shared" si="2"/>
        <v>2939.3185848081694</v>
      </c>
      <c r="I25" s="82">
        <f t="shared" si="2"/>
        <v>1207.2483557480591</v>
      </c>
      <c r="J25" s="82">
        <f t="shared" si="2"/>
        <v>1532.014669400512</v>
      </c>
      <c r="K25" s="82">
        <f t="shared" si="2"/>
        <v>3549.1204859126219</v>
      </c>
      <c r="L25" s="82">
        <f t="shared" si="2"/>
        <v>1311.297617335563</v>
      </c>
      <c r="M25" s="82">
        <f t="shared" si="2"/>
        <v>1776.1538131717796</v>
      </c>
      <c r="N25" s="82">
        <f t="shared" si="2"/>
        <v>4518.240316378171</v>
      </c>
      <c r="O25" s="82">
        <f t="shared" si="2"/>
        <v>1505.8656681208331</v>
      </c>
      <c r="P25" s="82">
        <f t="shared" si="2"/>
        <v>1955.8497415876029</v>
      </c>
      <c r="Q25" s="82">
        <f t="shared" si="2"/>
        <v>5531.3842681398546</v>
      </c>
      <c r="R25" s="82">
        <f t="shared" ref="R25:AC25" si="3">+SUM(R7:R23)</f>
        <v>1627.7673194393708</v>
      </c>
      <c r="S25" s="82">
        <f t="shared" si="3"/>
        <v>1747.5733318054909</v>
      </c>
      <c r="T25" s="82">
        <f t="shared" si="3"/>
        <v>4190.5185589392049</v>
      </c>
      <c r="U25" s="82">
        <f t="shared" si="3"/>
        <v>1321.4078440710723</v>
      </c>
      <c r="V25" s="82">
        <f t="shared" si="3"/>
        <v>1508.8649074480543</v>
      </c>
      <c r="W25" s="82">
        <f t="shared" si="3"/>
        <v>3901.2358965575795</v>
      </c>
      <c r="X25" s="82">
        <f t="shared" si="3"/>
        <v>1082.1557668652692</v>
      </c>
      <c r="Y25" s="82">
        <f t="shared" si="3"/>
        <v>1165.5213393088243</v>
      </c>
      <c r="Z25" s="82">
        <f t="shared" si="3"/>
        <v>2691.1695389214128</v>
      </c>
      <c r="AA25" s="82">
        <f t="shared" si="3"/>
        <v>804.00038936908334</v>
      </c>
      <c r="AB25" s="82">
        <f t="shared" si="3"/>
        <v>875.45763621408946</v>
      </c>
      <c r="AC25" s="82">
        <f t="shared" si="3"/>
        <v>2085.3754711076454</v>
      </c>
    </row>
    <row r="26" spans="1:29" ht="16.5" customHeight="1" x14ac:dyDescent="0.3">
      <c r="B26" s="239" t="s">
        <v>138</v>
      </c>
      <c r="C26" s="239"/>
      <c r="D26" s="239"/>
      <c r="F26" s="7"/>
      <c r="G26" s="7"/>
      <c r="H26" s="7"/>
      <c r="I26" s="7"/>
      <c r="J26" s="7"/>
      <c r="K26" s="7"/>
      <c r="L26" s="7"/>
      <c r="M26" s="7"/>
      <c r="N26" s="7"/>
      <c r="O26" s="7"/>
      <c r="P26" s="7"/>
      <c r="Q26" s="7"/>
      <c r="R26" s="7"/>
      <c r="S26" s="7"/>
      <c r="T26" s="7"/>
      <c r="U26" s="7"/>
      <c r="V26" s="7"/>
      <c r="W26" s="7"/>
      <c r="X26" s="7"/>
      <c r="Y26" s="7"/>
      <c r="Z26" s="7"/>
      <c r="AA26" s="7"/>
      <c r="AB26" s="7"/>
      <c r="AC26" s="7"/>
    </row>
    <row r="27" spans="1:29" x14ac:dyDescent="0.3">
      <c r="B27" s="239"/>
      <c r="C27" s="239"/>
      <c r="D27" s="239"/>
    </row>
    <row r="28" spans="1:29" x14ac:dyDescent="0.3">
      <c r="B28" s="104"/>
      <c r="C28" s="104"/>
      <c r="D28" s="104"/>
    </row>
    <row r="29" spans="1:29" x14ac:dyDescent="0.3">
      <c r="B29" s="104"/>
      <c r="C29" s="104"/>
      <c r="D29" s="104"/>
    </row>
    <row r="30" spans="1:29" x14ac:dyDescent="0.3">
      <c r="B30" s="104"/>
      <c r="C30" s="104"/>
      <c r="D30" s="104"/>
    </row>
    <row r="31" spans="1:29" x14ac:dyDescent="0.3">
      <c r="B31" s="104"/>
      <c r="C31" s="104"/>
      <c r="D31" s="104"/>
    </row>
    <row r="32" spans="1:29" x14ac:dyDescent="0.3">
      <c r="B32" s="104"/>
      <c r="C32" s="104"/>
      <c r="D32" s="104"/>
    </row>
    <row r="33" spans="1:29" ht="30.75" customHeight="1" x14ac:dyDescent="0.3">
      <c r="B33" s="237" t="s">
        <v>102</v>
      </c>
      <c r="C33" s="237"/>
      <c r="D33" s="237"/>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row>
    <row r="34" spans="1:29" x14ac:dyDescent="0.3">
      <c r="B34" s="240" t="s">
        <v>0</v>
      </c>
      <c r="C34" s="215" t="s">
        <v>1</v>
      </c>
      <c r="D34" s="215" t="s">
        <v>99</v>
      </c>
      <c r="F34" s="6">
        <v>2023</v>
      </c>
      <c r="G34" s="6">
        <v>2023</v>
      </c>
      <c r="H34" s="6">
        <v>2023</v>
      </c>
      <c r="I34" s="6">
        <v>2023</v>
      </c>
      <c r="J34" s="6">
        <v>2023</v>
      </c>
      <c r="K34" s="6">
        <v>2023</v>
      </c>
      <c r="L34" s="6">
        <v>2023</v>
      </c>
      <c r="M34" s="6">
        <v>2023</v>
      </c>
      <c r="N34" s="6">
        <v>2023</v>
      </c>
      <c r="O34" s="6">
        <v>2023</v>
      </c>
      <c r="P34" s="6">
        <v>2023</v>
      </c>
      <c r="Q34" s="6">
        <v>2023</v>
      </c>
      <c r="R34" s="6">
        <v>2024</v>
      </c>
      <c r="S34" s="6">
        <v>2024</v>
      </c>
      <c r="T34" s="6">
        <v>2024</v>
      </c>
      <c r="U34" s="6">
        <v>2024</v>
      </c>
      <c r="V34" s="6">
        <v>2024</v>
      </c>
      <c r="W34" s="6">
        <v>2024</v>
      </c>
      <c r="X34" s="6">
        <v>2024</v>
      </c>
      <c r="Y34" s="6">
        <v>2024</v>
      </c>
      <c r="Z34" s="6">
        <v>2024</v>
      </c>
      <c r="AA34" s="6">
        <v>2024</v>
      </c>
      <c r="AB34" s="6">
        <v>2024</v>
      </c>
      <c r="AC34" s="6">
        <v>2024</v>
      </c>
    </row>
    <row r="35" spans="1:29" x14ac:dyDescent="0.3">
      <c r="B35" s="241"/>
      <c r="C35" s="216"/>
      <c r="D35" s="216"/>
      <c r="F35" s="6">
        <v>1</v>
      </c>
      <c r="G35" s="6">
        <f>+F35+1</f>
        <v>2</v>
      </c>
      <c r="H35" s="6">
        <f t="shared" ref="H35:Q35" si="4">+G35+1</f>
        <v>3</v>
      </c>
      <c r="I35" s="6">
        <f t="shared" si="4"/>
        <v>4</v>
      </c>
      <c r="J35" s="6">
        <f t="shared" si="4"/>
        <v>5</v>
      </c>
      <c r="K35" s="6">
        <f t="shared" si="4"/>
        <v>6</v>
      </c>
      <c r="L35" s="6">
        <f t="shared" si="4"/>
        <v>7</v>
      </c>
      <c r="M35" s="6">
        <f t="shared" si="4"/>
        <v>8</v>
      </c>
      <c r="N35" s="6">
        <f t="shared" si="4"/>
        <v>9</v>
      </c>
      <c r="O35" s="6">
        <f t="shared" si="4"/>
        <v>10</v>
      </c>
      <c r="P35" s="6">
        <f t="shared" si="4"/>
        <v>11</v>
      </c>
      <c r="Q35" s="6">
        <f t="shared" si="4"/>
        <v>12</v>
      </c>
      <c r="R35" s="6">
        <v>1</v>
      </c>
      <c r="S35" s="6">
        <f>+R35+1</f>
        <v>2</v>
      </c>
      <c r="T35" s="6">
        <f t="shared" ref="T35" si="5">+S35+1</f>
        <v>3</v>
      </c>
      <c r="U35" s="6">
        <f t="shared" ref="U35" si="6">+T35+1</f>
        <v>4</v>
      </c>
      <c r="V35" s="6">
        <f t="shared" ref="V35" si="7">+U35+1</f>
        <v>5</v>
      </c>
      <c r="W35" s="6">
        <f t="shared" ref="W35" si="8">+V35+1</f>
        <v>6</v>
      </c>
      <c r="X35" s="6">
        <f t="shared" ref="X35" si="9">+W35+1</f>
        <v>7</v>
      </c>
      <c r="Y35" s="6">
        <f t="shared" ref="Y35" si="10">+X35+1</f>
        <v>8</v>
      </c>
      <c r="Z35" s="6">
        <f t="shared" ref="Z35" si="11">+Y35+1</f>
        <v>9</v>
      </c>
      <c r="AA35" s="6">
        <f t="shared" ref="AA35" si="12">+Z35+1</f>
        <v>10</v>
      </c>
      <c r="AB35" s="6">
        <f t="shared" ref="AB35" si="13">+AA35+1</f>
        <v>11</v>
      </c>
      <c r="AC35" s="6">
        <f t="shared" ref="AC35" si="14">+AB35+1</f>
        <v>12</v>
      </c>
    </row>
    <row r="36" spans="1:29" x14ac:dyDescent="0.3">
      <c r="A36" s="22" t="s">
        <v>44</v>
      </c>
      <c r="B36" s="9" t="s">
        <v>17</v>
      </c>
      <c r="C36" s="9" t="s">
        <v>18</v>
      </c>
      <c r="D36" s="9" t="s">
        <v>96</v>
      </c>
      <c r="E36" s="84"/>
      <c r="F36" s="15">
        <v>0</v>
      </c>
      <c r="G36" s="15">
        <v>0</v>
      </c>
      <c r="H36" s="15">
        <v>0</v>
      </c>
      <c r="I36" s="15">
        <v>0</v>
      </c>
      <c r="J36" s="15">
        <v>0</v>
      </c>
      <c r="K36" s="15">
        <v>0.93793651</v>
      </c>
      <c r="L36" s="15">
        <v>0</v>
      </c>
      <c r="M36" s="15">
        <v>0</v>
      </c>
      <c r="N36" s="15">
        <v>0</v>
      </c>
      <c r="O36" s="15">
        <v>0</v>
      </c>
      <c r="P36" s="15">
        <v>0</v>
      </c>
      <c r="Q36" s="15">
        <v>0.95949486986995636</v>
      </c>
      <c r="R36" s="15">
        <v>0</v>
      </c>
      <c r="S36" s="15">
        <v>0</v>
      </c>
      <c r="T36" s="15">
        <v>0</v>
      </c>
      <c r="U36" s="15">
        <v>0</v>
      </c>
      <c r="V36" s="15">
        <v>0</v>
      </c>
      <c r="W36" s="15">
        <v>1.2061738574110501</v>
      </c>
      <c r="X36" s="15">
        <v>0</v>
      </c>
      <c r="Y36" s="15">
        <v>0</v>
      </c>
      <c r="Z36" s="15">
        <v>0</v>
      </c>
      <c r="AA36" s="15">
        <v>0</v>
      </c>
      <c r="AB36" s="15">
        <v>0</v>
      </c>
      <c r="AC36" s="15">
        <v>1.0929570958826589</v>
      </c>
    </row>
    <row r="37" spans="1:29" x14ac:dyDescent="0.3">
      <c r="A37" s="22" t="s">
        <v>44</v>
      </c>
      <c r="B37" s="9" t="s">
        <v>23</v>
      </c>
      <c r="C37" s="9" t="s">
        <v>24</v>
      </c>
      <c r="D37" s="9" t="s">
        <v>96</v>
      </c>
      <c r="E37" s="84"/>
      <c r="F37" s="15">
        <v>0</v>
      </c>
      <c r="G37" s="15">
        <v>1.0604262999999996</v>
      </c>
      <c r="H37" s="15">
        <v>0</v>
      </c>
      <c r="I37" s="15">
        <v>0</v>
      </c>
      <c r="J37" s="15">
        <v>0</v>
      </c>
      <c r="K37" s="15">
        <v>0</v>
      </c>
      <c r="L37" s="15">
        <v>0</v>
      </c>
      <c r="M37" s="15">
        <v>1.3620251299999999</v>
      </c>
      <c r="N37" s="15">
        <v>0</v>
      </c>
      <c r="O37" s="15">
        <v>0</v>
      </c>
      <c r="P37" s="15">
        <v>0</v>
      </c>
      <c r="Q37" s="15">
        <v>0</v>
      </c>
      <c r="R37" s="15">
        <v>0</v>
      </c>
      <c r="S37" s="15">
        <v>1.4186179391468983</v>
      </c>
      <c r="T37" s="15">
        <v>0</v>
      </c>
      <c r="U37" s="15">
        <v>0</v>
      </c>
      <c r="V37" s="15">
        <v>0</v>
      </c>
      <c r="W37" s="15">
        <v>0</v>
      </c>
      <c r="X37" s="15">
        <v>0</v>
      </c>
      <c r="Y37" s="15">
        <v>1.2907574025034461</v>
      </c>
      <c r="Z37" s="15">
        <v>0</v>
      </c>
      <c r="AA37" s="15">
        <v>0</v>
      </c>
      <c r="AB37" s="15">
        <v>0</v>
      </c>
      <c r="AC37" s="15">
        <v>0</v>
      </c>
    </row>
    <row r="38" spans="1:29" x14ac:dyDescent="0.3">
      <c r="A38" s="22" t="s">
        <v>44</v>
      </c>
      <c r="B38" s="9" t="s">
        <v>19</v>
      </c>
      <c r="C38" s="9" t="s">
        <v>20</v>
      </c>
      <c r="D38" s="9" t="s">
        <v>96</v>
      </c>
      <c r="E38" s="84"/>
      <c r="F38" s="15">
        <v>0</v>
      </c>
      <c r="G38" s="15">
        <v>0</v>
      </c>
      <c r="H38" s="15">
        <v>0</v>
      </c>
      <c r="I38" s="15">
        <v>0.45644593999999999</v>
      </c>
      <c r="J38" s="15">
        <v>0</v>
      </c>
      <c r="K38" s="15">
        <v>0</v>
      </c>
      <c r="L38" s="15">
        <v>0</v>
      </c>
      <c r="M38" s="15">
        <v>0</v>
      </c>
      <c r="N38" s="15">
        <v>0</v>
      </c>
      <c r="O38" s="15">
        <v>0.43407166999999997</v>
      </c>
      <c r="P38" s="15">
        <v>0</v>
      </c>
      <c r="Q38" s="15">
        <v>0</v>
      </c>
      <c r="R38" s="15">
        <v>0</v>
      </c>
      <c r="S38" s="15">
        <v>0</v>
      </c>
      <c r="T38" s="15">
        <v>0</v>
      </c>
      <c r="U38" s="15">
        <v>1.03213098</v>
      </c>
      <c r="V38" s="15">
        <v>0</v>
      </c>
      <c r="W38" s="15">
        <v>0</v>
      </c>
      <c r="X38" s="15">
        <v>0</v>
      </c>
      <c r="Y38" s="15">
        <v>0</v>
      </c>
      <c r="Z38" s="15">
        <v>0</v>
      </c>
      <c r="AA38" s="15">
        <v>0.93237875999999997</v>
      </c>
      <c r="AB38" s="15">
        <v>0</v>
      </c>
      <c r="AC38" s="15">
        <v>0</v>
      </c>
    </row>
    <row r="39" spans="1:29" x14ac:dyDescent="0.3">
      <c r="A39" s="22" t="s">
        <v>44</v>
      </c>
      <c r="B39" s="9" t="s">
        <v>21</v>
      </c>
      <c r="C39" s="9" t="s">
        <v>22</v>
      </c>
      <c r="D39" s="9" t="s">
        <v>96</v>
      </c>
      <c r="E39" s="84"/>
      <c r="F39" s="15">
        <v>0</v>
      </c>
      <c r="G39" s="15">
        <v>0.37332634999999992</v>
      </c>
      <c r="H39" s="15">
        <v>0</v>
      </c>
      <c r="I39" s="15">
        <v>0</v>
      </c>
      <c r="J39" s="15">
        <v>0</v>
      </c>
      <c r="K39" s="15">
        <v>0</v>
      </c>
      <c r="L39" s="15">
        <v>0</v>
      </c>
      <c r="M39" s="15">
        <v>0.38073953000000005</v>
      </c>
      <c r="N39" s="15">
        <v>0</v>
      </c>
      <c r="O39" s="15">
        <v>0</v>
      </c>
      <c r="P39" s="15">
        <v>0</v>
      </c>
      <c r="Q39" s="15">
        <v>0</v>
      </c>
      <c r="R39" s="15">
        <v>0</v>
      </c>
      <c r="S39" s="15">
        <v>0.32450803145514745</v>
      </c>
      <c r="T39" s="15">
        <v>0</v>
      </c>
      <c r="U39" s="15">
        <v>0</v>
      </c>
      <c r="V39" s="15">
        <v>0</v>
      </c>
      <c r="W39" s="15">
        <v>0</v>
      </c>
      <c r="X39" s="15">
        <v>0</v>
      </c>
      <c r="Y39" s="15">
        <v>0.2312326900345166</v>
      </c>
      <c r="Z39" s="15">
        <v>0</v>
      </c>
      <c r="AA39" s="15">
        <v>0</v>
      </c>
      <c r="AB39" s="15">
        <v>0</v>
      </c>
      <c r="AC39" s="15">
        <v>0</v>
      </c>
    </row>
    <row r="40" spans="1:29" x14ac:dyDescent="0.3">
      <c r="A40" s="22" t="s">
        <v>44</v>
      </c>
      <c r="B40" s="9" t="s">
        <v>27</v>
      </c>
      <c r="C40" s="9" t="s">
        <v>28</v>
      </c>
      <c r="D40" s="9" t="s">
        <v>96</v>
      </c>
      <c r="E40" s="84"/>
      <c r="F40" s="15">
        <v>0</v>
      </c>
      <c r="G40" s="15">
        <v>0</v>
      </c>
      <c r="H40" s="15">
        <v>0</v>
      </c>
      <c r="I40" s="15">
        <v>0.2150245099999995</v>
      </c>
      <c r="J40" s="15">
        <v>0</v>
      </c>
      <c r="K40" s="15">
        <v>0</v>
      </c>
      <c r="L40" s="15">
        <v>0</v>
      </c>
      <c r="M40" s="15">
        <v>0</v>
      </c>
      <c r="N40" s="15">
        <v>0</v>
      </c>
      <c r="O40" s="15">
        <v>0.40370710999999998</v>
      </c>
      <c r="P40" s="15">
        <v>0</v>
      </c>
      <c r="Q40" s="15">
        <v>0</v>
      </c>
      <c r="R40" s="15">
        <v>0</v>
      </c>
      <c r="S40" s="15">
        <v>0</v>
      </c>
      <c r="T40" s="15">
        <v>0</v>
      </c>
      <c r="U40" s="15">
        <v>0.41706165078659874</v>
      </c>
      <c r="V40" s="15">
        <v>0</v>
      </c>
      <c r="W40" s="15">
        <v>0</v>
      </c>
      <c r="X40" s="15">
        <v>0</v>
      </c>
      <c r="Y40" s="15">
        <v>0</v>
      </c>
      <c r="Z40" s="15">
        <v>0</v>
      </c>
      <c r="AA40" s="15">
        <v>0.42789419246781518</v>
      </c>
      <c r="AB40" s="15">
        <v>0</v>
      </c>
      <c r="AC40" s="15">
        <v>0</v>
      </c>
    </row>
    <row r="41" spans="1:29" x14ac:dyDescent="0.3">
      <c r="A41" s="22" t="s">
        <v>44</v>
      </c>
      <c r="B41" s="9" t="s">
        <v>25</v>
      </c>
      <c r="C41" s="9" t="s">
        <v>26</v>
      </c>
      <c r="D41" s="9" t="s">
        <v>96</v>
      </c>
      <c r="E41" s="84"/>
      <c r="F41" s="15">
        <v>0</v>
      </c>
      <c r="G41" s="15">
        <v>0</v>
      </c>
      <c r="H41" s="15">
        <v>0</v>
      </c>
      <c r="I41" s="15">
        <v>0</v>
      </c>
      <c r="J41" s="15">
        <v>8.6261220000000013E-2</v>
      </c>
      <c r="K41" s="15">
        <v>0</v>
      </c>
      <c r="L41" s="15">
        <v>0</v>
      </c>
      <c r="M41" s="15">
        <v>0</v>
      </c>
      <c r="N41" s="15">
        <v>0</v>
      </c>
      <c r="O41" s="15">
        <v>0</v>
      </c>
      <c r="P41" s="15">
        <v>8.8886748304176713E-2</v>
      </c>
      <c r="Q41" s="15">
        <v>0</v>
      </c>
      <c r="R41" s="15">
        <v>0</v>
      </c>
      <c r="S41" s="15">
        <v>0</v>
      </c>
      <c r="T41" s="15">
        <v>0</v>
      </c>
      <c r="U41" s="15">
        <v>0</v>
      </c>
      <c r="V41" s="15">
        <v>0.13188880033648642</v>
      </c>
      <c r="W41" s="15">
        <v>0</v>
      </c>
      <c r="X41" s="15">
        <v>0</v>
      </c>
      <c r="Y41" s="15">
        <v>0</v>
      </c>
      <c r="Z41" s="15">
        <v>0</v>
      </c>
      <c r="AA41" s="15">
        <v>0</v>
      </c>
      <c r="AB41" s="15">
        <v>0.11990548609298461</v>
      </c>
      <c r="AC41" s="15">
        <v>0</v>
      </c>
    </row>
    <row r="42" spans="1:29" x14ac:dyDescent="0.3">
      <c r="A42" s="22" t="s">
        <v>44</v>
      </c>
      <c r="B42" s="9" t="s">
        <v>133</v>
      </c>
      <c r="C42" s="9" t="s">
        <v>134</v>
      </c>
      <c r="D42" s="9" t="s">
        <v>96</v>
      </c>
      <c r="E42" s="84"/>
      <c r="F42" s="202">
        <v>0</v>
      </c>
      <c r="G42" s="202">
        <v>0</v>
      </c>
      <c r="H42" s="202">
        <v>0</v>
      </c>
      <c r="I42" s="202">
        <v>0</v>
      </c>
      <c r="J42" s="202">
        <v>0.43767260999999996</v>
      </c>
      <c r="K42" s="202">
        <v>0</v>
      </c>
      <c r="L42" s="202">
        <v>0</v>
      </c>
      <c r="M42" s="202">
        <v>0</v>
      </c>
      <c r="N42" s="202">
        <v>0</v>
      </c>
      <c r="O42" s="202">
        <v>0</v>
      </c>
      <c r="P42" s="202">
        <v>0.80609313999999999</v>
      </c>
      <c r="Q42" s="202">
        <v>0</v>
      </c>
      <c r="R42" s="202">
        <v>0</v>
      </c>
      <c r="S42" s="202">
        <v>0</v>
      </c>
      <c r="T42" s="202">
        <v>0</v>
      </c>
      <c r="U42" s="202">
        <v>0</v>
      </c>
      <c r="V42" s="202">
        <v>0.89052138493150679</v>
      </c>
      <c r="W42" s="202">
        <v>0</v>
      </c>
      <c r="X42" s="202">
        <v>0</v>
      </c>
      <c r="Y42" s="202">
        <v>0</v>
      </c>
      <c r="Z42" s="202">
        <v>0</v>
      </c>
      <c r="AA42" s="202">
        <v>0</v>
      </c>
      <c r="AB42" s="202">
        <v>0.85062651780821918</v>
      </c>
      <c r="AC42" s="202">
        <v>0</v>
      </c>
    </row>
    <row r="43" spans="1:29" x14ac:dyDescent="0.3">
      <c r="A43" s="22"/>
      <c r="B43" s="9" t="s">
        <v>157</v>
      </c>
      <c r="C43" s="9" t="s">
        <v>244</v>
      </c>
      <c r="D43" s="9" t="s">
        <v>96</v>
      </c>
      <c r="E43" s="84"/>
      <c r="F43" s="202">
        <v>2.0677089999999995E-2</v>
      </c>
      <c r="G43" s="202">
        <v>0</v>
      </c>
      <c r="H43" s="202">
        <v>0</v>
      </c>
      <c r="I43" s="202">
        <v>0</v>
      </c>
      <c r="J43" s="202">
        <v>0</v>
      </c>
      <c r="K43" s="202">
        <v>0</v>
      </c>
      <c r="L43" s="202">
        <v>7.9223729999999992E-2</v>
      </c>
      <c r="M43" s="202">
        <v>0</v>
      </c>
      <c r="N43" s="202">
        <v>0</v>
      </c>
      <c r="O43" s="202">
        <v>0</v>
      </c>
      <c r="P43" s="202">
        <v>0</v>
      </c>
      <c r="Q43" s="202">
        <v>0</v>
      </c>
      <c r="R43" s="202">
        <v>0.13359515361867491</v>
      </c>
      <c r="S43" s="202">
        <v>0</v>
      </c>
      <c r="T43" s="202">
        <v>0</v>
      </c>
      <c r="U43" s="202">
        <v>0</v>
      </c>
      <c r="V43" s="202">
        <v>0</v>
      </c>
      <c r="W43" s="202">
        <v>0</v>
      </c>
      <c r="X43" s="202">
        <v>0.15964839159929142</v>
      </c>
      <c r="Y43" s="202">
        <v>0</v>
      </c>
      <c r="Z43" s="202">
        <v>0</v>
      </c>
      <c r="AA43" s="202">
        <v>0</v>
      </c>
      <c r="AB43" s="202">
        <v>0</v>
      </c>
      <c r="AC43" s="202">
        <v>0</v>
      </c>
    </row>
    <row r="44" spans="1:29" x14ac:dyDescent="0.3">
      <c r="A44" s="22" t="s">
        <v>44</v>
      </c>
      <c r="B44" s="9" t="s">
        <v>29</v>
      </c>
      <c r="C44" s="9" t="s">
        <v>30</v>
      </c>
      <c r="D44" s="9" t="s">
        <v>96</v>
      </c>
      <c r="E44" s="84"/>
      <c r="F44" s="202">
        <v>0</v>
      </c>
      <c r="G44" s="202">
        <v>0</v>
      </c>
      <c r="H44" s="202">
        <v>0</v>
      </c>
      <c r="I44" s="202">
        <v>1.3097680042401898E-2</v>
      </c>
      <c r="J44" s="202">
        <v>0</v>
      </c>
      <c r="K44" s="202">
        <v>0</v>
      </c>
      <c r="L44" s="202">
        <v>0</v>
      </c>
      <c r="M44" s="202">
        <v>0</v>
      </c>
      <c r="N44" s="202">
        <v>0</v>
      </c>
      <c r="O44" s="202">
        <v>9.8398899999999987E-3</v>
      </c>
      <c r="P44" s="202">
        <v>0</v>
      </c>
      <c r="Q44" s="202">
        <v>0</v>
      </c>
      <c r="R44" s="202">
        <v>0</v>
      </c>
      <c r="S44" s="202">
        <v>0</v>
      </c>
      <c r="T44" s="202">
        <v>0</v>
      </c>
      <c r="U44" s="202">
        <v>6.5599267059134082E-3</v>
      </c>
      <c r="V44" s="202">
        <v>0</v>
      </c>
      <c r="W44" s="202">
        <v>0</v>
      </c>
      <c r="X44" s="202">
        <v>0</v>
      </c>
      <c r="Y44" s="202">
        <v>0</v>
      </c>
      <c r="Z44" s="202">
        <v>0</v>
      </c>
      <c r="AA44" s="202">
        <v>3.279958852752121E-3</v>
      </c>
      <c r="AB44" s="202">
        <v>0</v>
      </c>
      <c r="AC44" s="202">
        <v>0</v>
      </c>
    </row>
    <row r="45" spans="1:29" x14ac:dyDescent="0.3">
      <c r="A45" s="22" t="s">
        <v>44</v>
      </c>
      <c r="B45" s="9" t="s">
        <v>31</v>
      </c>
      <c r="C45" s="9" t="s">
        <v>32</v>
      </c>
      <c r="D45" s="9" t="s">
        <v>96</v>
      </c>
      <c r="E45" s="84"/>
      <c r="F45" s="202">
        <v>0</v>
      </c>
      <c r="G45" s="202">
        <v>0</v>
      </c>
      <c r="H45" s="202">
        <v>1.06841322704837E-3</v>
      </c>
      <c r="I45" s="202">
        <v>0</v>
      </c>
      <c r="J45" s="202">
        <v>0</v>
      </c>
      <c r="K45" s="202">
        <v>1.0485631300559202E-3</v>
      </c>
      <c r="L45" s="202">
        <v>0</v>
      </c>
      <c r="M45" s="202">
        <v>0</v>
      </c>
      <c r="N45" s="202">
        <v>1.0286539790249204E-3</v>
      </c>
      <c r="O45" s="202">
        <v>0</v>
      </c>
      <c r="P45" s="202">
        <v>0</v>
      </c>
      <c r="Q45" s="202">
        <v>1.0086855982695904E-3</v>
      </c>
      <c r="R45" s="202">
        <v>0</v>
      </c>
      <c r="S45" s="202">
        <v>0</v>
      </c>
      <c r="T45" s="202">
        <v>9.8865781158152745E-4</v>
      </c>
      <c r="U45" s="202">
        <v>0</v>
      </c>
      <c r="V45" s="202">
        <v>0</v>
      </c>
      <c r="W45" s="202">
        <v>9.6857044222806111E-4</v>
      </c>
      <c r="X45" s="202">
        <v>0</v>
      </c>
      <c r="Y45" s="202">
        <v>0</v>
      </c>
      <c r="Z45" s="202">
        <v>9.4842331295076881E-4</v>
      </c>
      <c r="AA45" s="202">
        <v>0</v>
      </c>
      <c r="AB45" s="202">
        <v>0</v>
      </c>
      <c r="AC45" s="202">
        <v>9.2821624596387843E-4</v>
      </c>
    </row>
    <row r="46" spans="1:29" x14ac:dyDescent="0.3">
      <c r="A46" s="22" t="s">
        <v>44</v>
      </c>
      <c r="B46" s="9" t="s">
        <v>33</v>
      </c>
      <c r="C46" s="9" t="s">
        <v>34</v>
      </c>
      <c r="D46" s="9" t="s">
        <v>96</v>
      </c>
      <c r="E46" s="84"/>
      <c r="F46" s="202">
        <v>0</v>
      </c>
      <c r="G46" s="202">
        <v>0</v>
      </c>
      <c r="H46" s="202">
        <v>4.6543695652173921E-4</v>
      </c>
      <c r="I46" s="202">
        <v>0</v>
      </c>
      <c r="J46" s="202">
        <v>0</v>
      </c>
      <c r="K46" s="202">
        <v>4.7060847826086962E-4</v>
      </c>
      <c r="L46" s="202">
        <v>0</v>
      </c>
      <c r="M46" s="202">
        <v>0</v>
      </c>
      <c r="N46" s="202">
        <v>4.7578000000000003E-4</v>
      </c>
      <c r="O46" s="202">
        <v>0</v>
      </c>
      <c r="P46" s="202">
        <v>0</v>
      </c>
      <c r="Q46" s="202">
        <v>0</v>
      </c>
      <c r="R46" s="202">
        <v>0</v>
      </c>
      <c r="S46" s="202">
        <v>0</v>
      </c>
      <c r="T46" s="202">
        <v>0</v>
      </c>
      <c r="U46" s="202">
        <v>0</v>
      </c>
      <c r="V46" s="202">
        <v>0</v>
      </c>
      <c r="W46" s="202">
        <v>0</v>
      </c>
      <c r="X46" s="202">
        <v>0</v>
      </c>
      <c r="Y46" s="202">
        <v>0</v>
      </c>
      <c r="Z46" s="202">
        <v>0</v>
      </c>
      <c r="AA46" s="202">
        <v>0</v>
      </c>
      <c r="AB46" s="202">
        <v>0</v>
      </c>
      <c r="AC46" s="202">
        <v>0</v>
      </c>
    </row>
    <row r="47" spans="1:29" x14ac:dyDescent="0.3">
      <c r="A47" s="22" t="s">
        <v>44</v>
      </c>
      <c r="B47" s="9" t="s">
        <v>36</v>
      </c>
      <c r="C47" s="9" t="s">
        <v>37</v>
      </c>
      <c r="D47" s="9" t="s">
        <v>96</v>
      </c>
      <c r="E47" s="84"/>
      <c r="F47" s="15">
        <v>0</v>
      </c>
      <c r="G47" s="15">
        <v>0</v>
      </c>
      <c r="H47" s="15">
        <v>0.47015243000000001</v>
      </c>
      <c r="I47" s="15">
        <v>0</v>
      </c>
      <c r="J47" s="15">
        <v>0</v>
      </c>
      <c r="K47" s="15">
        <v>0</v>
      </c>
      <c r="L47" s="15">
        <v>0</v>
      </c>
      <c r="M47" s="15">
        <v>0</v>
      </c>
      <c r="N47" s="15">
        <v>0.4970941895436724</v>
      </c>
      <c r="O47" s="15">
        <v>0</v>
      </c>
      <c r="P47" s="15">
        <v>0</v>
      </c>
      <c r="Q47" s="15">
        <v>0</v>
      </c>
      <c r="R47" s="15">
        <v>0</v>
      </c>
      <c r="S47" s="15">
        <v>0</v>
      </c>
      <c r="T47" s="15">
        <v>0.9656708496179337</v>
      </c>
      <c r="U47" s="15">
        <v>0</v>
      </c>
      <c r="V47" s="15">
        <v>0</v>
      </c>
      <c r="W47" s="15">
        <v>0</v>
      </c>
      <c r="X47" s="15">
        <v>0</v>
      </c>
      <c r="Y47" s="15">
        <v>0</v>
      </c>
      <c r="Z47" s="15">
        <v>0.91063660463453966</v>
      </c>
      <c r="AA47" s="15">
        <v>0</v>
      </c>
      <c r="AB47" s="15">
        <v>0</v>
      </c>
      <c r="AC47" s="15">
        <v>0</v>
      </c>
    </row>
    <row r="48" spans="1:29" x14ac:dyDescent="0.3">
      <c r="A48" s="22"/>
      <c r="B48" s="9" t="s">
        <v>159</v>
      </c>
      <c r="C48" s="9" t="s">
        <v>160</v>
      </c>
      <c r="D48" s="9" t="s">
        <v>96</v>
      </c>
      <c r="E48" s="84"/>
      <c r="F48" s="15">
        <v>8.9100000000000024E-5</v>
      </c>
      <c r="G48" s="15">
        <v>0</v>
      </c>
      <c r="H48" s="15">
        <v>0</v>
      </c>
      <c r="I48" s="15">
        <v>0</v>
      </c>
      <c r="J48" s="15">
        <v>0</v>
      </c>
      <c r="K48" s="15">
        <v>0</v>
      </c>
      <c r="L48" s="15">
        <v>6.0419599999999999E-3</v>
      </c>
      <c r="M48" s="15">
        <v>0</v>
      </c>
      <c r="N48" s="15">
        <v>0</v>
      </c>
      <c r="O48" s="15">
        <v>0</v>
      </c>
      <c r="P48" s="15">
        <v>0</v>
      </c>
      <c r="Q48" s="15">
        <v>0</v>
      </c>
      <c r="R48" s="15">
        <v>3.74373091922965E-2</v>
      </c>
      <c r="S48" s="15">
        <v>0</v>
      </c>
      <c r="T48" s="15">
        <v>0</v>
      </c>
      <c r="U48" s="15">
        <v>0</v>
      </c>
      <c r="V48" s="15">
        <v>0</v>
      </c>
      <c r="W48" s="15">
        <v>0</v>
      </c>
      <c r="X48" s="15">
        <v>6.665700218023396E-2</v>
      </c>
      <c r="Y48" s="15">
        <v>0</v>
      </c>
      <c r="Z48" s="15">
        <v>0</v>
      </c>
      <c r="AA48" s="15">
        <v>0</v>
      </c>
      <c r="AB48" s="15">
        <v>0</v>
      </c>
      <c r="AC48" s="15">
        <v>0</v>
      </c>
    </row>
    <row r="49" spans="1:29" x14ac:dyDescent="0.3">
      <c r="A49" s="22"/>
      <c r="B49" s="9" t="s">
        <v>186</v>
      </c>
      <c r="C49" s="9" t="s">
        <v>187</v>
      </c>
      <c r="D49" s="9" t="s">
        <v>96</v>
      </c>
      <c r="E49" s="84"/>
      <c r="F49" s="15">
        <v>0</v>
      </c>
      <c r="G49" s="15">
        <v>0</v>
      </c>
      <c r="H49" s="15">
        <v>0</v>
      </c>
      <c r="I49" s="15">
        <v>0</v>
      </c>
      <c r="J49" s="15">
        <v>0.10082111000000001</v>
      </c>
      <c r="K49" s="15">
        <v>0</v>
      </c>
      <c r="L49" s="15">
        <v>0</v>
      </c>
      <c r="M49" s="15">
        <v>0</v>
      </c>
      <c r="N49" s="15">
        <v>0</v>
      </c>
      <c r="O49" s="15">
        <v>0</v>
      </c>
      <c r="P49" s="15">
        <v>0.16164789999999996</v>
      </c>
      <c r="Q49" s="15">
        <v>0</v>
      </c>
      <c r="R49" s="15">
        <v>0</v>
      </c>
      <c r="S49" s="15">
        <v>0</v>
      </c>
      <c r="T49" s="15">
        <v>0</v>
      </c>
      <c r="U49" s="15">
        <v>0</v>
      </c>
      <c r="V49" s="15">
        <v>0.15286026876192102</v>
      </c>
      <c r="W49" s="15">
        <v>0</v>
      </c>
      <c r="X49" s="15">
        <v>0</v>
      </c>
      <c r="Y49" s="15">
        <v>0</v>
      </c>
      <c r="Z49" s="15">
        <v>0</v>
      </c>
      <c r="AA49" s="15">
        <v>0</v>
      </c>
      <c r="AB49" s="15">
        <v>0.16371346215792967</v>
      </c>
      <c r="AC49" s="15">
        <v>0</v>
      </c>
    </row>
    <row r="50" spans="1:29" x14ac:dyDescent="0.3">
      <c r="A50" s="22" t="s">
        <v>44</v>
      </c>
      <c r="B50" s="9" t="s">
        <v>132</v>
      </c>
      <c r="C50" s="9" t="s">
        <v>131</v>
      </c>
      <c r="D50" s="9" t="s">
        <v>97</v>
      </c>
      <c r="E50" s="84"/>
      <c r="F50" s="202">
        <v>0</v>
      </c>
      <c r="G50" s="202">
        <v>0</v>
      </c>
      <c r="H50" s="202">
        <v>11.024839999999999</v>
      </c>
      <c r="I50" s="202">
        <v>0</v>
      </c>
      <c r="J50" s="202">
        <v>0</v>
      </c>
      <c r="K50" s="202">
        <v>0</v>
      </c>
      <c r="L50" s="202">
        <v>0</v>
      </c>
      <c r="M50" s="202">
        <v>0</v>
      </c>
      <c r="N50" s="202">
        <v>13.747480384615388</v>
      </c>
      <c r="O50" s="202">
        <v>0</v>
      </c>
      <c r="P50" s="202">
        <v>0</v>
      </c>
      <c r="Q50" s="202">
        <v>0</v>
      </c>
      <c r="R50" s="202">
        <v>0</v>
      </c>
      <c r="S50" s="202">
        <v>0</v>
      </c>
      <c r="T50" s="202">
        <v>12.601857019230772</v>
      </c>
      <c r="U50" s="202">
        <v>0</v>
      </c>
      <c r="V50" s="202">
        <v>0</v>
      </c>
      <c r="W50" s="202">
        <v>0</v>
      </c>
      <c r="X50" s="202">
        <v>0</v>
      </c>
      <c r="Y50" s="202">
        <v>0</v>
      </c>
      <c r="Z50" s="202">
        <v>11.456233653846157</v>
      </c>
      <c r="AA50" s="202">
        <v>0</v>
      </c>
      <c r="AB50" s="202">
        <v>0</v>
      </c>
      <c r="AC50" s="202">
        <v>0</v>
      </c>
    </row>
    <row r="51" spans="1:29" customFormat="1" ht="6.75" customHeight="1" x14ac:dyDescent="0.3">
      <c r="B51" s="19"/>
      <c r="C51" s="13"/>
      <c r="D51" s="13"/>
      <c r="E51" s="20"/>
    </row>
    <row r="52" spans="1:29" ht="28.5" customHeight="1" x14ac:dyDescent="0.3">
      <c r="B52" s="238" t="s">
        <v>127</v>
      </c>
      <c r="C52" s="238"/>
      <c r="D52" s="238"/>
      <c r="E52" s="3"/>
      <c r="F52" s="82">
        <f t="shared" ref="F52:Q52" si="15">+SUM(F36:F50)</f>
        <v>2.0766189999999997E-2</v>
      </c>
      <c r="G52" s="82">
        <f t="shared" si="15"/>
        <v>1.4337526499999995</v>
      </c>
      <c r="H52" s="82">
        <f t="shared" si="15"/>
        <v>11.49652628018357</v>
      </c>
      <c r="I52" s="82">
        <f t="shared" si="15"/>
        <v>0.68456813004240136</v>
      </c>
      <c r="J52" s="82">
        <f t="shared" si="15"/>
        <v>0.62475493999999998</v>
      </c>
      <c r="K52" s="82">
        <f t="shared" si="15"/>
        <v>0.93945568160831683</v>
      </c>
      <c r="L52" s="82">
        <f t="shared" si="15"/>
        <v>8.5265689999999991E-2</v>
      </c>
      <c r="M52" s="82">
        <f t="shared" si="15"/>
        <v>1.74276466</v>
      </c>
      <c r="N52" s="82">
        <f t="shared" si="15"/>
        <v>14.246079008138086</v>
      </c>
      <c r="O52" s="82">
        <f t="shared" si="15"/>
        <v>0.84761866999999991</v>
      </c>
      <c r="P52" s="82">
        <f t="shared" si="15"/>
        <v>1.0566277883041768</v>
      </c>
      <c r="Q52" s="82">
        <f t="shared" si="15"/>
        <v>0.96050355546822597</v>
      </c>
      <c r="R52" s="82">
        <f>+SUM(R36:R50)</f>
        <v>0.1710324628109714</v>
      </c>
      <c r="S52" s="82">
        <f t="shared" ref="S52:AC52" si="16">+SUM(S36:S50)</f>
        <v>1.7431259706020457</v>
      </c>
      <c r="T52" s="82">
        <f t="shared" si="16"/>
        <v>13.568516526660288</v>
      </c>
      <c r="U52" s="82">
        <f t="shared" si="16"/>
        <v>1.4557525574925121</v>
      </c>
      <c r="V52" s="82">
        <f t="shared" si="16"/>
        <v>1.1752704540299141</v>
      </c>
      <c r="W52" s="82">
        <f t="shared" si="16"/>
        <v>1.2071424278532781</v>
      </c>
      <c r="X52" s="82">
        <f t="shared" si="16"/>
        <v>0.22630539377952538</v>
      </c>
      <c r="Y52" s="82">
        <f t="shared" si="16"/>
        <v>1.5219900925379626</v>
      </c>
      <c r="Z52" s="82">
        <f t="shared" si="16"/>
        <v>12.367818681793647</v>
      </c>
      <c r="AA52" s="82">
        <f t="shared" si="16"/>
        <v>1.3635529113205673</v>
      </c>
      <c r="AB52" s="82">
        <f t="shared" si="16"/>
        <v>1.1342454660591335</v>
      </c>
      <c r="AC52" s="82">
        <f t="shared" si="16"/>
        <v>1.0938853121286227</v>
      </c>
    </row>
    <row r="53" spans="1:29" x14ac:dyDescent="0.3">
      <c r="B53" s="4"/>
      <c r="C53" s="4"/>
      <c r="D53" s="4"/>
      <c r="F53" s="14"/>
      <c r="G53" s="14"/>
      <c r="H53" s="14"/>
      <c r="I53" s="14"/>
      <c r="J53" s="14"/>
      <c r="K53" s="14"/>
      <c r="L53" s="14"/>
      <c r="M53" s="14"/>
      <c r="N53" s="14"/>
      <c r="O53" s="14"/>
      <c r="P53" s="14"/>
      <c r="Q53" s="14"/>
      <c r="R53" s="14"/>
      <c r="S53" s="14"/>
      <c r="T53" s="14"/>
      <c r="U53" s="14"/>
      <c r="V53" s="14"/>
      <c r="W53" s="14"/>
      <c r="X53" s="14"/>
      <c r="Y53" s="14"/>
      <c r="Z53" s="14"/>
      <c r="AA53" s="14"/>
      <c r="AB53" s="14"/>
      <c r="AC53" s="14"/>
    </row>
    <row r="54" spans="1:29" x14ac:dyDescent="0.3">
      <c r="B54" s="4"/>
      <c r="C54" s="4"/>
      <c r="D54" s="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29" x14ac:dyDescent="0.3">
      <c r="B55" s="4"/>
      <c r="C55" s="4"/>
      <c r="D55" s="4"/>
      <c r="F55" s="14"/>
      <c r="G55" s="14"/>
      <c r="H55" s="14"/>
      <c r="I55" s="14"/>
      <c r="J55" s="14"/>
      <c r="K55" s="14"/>
      <c r="L55" s="14"/>
      <c r="M55" s="14"/>
      <c r="N55" s="14"/>
      <c r="O55" s="14"/>
      <c r="P55" s="14"/>
      <c r="Q55" s="14"/>
      <c r="R55" s="14"/>
      <c r="S55" s="14"/>
      <c r="T55" s="14"/>
      <c r="U55" s="14"/>
      <c r="V55" s="14"/>
      <c r="W55" s="14"/>
      <c r="X55" s="14"/>
      <c r="Y55" s="14"/>
      <c r="Z55" s="14"/>
      <c r="AA55" s="14"/>
      <c r="AB55" s="14"/>
      <c r="AC55" s="14"/>
    </row>
  </sheetData>
  <mergeCells count="12">
    <mergeCell ref="D34:D35"/>
    <mergeCell ref="B33:D33"/>
    <mergeCell ref="B25:D25"/>
    <mergeCell ref="B52:D52"/>
    <mergeCell ref="B26:D27"/>
    <mergeCell ref="B34:B35"/>
    <mergeCell ref="C34:C35"/>
    <mergeCell ref="B1:E1"/>
    <mergeCell ref="B5:B6"/>
    <mergeCell ref="C5:C6"/>
    <mergeCell ref="B4:D4"/>
    <mergeCell ref="D5:D6"/>
  </mergeCells>
  <hyperlinks>
    <hyperlink ref="C37" location="BIDF40!A1" display="BIDF40" xr:uid="{00000000-0004-0000-0200-000000000000}"/>
    <hyperlink ref="C44" location="BIDO24!A1" display="BIDO24" xr:uid="{00000000-0004-0000-0200-000001000000}"/>
    <hyperlink ref="C41" location="BIDN32!A1" display="BIDN32" xr:uid="{00000000-0004-0000-0200-000002000000}"/>
    <hyperlink ref="C45" location="BIDS34!A1" display="BIDS34" xr:uid="{00000000-0004-0000-0200-000003000000}"/>
    <hyperlink ref="C46" location="BIDS23!A1" display="BIDS23" xr:uid="{00000000-0004-0000-0200-000004000000}"/>
    <hyperlink ref="C40" location="BIDY42!A1" display="BIDY42" xr:uid="{00000000-0004-0000-0200-000005000000}"/>
    <hyperlink ref="C47" location="BIRS38!A1" display="BIRS38" xr:uid="{00000000-0004-0000-0200-000006000000}"/>
    <hyperlink ref="C10" location="ANSE23!A1" display="ANSE23" xr:uid="{00000000-0004-0000-0200-000007000000}"/>
    <hyperlink ref="C7" location="FFDPO23!A1" display="FFDPO23" xr:uid="{00000000-0004-0000-0200-000008000000}"/>
    <hyperlink ref="C11" location="IPVO26!A1" display="IPVO26" xr:uid="{00000000-0004-0000-0200-000009000000}"/>
    <hyperlink ref="C18" location="'PMG25'!A1" display="PMG25" xr:uid="{00000000-0004-0000-0200-00000A000000}"/>
    <hyperlink ref="C19" location="FFFIRO24!A1" display="FFFIRO24" xr:uid="{00000000-0004-0000-0200-00000B000000}"/>
    <hyperlink ref="C20" location="FFFIRF26!A1" display="FFFIRF26" xr:uid="{00000000-0004-0000-0200-00000C000000}"/>
    <hyperlink ref="C21" location="FFFIRE26!A1" display="FFFIRE26" xr:uid="{00000000-0004-0000-0200-00000D000000}"/>
    <hyperlink ref="C9" location="GOBD23!A1" display="GOBD23" xr:uid="{00000000-0004-0000-0200-00000E000000}"/>
    <hyperlink ref="C16" location="'PMY25'!A1" display="PMY25" xr:uid="{00000000-0004-0000-0200-00000F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topLeftCell="A4" workbookViewId="0">
      <selection sqref="A1:H1"/>
    </sheetView>
  </sheetViews>
  <sheetFormatPr baseColWidth="10" defaultRowHeight="15" x14ac:dyDescent="0.25"/>
  <sheetData>
    <row r="6" spans="11:11" x14ac:dyDescent="0.25">
      <c r="K6" s="77">
        <v>1</v>
      </c>
    </row>
    <row r="25" spans="11:11" x14ac:dyDescent="0.25">
      <c r="K25" s="77">
        <v>1</v>
      </c>
    </row>
    <row r="44" spans="11:11" x14ac:dyDescent="0.25">
      <c r="K44" s="77">
        <v>2</v>
      </c>
    </row>
    <row r="64" spans="11:11" x14ac:dyDescent="0.25">
      <c r="K64" s="77">
        <v>2</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80915-7664-4825-B653-7EF4E52844CD}">
  <dimension ref="A1:I66"/>
  <sheetViews>
    <sheetView showGridLines="0" workbookViewId="0"/>
  </sheetViews>
  <sheetFormatPr baseColWidth="10" defaultRowHeight="15" x14ac:dyDescent="0.25"/>
  <sheetData>
    <row r="1" spans="1:9" ht="21" x14ac:dyDescent="0.35">
      <c r="A1" s="207" t="s">
        <v>252</v>
      </c>
    </row>
    <row r="2" spans="1:9" ht="21" x14ac:dyDescent="0.35">
      <c r="A2" s="207"/>
    </row>
    <row r="3" spans="1:9" ht="18" x14ac:dyDescent="0.25">
      <c r="A3" s="208" t="s">
        <v>253</v>
      </c>
      <c r="I3" s="208" t="s">
        <v>254</v>
      </c>
    </row>
    <row r="4" spans="1:9" ht="15.75" x14ac:dyDescent="0.25">
      <c r="A4" s="209" t="s">
        <v>255</v>
      </c>
      <c r="I4" s="209" t="s">
        <v>256</v>
      </c>
    </row>
    <row r="24" spans="1:9" ht="18" x14ac:dyDescent="0.25">
      <c r="A24" s="208" t="s">
        <v>257</v>
      </c>
      <c r="I24" s="208" t="s">
        <v>258</v>
      </c>
    </row>
    <row r="25" spans="1:9" ht="15.75" x14ac:dyDescent="0.25">
      <c r="A25" s="209" t="s">
        <v>260</v>
      </c>
      <c r="I25" s="209" t="s">
        <v>259</v>
      </c>
    </row>
    <row r="44" spans="1:9" ht="18" x14ac:dyDescent="0.25">
      <c r="A44" s="208" t="s">
        <v>264</v>
      </c>
      <c r="I44" s="208" t="s">
        <v>261</v>
      </c>
    </row>
    <row r="45" spans="1:9" ht="15.75" x14ac:dyDescent="0.25">
      <c r="A45" s="209" t="s">
        <v>263</v>
      </c>
      <c r="I45" s="209" t="s">
        <v>262</v>
      </c>
    </row>
    <row r="65" spans="1:9" ht="18" x14ac:dyDescent="0.25">
      <c r="A65" s="208" t="s">
        <v>265</v>
      </c>
      <c r="I65" s="208" t="s">
        <v>266</v>
      </c>
    </row>
    <row r="66" spans="1:9" ht="15.75" x14ac:dyDescent="0.25">
      <c r="A66" s="209" t="s">
        <v>260</v>
      </c>
      <c r="I66" s="209" t="s">
        <v>259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showGridLines="0" zoomScale="85" zoomScaleNormal="85" workbookViewId="0">
      <pane xSplit="2" ySplit="2" topLeftCell="C3" activePane="bottomRight" state="frozen"/>
      <selection activeCell="F1" sqref="F1"/>
      <selection pane="topRight" activeCell="F1" sqref="F1"/>
      <selection pane="bottomLeft" activeCell="F1" sqref="F1"/>
      <selection pane="bottomRight"/>
    </sheetView>
  </sheetViews>
  <sheetFormatPr baseColWidth="10" defaultRowHeight="15" x14ac:dyDescent="0.25"/>
  <cols>
    <col min="1" max="1" width="20.85546875" customWidth="1"/>
    <col min="2" max="2" width="49.85546875" customWidth="1"/>
    <col min="3" max="6" width="19.5703125" customWidth="1"/>
    <col min="8" max="8" width="16.7109375" bestFit="1" customWidth="1"/>
    <col min="9" max="9" width="15.5703125" bestFit="1" customWidth="1"/>
  </cols>
  <sheetData>
    <row r="1" spans="1:18" ht="24.75" customHeight="1" x14ac:dyDescent="0.25">
      <c r="A1" s="11"/>
      <c r="B1" s="80"/>
      <c r="C1" s="69">
        <v>2023</v>
      </c>
      <c r="D1" s="69">
        <v>2023</v>
      </c>
      <c r="E1" s="69">
        <v>2023</v>
      </c>
      <c r="F1" s="203">
        <v>2023</v>
      </c>
      <c r="G1" s="11"/>
      <c r="H1" s="48"/>
      <c r="I1" s="46"/>
      <c r="J1" s="11"/>
      <c r="K1" s="11"/>
      <c r="L1" s="11"/>
      <c r="M1" s="11"/>
      <c r="N1" s="11"/>
    </row>
    <row r="2" spans="1:18" ht="21" customHeight="1" x14ac:dyDescent="0.25">
      <c r="A2" s="11"/>
      <c r="B2" s="11"/>
      <c r="C2" s="37" t="s">
        <v>62</v>
      </c>
      <c r="D2" s="37" t="s">
        <v>198</v>
      </c>
      <c r="E2" s="37" t="s">
        <v>222</v>
      </c>
      <c r="F2" s="37" t="s">
        <v>245</v>
      </c>
      <c r="G2" s="11"/>
      <c r="H2" s="48"/>
      <c r="I2" s="48"/>
      <c r="J2" s="11"/>
      <c r="K2" s="11"/>
      <c r="L2" s="11"/>
      <c r="M2" s="11"/>
      <c r="N2" s="11"/>
    </row>
    <row r="3" spans="1:18" ht="57" customHeight="1" x14ac:dyDescent="0.25">
      <c r="A3" s="242" t="s">
        <v>63</v>
      </c>
      <c r="B3" s="37" t="s">
        <v>64</v>
      </c>
      <c r="C3" s="102">
        <v>48376.28818165727</v>
      </c>
      <c r="D3" s="102">
        <v>57189.383452010443</v>
      </c>
      <c r="E3" s="102">
        <v>82112.330154350129</v>
      </c>
      <c r="F3" s="102">
        <v>94863.501425876457</v>
      </c>
      <c r="G3" s="243" t="s">
        <v>135</v>
      </c>
      <c r="H3" s="243"/>
      <c r="I3" s="243"/>
      <c r="J3" s="243"/>
      <c r="K3" s="243"/>
      <c r="L3" s="243"/>
      <c r="M3" s="243"/>
      <c r="N3" s="243"/>
      <c r="O3" s="47"/>
      <c r="P3" s="47"/>
      <c r="Q3" s="47"/>
      <c r="R3" s="47"/>
    </row>
    <row r="4" spans="1:18" ht="57" customHeight="1" x14ac:dyDescent="0.25">
      <c r="A4" s="242"/>
      <c r="B4" s="37" t="s">
        <v>65</v>
      </c>
      <c r="C4" s="102">
        <v>491433.30000000005</v>
      </c>
      <c r="D4" s="102">
        <v>593907.07177085988</v>
      </c>
      <c r="E4" s="102">
        <v>743902.14246617991</v>
      </c>
      <c r="F4" s="102">
        <v>940851.53471902979</v>
      </c>
      <c r="G4" s="243"/>
      <c r="H4" s="243"/>
      <c r="I4" s="243"/>
      <c r="J4" s="243"/>
      <c r="K4" s="243"/>
      <c r="L4" s="243"/>
      <c r="M4" s="243"/>
      <c r="N4" s="243"/>
      <c r="O4" s="47"/>
      <c r="P4" s="47"/>
      <c r="Q4" s="47"/>
      <c r="R4" s="47"/>
    </row>
    <row r="5" spans="1:18" ht="57" customHeight="1" x14ac:dyDescent="0.25">
      <c r="A5" s="242"/>
      <c r="B5" s="37" t="s">
        <v>66</v>
      </c>
      <c r="C5" s="103">
        <f>+C3/C4</f>
        <v>9.8439174108993555E-2</v>
      </c>
      <c r="D5" s="103">
        <f>+D3/D4</f>
        <v>9.6293487938252986E-2</v>
      </c>
      <c r="E5" s="103">
        <f>+E3/E4</f>
        <v>0.11038055339124556</v>
      </c>
      <c r="F5" s="103">
        <f>+F3/F4</f>
        <v>0.10082728031496055</v>
      </c>
      <c r="G5" s="243"/>
      <c r="H5" s="243"/>
      <c r="I5" s="243"/>
      <c r="J5" s="243"/>
      <c r="K5" s="243"/>
      <c r="L5" s="243"/>
      <c r="M5" s="243"/>
      <c r="N5" s="243"/>
      <c r="O5" s="47"/>
      <c r="P5" s="47"/>
      <c r="Q5" s="47"/>
      <c r="R5" s="47"/>
    </row>
    <row r="6" spans="1:18" ht="57" customHeight="1" x14ac:dyDescent="0.25">
      <c r="A6" s="242" t="s">
        <v>67</v>
      </c>
      <c r="B6" s="37" t="s">
        <v>68</v>
      </c>
      <c r="C6" s="102">
        <v>47619.005715480125</v>
      </c>
      <c r="D6" s="102">
        <v>63789.181478609993</v>
      </c>
      <c r="E6" s="102">
        <v>69505.444348197721</v>
      </c>
      <c r="F6" s="102">
        <v>79643.324007204894</v>
      </c>
      <c r="G6" s="243" t="s">
        <v>150</v>
      </c>
      <c r="H6" s="243"/>
      <c r="I6" s="243"/>
      <c r="J6" s="243"/>
      <c r="K6" s="243"/>
      <c r="L6" s="243"/>
      <c r="M6" s="243"/>
      <c r="N6" s="243"/>
      <c r="O6" s="47"/>
      <c r="P6" s="47"/>
      <c r="Q6" s="47"/>
      <c r="R6" s="47"/>
    </row>
    <row r="7" spans="1:18" ht="57" customHeight="1" x14ac:dyDescent="0.25">
      <c r="A7" s="242"/>
      <c r="B7" s="37" t="s">
        <v>69</v>
      </c>
      <c r="C7" s="102">
        <v>295871.2</v>
      </c>
      <c r="D7" s="102">
        <v>414654.59130192001</v>
      </c>
      <c r="E7" s="102">
        <v>548530.51734064007</v>
      </c>
      <c r="F7" s="102">
        <v>672693.76440440002</v>
      </c>
      <c r="G7" s="243"/>
      <c r="H7" s="243"/>
      <c r="I7" s="243"/>
      <c r="J7" s="243"/>
      <c r="K7" s="243"/>
      <c r="L7" s="243"/>
      <c r="M7" s="243"/>
      <c r="N7" s="243"/>
      <c r="O7" s="47"/>
      <c r="P7" s="47"/>
      <c r="Q7" s="47"/>
      <c r="R7" s="47"/>
    </row>
    <row r="8" spans="1:18" ht="57" customHeight="1" x14ac:dyDescent="0.25">
      <c r="A8" s="242"/>
      <c r="B8" s="37" t="s">
        <v>70</v>
      </c>
      <c r="C8" s="103">
        <f>+C6/C7</f>
        <v>0.16094505215607374</v>
      </c>
      <c r="D8" s="103">
        <f>+D6/D7</f>
        <v>0.15383691105005406</v>
      </c>
      <c r="E8" s="103">
        <f>+E6/E7</f>
        <v>0.12671208283026941</v>
      </c>
      <c r="F8" s="103">
        <f>+F6/F7</f>
        <v>0.11839462207252766</v>
      </c>
      <c r="G8" s="243"/>
      <c r="H8" s="243"/>
      <c r="I8" s="243"/>
      <c r="J8" s="243"/>
      <c r="K8" s="243"/>
      <c r="L8" s="243"/>
      <c r="M8" s="243"/>
      <c r="N8" s="243"/>
      <c r="O8" s="47"/>
      <c r="P8" s="47"/>
      <c r="Q8" s="47"/>
      <c r="R8" s="47"/>
    </row>
    <row r="9" spans="1:18" ht="57" customHeight="1" x14ac:dyDescent="0.25">
      <c r="A9" s="242"/>
      <c r="B9" s="37" t="s">
        <v>71</v>
      </c>
      <c r="C9" s="102">
        <v>24482.912467797098</v>
      </c>
      <c r="D9" s="102">
        <v>28028.231064523763</v>
      </c>
      <c r="E9" s="102">
        <v>34704.560048424501</v>
      </c>
      <c r="F9" s="102">
        <v>39076.500660289006</v>
      </c>
      <c r="G9" s="243" t="s">
        <v>151</v>
      </c>
      <c r="H9" s="243"/>
      <c r="I9" s="243"/>
      <c r="J9" s="243"/>
      <c r="K9" s="243"/>
      <c r="L9" s="243"/>
      <c r="M9" s="243"/>
      <c r="N9" s="243"/>
      <c r="O9" s="47"/>
      <c r="P9" s="47"/>
      <c r="Q9" s="47"/>
      <c r="R9" s="47"/>
    </row>
    <row r="10" spans="1:18" ht="57" customHeight="1" x14ac:dyDescent="0.25">
      <c r="A10" s="242"/>
      <c r="B10" s="37" t="s">
        <v>72</v>
      </c>
      <c r="C10" s="102">
        <v>572615.9</v>
      </c>
      <c r="D10" s="102">
        <v>696599.95883516991</v>
      </c>
      <c r="E10" s="102">
        <v>872714.18820810993</v>
      </c>
      <c r="F10" s="102">
        <v>1104966.7496095998</v>
      </c>
      <c r="G10" s="243"/>
      <c r="H10" s="243"/>
      <c r="I10" s="243"/>
      <c r="J10" s="243"/>
      <c r="K10" s="243"/>
      <c r="L10" s="243"/>
      <c r="M10" s="243"/>
      <c r="N10" s="243"/>
      <c r="O10" s="47"/>
      <c r="P10" s="47"/>
      <c r="Q10" s="47"/>
      <c r="R10" s="47"/>
    </row>
    <row r="11" spans="1:18" ht="57" customHeight="1" x14ac:dyDescent="0.25">
      <c r="A11" s="242"/>
      <c r="B11" s="37" t="s">
        <v>73</v>
      </c>
      <c r="C11" s="103">
        <f>+C9/C10</f>
        <v>4.2756256799360785E-2</v>
      </c>
      <c r="D11" s="103">
        <f>+D9/D10</f>
        <v>4.0235763308673733E-2</v>
      </c>
      <c r="E11" s="103">
        <f>+E9/E10</f>
        <v>3.9766237924561791E-2</v>
      </c>
      <c r="F11" s="103">
        <f>+F9/F10</f>
        <v>3.5364413159124725E-2</v>
      </c>
      <c r="G11" s="243"/>
      <c r="H11" s="243"/>
      <c r="I11" s="243"/>
      <c r="J11" s="243"/>
      <c r="K11" s="243"/>
      <c r="L11" s="243"/>
      <c r="M11" s="243"/>
      <c r="N11" s="243"/>
      <c r="O11" s="47"/>
      <c r="P11" s="47"/>
      <c r="Q11" s="47"/>
      <c r="R11" s="47"/>
    </row>
    <row r="12" spans="1:18" ht="57" customHeight="1" x14ac:dyDescent="0.25">
      <c r="A12" s="242"/>
      <c r="B12" s="37" t="s">
        <v>74</v>
      </c>
      <c r="C12" s="102">
        <v>81.080613700000001</v>
      </c>
      <c r="D12" s="102">
        <v>76.110177300000004</v>
      </c>
      <c r="E12" s="102">
        <v>70.925080609999995</v>
      </c>
      <c r="F12" s="102">
        <v>65.672835000000006</v>
      </c>
      <c r="G12" s="243" t="s">
        <v>152</v>
      </c>
      <c r="H12" s="243"/>
      <c r="I12" s="243"/>
      <c r="J12" s="243"/>
      <c r="K12" s="243"/>
      <c r="L12" s="243"/>
      <c r="M12" s="243"/>
      <c r="N12" s="243"/>
      <c r="O12" s="47"/>
      <c r="P12" s="47"/>
      <c r="Q12" s="47"/>
      <c r="R12" s="47"/>
    </row>
    <row r="13" spans="1:18" ht="57" customHeight="1" x14ac:dyDescent="0.25">
      <c r="A13" s="242"/>
      <c r="B13" s="37" t="s">
        <v>75</v>
      </c>
      <c r="C13" s="102">
        <v>572615.9</v>
      </c>
      <c r="D13" s="102">
        <v>696599.95883516991</v>
      </c>
      <c r="E13" s="102">
        <v>872714.18820810993</v>
      </c>
      <c r="F13" s="102">
        <v>1104966.7496095998</v>
      </c>
      <c r="G13" s="243"/>
      <c r="H13" s="243"/>
      <c r="I13" s="243"/>
      <c r="J13" s="243"/>
      <c r="K13" s="243"/>
      <c r="L13" s="243"/>
      <c r="M13" s="243"/>
      <c r="N13" s="243"/>
      <c r="O13" s="47"/>
      <c r="P13" s="47"/>
      <c r="Q13" s="47"/>
      <c r="R13" s="47"/>
    </row>
    <row r="14" spans="1:18" ht="57" customHeight="1" x14ac:dyDescent="0.25">
      <c r="A14" s="242"/>
      <c r="B14" s="37" t="s">
        <v>76</v>
      </c>
      <c r="C14" s="117">
        <f>+C12/C13</f>
        <v>1.415968604783765E-4</v>
      </c>
      <c r="D14" s="117">
        <f>+D12/D13</f>
        <v>1.0925952023779729E-4</v>
      </c>
      <c r="E14" s="117">
        <f>+E12/E13</f>
        <v>8.1269539980352652E-5</v>
      </c>
      <c r="F14" s="117">
        <f>+F12/F13</f>
        <v>5.9434218290462712E-5</v>
      </c>
      <c r="G14" s="243"/>
      <c r="H14" s="243"/>
      <c r="I14" s="243"/>
      <c r="J14" s="243"/>
      <c r="K14" s="243"/>
      <c r="L14" s="243"/>
      <c r="M14" s="243"/>
      <c r="N14" s="243"/>
      <c r="O14" s="47"/>
      <c r="P14" s="47"/>
      <c r="Q14" s="47"/>
      <c r="R14" s="47"/>
    </row>
    <row r="15" spans="1:18" ht="57" customHeight="1" x14ac:dyDescent="0.25">
      <c r="A15" s="242"/>
      <c r="B15" s="37" t="s">
        <v>77</v>
      </c>
      <c r="C15" s="102">
        <v>36430.42102340726</v>
      </c>
      <c r="D15" s="102">
        <v>45190.234063139687</v>
      </c>
      <c r="E15" s="102">
        <v>52941.76355827332</v>
      </c>
      <c r="F15" s="102">
        <v>65670.354932866452</v>
      </c>
      <c r="G15" s="243" t="s">
        <v>153</v>
      </c>
      <c r="H15" s="243"/>
      <c r="I15" s="243"/>
      <c r="J15" s="243"/>
      <c r="K15" s="243"/>
      <c r="L15" s="243"/>
      <c r="M15" s="243"/>
      <c r="N15" s="243"/>
      <c r="O15" s="47"/>
      <c r="P15" s="47"/>
      <c r="Q15" s="47"/>
      <c r="R15" s="47"/>
    </row>
    <row r="16" spans="1:18" ht="57" customHeight="1" x14ac:dyDescent="0.25">
      <c r="A16" s="242"/>
      <c r="B16" s="37" t="s">
        <v>78</v>
      </c>
      <c r="C16" s="102">
        <v>250424.7</v>
      </c>
      <c r="D16" s="102">
        <v>304308.47690849006</v>
      </c>
      <c r="E16" s="102">
        <v>384438.65911108995</v>
      </c>
      <c r="F16" s="102">
        <v>482937.50182877999</v>
      </c>
      <c r="G16" s="243"/>
      <c r="H16" s="243"/>
      <c r="I16" s="243"/>
      <c r="J16" s="243"/>
      <c r="K16" s="243"/>
      <c r="L16" s="243"/>
      <c r="M16" s="243"/>
      <c r="N16" s="243"/>
      <c r="O16" s="47"/>
      <c r="P16" s="47"/>
      <c r="Q16" s="47"/>
      <c r="R16" s="47"/>
    </row>
    <row r="17" spans="1:18" ht="57" customHeight="1" x14ac:dyDescent="0.25">
      <c r="A17" s="242"/>
      <c r="B17" s="37" t="s">
        <v>79</v>
      </c>
      <c r="C17" s="103">
        <f>+C15/C16</f>
        <v>0.14547455192481915</v>
      </c>
      <c r="D17" s="103">
        <f>+D15/D16</f>
        <v>0.14850139740513715</v>
      </c>
      <c r="E17" s="103">
        <f>+E15/E16</f>
        <v>0.13771186196696966</v>
      </c>
      <c r="F17" s="103">
        <f>+F15/F16</f>
        <v>0.1359810631483101</v>
      </c>
      <c r="G17" s="243"/>
      <c r="H17" s="243"/>
      <c r="I17" s="243"/>
      <c r="J17" s="243"/>
      <c r="K17" s="243"/>
      <c r="L17" s="243"/>
      <c r="M17" s="243"/>
      <c r="N17" s="243"/>
      <c r="O17" s="47"/>
      <c r="P17" s="47"/>
      <c r="Q17" s="47"/>
      <c r="R17" s="47"/>
    </row>
  </sheetData>
  <mergeCells count="7">
    <mergeCell ref="A3:A5"/>
    <mergeCell ref="G3:N5"/>
    <mergeCell ref="A6:A17"/>
    <mergeCell ref="G6:N8"/>
    <mergeCell ref="G9:N11"/>
    <mergeCell ref="G12:N14"/>
    <mergeCell ref="G15:N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244" t="s">
        <v>226</v>
      </c>
      <c r="C2" s="244"/>
      <c r="D2" s="244"/>
      <c r="E2" s="244"/>
      <c r="F2" s="244"/>
      <c r="G2" s="244"/>
      <c r="H2" s="244"/>
      <c r="I2" s="244"/>
      <c r="J2" s="244"/>
      <c r="K2" s="244"/>
      <c r="L2" s="244"/>
      <c r="M2" s="244"/>
      <c r="N2" s="244"/>
      <c r="O2" s="244"/>
      <c r="P2" s="244"/>
      <c r="Q2" s="244"/>
      <c r="R2" s="244"/>
      <c r="S2" s="244"/>
      <c r="T2" s="244"/>
      <c r="U2" s="244"/>
    </row>
    <row r="3" spans="2:21" ht="15.75" x14ac:dyDescent="0.25">
      <c r="B3" s="149" t="s">
        <v>227</v>
      </c>
    </row>
    <row r="4" spans="2:21" ht="9" customHeight="1" thickBot="1" x14ac:dyDescent="0.3">
      <c r="B4" s="182"/>
    </row>
    <row r="5" spans="2:21" x14ac:dyDescent="0.25">
      <c r="B5" s="245" t="s">
        <v>228</v>
      </c>
      <c r="C5" s="247" t="s">
        <v>229</v>
      </c>
      <c r="D5" s="249" t="s">
        <v>230</v>
      </c>
      <c r="E5" s="247" t="s">
        <v>231</v>
      </c>
      <c r="F5" s="247" t="s">
        <v>232</v>
      </c>
      <c r="G5" s="247" t="s">
        <v>233</v>
      </c>
      <c r="H5" s="249" t="s">
        <v>234</v>
      </c>
      <c r="I5" s="249" t="s">
        <v>235</v>
      </c>
      <c r="J5" s="249" t="s">
        <v>236</v>
      </c>
      <c r="K5" s="249"/>
      <c r="L5" s="249"/>
      <c r="M5" s="254"/>
      <c r="N5" s="255"/>
    </row>
    <row r="6" spans="2:21" ht="15" customHeight="1" x14ac:dyDescent="0.25">
      <c r="B6" s="246"/>
      <c r="C6" s="248"/>
      <c r="D6" s="250"/>
      <c r="E6" s="248"/>
      <c r="F6" s="248"/>
      <c r="G6" s="248"/>
      <c r="H6" s="252"/>
      <c r="I6" s="250"/>
      <c r="J6" s="256" t="s">
        <v>237</v>
      </c>
      <c r="K6" s="256" t="s">
        <v>238</v>
      </c>
      <c r="L6" s="256" t="s">
        <v>239</v>
      </c>
      <c r="M6" s="256" t="s">
        <v>240</v>
      </c>
      <c r="N6" s="257" t="s">
        <v>241</v>
      </c>
    </row>
    <row r="7" spans="2:21" x14ac:dyDescent="0.25">
      <c r="B7" s="246"/>
      <c r="C7" s="248"/>
      <c r="D7" s="251"/>
      <c r="E7" s="248"/>
      <c r="F7" s="248"/>
      <c r="G7" s="248"/>
      <c r="H7" s="253"/>
      <c r="I7" s="251"/>
      <c r="J7" s="251"/>
      <c r="K7" s="251"/>
      <c r="L7" s="251"/>
      <c r="M7" s="251"/>
      <c r="N7" s="258"/>
    </row>
    <row r="8" spans="2:21" x14ac:dyDescent="0.25">
      <c r="B8" s="183" t="s">
        <v>242</v>
      </c>
      <c r="C8" s="184"/>
      <c r="D8" s="185"/>
      <c r="E8" s="186"/>
      <c r="F8" s="186"/>
      <c r="G8" s="187"/>
      <c r="H8" s="187"/>
      <c r="I8" s="187"/>
      <c r="J8" s="186"/>
      <c r="K8" s="186"/>
      <c r="L8" s="186"/>
      <c r="M8" s="186"/>
      <c r="N8" s="188"/>
    </row>
    <row r="9" spans="2:21" ht="15.75" thickBot="1" x14ac:dyDescent="0.3">
      <c r="B9" s="189"/>
      <c r="C9" s="190"/>
      <c r="D9" s="191"/>
      <c r="E9" s="192"/>
      <c r="F9" s="193"/>
      <c r="G9" s="193"/>
      <c r="H9" s="193"/>
      <c r="I9" s="193"/>
      <c r="J9" s="192"/>
      <c r="K9" s="192"/>
      <c r="L9" s="192"/>
      <c r="M9" s="194"/>
      <c r="N9" s="195"/>
    </row>
  </sheetData>
  <mergeCells count="15">
    <mergeCell ref="B2:U2"/>
    <mergeCell ref="B5:B7"/>
    <mergeCell ref="C5:C7"/>
    <mergeCell ref="D5:D7"/>
    <mergeCell ref="E5:E7"/>
    <mergeCell ref="F5:F7"/>
    <mergeCell ref="G5:G7"/>
    <mergeCell ref="H5:H7"/>
    <mergeCell ref="I5:I7"/>
    <mergeCell ref="J5:N5"/>
    <mergeCell ref="J6:J7"/>
    <mergeCell ref="K6:K7"/>
    <mergeCell ref="L6:L7"/>
    <mergeCell ref="M6:M7"/>
    <mergeCell ref="N6:N7"/>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43"/>
  <sheetViews>
    <sheetView showGridLines="0" zoomScale="80" zoomScaleNormal="80" workbookViewId="0">
      <pane xSplit="1" ySplit="4" topLeftCell="AF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58" customWidth="1"/>
    <col min="2" max="29" width="16.140625" style="14" customWidth="1"/>
    <col min="30" max="41" width="16.42578125" style="14" customWidth="1"/>
    <col min="42" max="16384" width="11.42578125" style="14"/>
  </cols>
  <sheetData>
    <row r="1" spans="1:41" ht="30.75" customHeight="1" x14ac:dyDescent="0.3">
      <c r="A1" s="259" t="s">
        <v>114</v>
      </c>
      <c r="B1" s="259"/>
      <c r="C1" s="259"/>
      <c r="D1" s="259"/>
      <c r="E1" s="259"/>
      <c r="F1" s="259"/>
      <c r="G1" s="259"/>
      <c r="H1" s="259"/>
    </row>
    <row r="2" spans="1:41" ht="20.25" customHeight="1" x14ac:dyDescent="0.3">
      <c r="A2" s="5" t="s">
        <v>87</v>
      </c>
      <c r="B2" s="62"/>
      <c r="C2" s="63"/>
      <c r="D2" s="62"/>
      <c r="E2" s="63"/>
      <c r="F2" s="62"/>
      <c r="G2" s="62"/>
      <c r="H2" s="62"/>
      <c r="AO2" s="181"/>
    </row>
    <row r="3" spans="1:41" x14ac:dyDescent="0.3">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row>
    <row r="4" spans="1:41" ht="30" customHeight="1" x14ac:dyDescent="0.3">
      <c r="A4" s="52"/>
      <c r="B4" s="53">
        <v>41729</v>
      </c>
      <c r="C4" s="53">
        <v>41820</v>
      </c>
      <c r="D4" s="53">
        <v>41912</v>
      </c>
      <c r="E4" s="53">
        <v>42004</v>
      </c>
      <c r="F4" s="53">
        <v>42094</v>
      </c>
      <c r="G4" s="53">
        <v>42185</v>
      </c>
      <c r="H4" s="53">
        <v>42277</v>
      </c>
      <c r="I4" s="53">
        <v>42369</v>
      </c>
      <c r="J4" s="53">
        <v>42460</v>
      </c>
      <c r="K4" s="53">
        <v>42551</v>
      </c>
      <c r="L4" s="53">
        <v>42643</v>
      </c>
      <c r="M4" s="53">
        <v>42735</v>
      </c>
      <c r="N4" s="53">
        <v>42825</v>
      </c>
      <c r="O4" s="53">
        <v>42916</v>
      </c>
      <c r="P4" s="53">
        <v>43008</v>
      </c>
      <c r="Q4" s="53">
        <v>43100</v>
      </c>
      <c r="R4" s="53">
        <v>43190</v>
      </c>
      <c r="S4" s="53">
        <v>43281</v>
      </c>
      <c r="T4" s="53">
        <v>43373</v>
      </c>
      <c r="U4" s="53">
        <v>43465</v>
      </c>
      <c r="V4" s="53">
        <v>43555</v>
      </c>
      <c r="W4" s="53">
        <v>43646</v>
      </c>
      <c r="X4" s="53">
        <v>43738</v>
      </c>
      <c r="Y4" s="53">
        <v>43830</v>
      </c>
      <c r="Z4" s="53">
        <v>43921</v>
      </c>
      <c r="AA4" s="53">
        <v>44012</v>
      </c>
      <c r="AB4" s="53">
        <v>44104</v>
      </c>
      <c r="AC4" s="53">
        <v>44196</v>
      </c>
      <c r="AD4" s="53">
        <v>44286</v>
      </c>
      <c r="AE4" s="53">
        <v>44377</v>
      </c>
      <c r="AF4" s="53">
        <v>44469</v>
      </c>
      <c r="AG4" s="53">
        <v>44561</v>
      </c>
      <c r="AH4" s="53">
        <v>44651</v>
      </c>
      <c r="AI4" s="53">
        <v>44742</v>
      </c>
      <c r="AJ4" s="53">
        <v>44834</v>
      </c>
      <c r="AK4" s="53">
        <v>44926</v>
      </c>
      <c r="AL4" s="53">
        <v>45016</v>
      </c>
      <c r="AM4" s="53">
        <v>45107</v>
      </c>
      <c r="AN4" s="53">
        <v>45199</v>
      </c>
      <c r="AO4" s="53">
        <v>45291</v>
      </c>
    </row>
    <row r="5" spans="1:41" ht="52.5" customHeight="1" x14ac:dyDescent="0.3">
      <c r="A5" s="51" t="s">
        <v>80</v>
      </c>
      <c r="B5" s="54">
        <v>8781.7199999999993</v>
      </c>
      <c r="C5" s="54">
        <v>8719.68</v>
      </c>
      <c r="D5" s="54">
        <v>8671.31</v>
      </c>
      <c r="E5" s="54">
        <v>9251.6200000000008</v>
      </c>
      <c r="F5" s="54">
        <v>8711.33</v>
      </c>
      <c r="G5" s="54">
        <v>8883.2999999999993</v>
      </c>
      <c r="H5" s="54">
        <v>8777.94</v>
      </c>
      <c r="I5" s="54">
        <v>14590.026342765899</v>
      </c>
      <c r="J5" s="54">
        <v>15552.766008292954</v>
      </c>
      <c r="K5" s="54">
        <v>23183.662216917499</v>
      </c>
      <c r="L5" s="54">
        <v>24968.595473778529</v>
      </c>
      <c r="M5" s="54">
        <v>26143.372847835599</v>
      </c>
      <c r="N5" s="54">
        <v>26357.580883104267</v>
      </c>
      <c r="O5" s="54">
        <v>32363.693825003349</v>
      </c>
      <c r="P5" s="54">
        <v>32739.973955860674</v>
      </c>
      <c r="Q5" s="54">
        <v>33066.920518488216</v>
      </c>
      <c r="R5" s="54">
        <v>35523.531142391745</v>
      </c>
      <c r="S5" s="54">
        <v>42512.097230935367</v>
      </c>
      <c r="T5" s="54">
        <v>49897.666266168861</v>
      </c>
      <c r="U5" s="54">
        <v>48061.669901665373</v>
      </c>
      <c r="V5" s="54">
        <v>54971.132794337202</v>
      </c>
      <c r="W5" s="54">
        <v>57477.574093920899</v>
      </c>
      <c r="X5" s="54">
        <v>70107.671098561274</v>
      </c>
      <c r="Y5" s="54">
        <v>73073.385231942695</v>
      </c>
      <c r="Z5" s="54">
        <v>76873.589091758549</v>
      </c>
      <c r="AA5" s="54">
        <v>81321.301084087594</v>
      </c>
      <c r="AB5" s="54">
        <v>87659.723356733972</v>
      </c>
      <c r="AC5" s="54">
        <v>98086.703607309493</v>
      </c>
      <c r="AD5" s="54">
        <v>105498.39985939959</v>
      </c>
      <c r="AE5" s="54">
        <v>104307.6114064088</v>
      </c>
      <c r="AF5" s="54">
        <v>109501.85230045371</v>
      </c>
      <c r="AG5" s="54">
        <v>118375.03408370932</v>
      </c>
      <c r="AH5" s="54">
        <v>125218.25101459341</v>
      </c>
      <c r="AI5" s="54">
        <v>136288.86474127742</v>
      </c>
      <c r="AJ5" s="54">
        <v>152793.80111647217</v>
      </c>
      <c r="AK5" s="54">
        <v>173744.05273852008</v>
      </c>
      <c r="AL5" s="54">
        <v>184002.77888037229</v>
      </c>
      <c r="AM5" s="54">
        <v>217722.16278989098</v>
      </c>
      <c r="AN5" s="54">
        <v>264718.17902564391</v>
      </c>
      <c r="AO5" s="54">
        <f>+'Servicios Deuda Anual'!F48*'Servicios Deuda Anual'!C58</f>
        <v>552742.441324963</v>
      </c>
    </row>
    <row r="6" spans="1:41" ht="52.5" customHeight="1" x14ac:dyDescent="0.3">
      <c r="A6" s="51" t="s">
        <v>81</v>
      </c>
      <c r="B6" s="54">
        <v>814.06924421000008</v>
      </c>
      <c r="C6" s="54">
        <v>1334.7686670200001</v>
      </c>
      <c r="D6" s="54">
        <v>1606.3620389600001</v>
      </c>
      <c r="E6" s="54">
        <v>2059.9873684600002</v>
      </c>
      <c r="F6" s="54">
        <v>1532.2292152100001</v>
      </c>
      <c r="G6" s="54">
        <v>2787.2709622900002</v>
      </c>
      <c r="H6" s="54">
        <v>3436.8373112600002</v>
      </c>
      <c r="I6" s="54">
        <v>4751.3450329800007</v>
      </c>
      <c r="J6" s="54">
        <v>1748.5210195500001</v>
      </c>
      <c r="K6" s="64">
        <v>1979.8916584900003</v>
      </c>
      <c r="L6" s="64">
        <v>2005.6820979800002</v>
      </c>
      <c r="M6" s="64">
        <v>2713.09112757</v>
      </c>
      <c r="N6" s="64">
        <v>1455.4634681099999</v>
      </c>
      <c r="O6" s="64">
        <v>2358.1514273500002</v>
      </c>
      <c r="P6" s="64">
        <v>2403.9927246800003</v>
      </c>
      <c r="Q6" s="64">
        <v>3051.1866099200001</v>
      </c>
      <c r="R6" s="64">
        <v>2887.47474384</v>
      </c>
      <c r="S6" s="64">
        <v>2566.0700995500001</v>
      </c>
      <c r="T6" s="64">
        <v>2260.5505495299999</v>
      </c>
      <c r="U6" s="64">
        <v>5907.5229735200001</v>
      </c>
      <c r="V6" s="64">
        <v>2465.16920291</v>
      </c>
      <c r="W6" s="54">
        <v>4329.9503111499998</v>
      </c>
      <c r="X6" s="54">
        <v>4646.9381585399997</v>
      </c>
      <c r="Y6" s="54">
        <v>9439.5116885000007</v>
      </c>
      <c r="Z6" s="54">
        <v>3694.6763252000001</v>
      </c>
      <c r="AA6" s="54">
        <v>6793.2007236199997</v>
      </c>
      <c r="AB6" s="54">
        <v>7216.9493976200001</v>
      </c>
      <c r="AC6" s="54">
        <v>15771.225058290001</v>
      </c>
      <c r="AD6" s="54">
        <v>4714.8373600100003</v>
      </c>
      <c r="AE6" s="54">
        <v>8017.0700839199999</v>
      </c>
      <c r="AF6" s="54">
        <v>12560.355571530001</v>
      </c>
      <c r="AG6" s="54">
        <v>26355.928719810003</v>
      </c>
      <c r="AH6" s="120">
        <v>7068.6826936500001</v>
      </c>
      <c r="AI6" s="120">
        <v>12519.52704866</v>
      </c>
      <c r="AJ6" s="120">
        <v>14153.615796210001</v>
      </c>
      <c r="AK6" s="120">
        <v>50923.483293849997</v>
      </c>
      <c r="AL6" s="120">
        <v>16141.696247110001</v>
      </c>
      <c r="AM6" s="120">
        <v>26252.587002599998</v>
      </c>
      <c r="AN6" s="120">
        <v>64142.556503469998</v>
      </c>
      <c r="AO6" s="120">
        <f>149200.95760792-77622.2</f>
        <v>71578.757607919993</v>
      </c>
    </row>
    <row r="7" spans="1:41" ht="52.5" customHeight="1" x14ac:dyDescent="0.3">
      <c r="A7" s="51" t="s">
        <v>82</v>
      </c>
      <c r="B7" s="79">
        <f>+SUM(B5:B6)</f>
        <v>9595.7892442100001</v>
      </c>
      <c r="C7" s="79">
        <f t="shared" ref="C7:AH7" si="0">+SUM(C5:C6)</f>
        <v>10054.44866702</v>
      </c>
      <c r="D7" s="79">
        <f t="shared" si="0"/>
        <v>10277.67203896</v>
      </c>
      <c r="E7" s="79">
        <f t="shared" si="0"/>
        <v>11311.607368460001</v>
      </c>
      <c r="F7" s="79">
        <f t="shared" si="0"/>
        <v>10243.55921521</v>
      </c>
      <c r="G7" s="79">
        <f t="shared" si="0"/>
        <v>11670.570962289999</v>
      </c>
      <c r="H7" s="79">
        <f t="shared" si="0"/>
        <v>12214.777311260001</v>
      </c>
      <c r="I7" s="79">
        <f t="shared" si="0"/>
        <v>19341.371375745901</v>
      </c>
      <c r="J7" s="79">
        <f t="shared" si="0"/>
        <v>17301.287027842955</v>
      </c>
      <c r="K7" s="79">
        <f t="shared" si="0"/>
        <v>25163.553875407499</v>
      </c>
      <c r="L7" s="79">
        <f t="shared" si="0"/>
        <v>26974.277571758528</v>
      </c>
      <c r="M7" s="79">
        <f t="shared" si="0"/>
        <v>28856.463975405597</v>
      </c>
      <c r="N7" s="79">
        <f t="shared" si="0"/>
        <v>27813.044351214266</v>
      </c>
      <c r="O7" s="79">
        <f t="shared" si="0"/>
        <v>34721.845252353349</v>
      </c>
      <c r="P7" s="79">
        <f t="shared" si="0"/>
        <v>35143.966680540674</v>
      </c>
      <c r="Q7" s="79">
        <f t="shared" si="0"/>
        <v>36118.107128408214</v>
      </c>
      <c r="R7" s="79">
        <f t="shared" si="0"/>
        <v>38411.005886231746</v>
      </c>
      <c r="S7" s="79">
        <f t="shared" si="0"/>
        <v>45078.167330485368</v>
      </c>
      <c r="T7" s="79">
        <f t="shared" si="0"/>
        <v>52158.216815698863</v>
      </c>
      <c r="U7" s="79">
        <f t="shared" si="0"/>
        <v>53969.19287518537</v>
      </c>
      <c r="V7" s="79">
        <f t="shared" si="0"/>
        <v>57436.301997247203</v>
      </c>
      <c r="W7" s="79">
        <f t="shared" si="0"/>
        <v>61807.524405070901</v>
      </c>
      <c r="X7" s="79">
        <f t="shared" si="0"/>
        <v>74754.60925710127</v>
      </c>
      <c r="Y7" s="79">
        <f t="shared" si="0"/>
        <v>82512.896920442698</v>
      </c>
      <c r="Z7" s="79">
        <f t="shared" si="0"/>
        <v>80568.265416958544</v>
      </c>
      <c r="AA7" s="79">
        <f t="shared" si="0"/>
        <v>88114.501807707595</v>
      </c>
      <c r="AB7" s="79">
        <f t="shared" si="0"/>
        <v>94876.672754353975</v>
      </c>
      <c r="AC7" s="79">
        <f t="shared" si="0"/>
        <v>113857.92866559949</v>
      </c>
      <c r="AD7" s="79">
        <f t="shared" si="0"/>
        <v>110213.2372194096</v>
      </c>
      <c r="AE7" s="79">
        <f t="shared" si="0"/>
        <v>112324.6814903288</v>
      </c>
      <c r="AF7" s="79">
        <f t="shared" si="0"/>
        <v>122062.20787198372</v>
      </c>
      <c r="AG7" s="79">
        <f t="shared" si="0"/>
        <v>144730.96280351933</v>
      </c>
      <c r="AH7" s="79">
        <f t="shared" si="0"/>
        <v>132286.93370824342</v>
      </c>
      <c r="AI7" s="79">
        <f t="shared" ref="AI7:AJ7" si="1">+SUM(AI5:AI6)</f>
        <v>148808.39178993742</v>
      </c>
      <c r="AJ7" s="79">
        <f t="shared" si="1"/>
        <v>166947.41691268218</v>
      </c>
      <c r="AK7" s="79">
        <f>+SUM(AK5:AK6)</f>
        <v>224667.53603237009</v>
      </c>
      <c r="AL7" s="79">
        <f>+SUM(AL5:AL6)</f>
        <v>200144.47512748229</v>
      </c>
      <c r="AM7" s="79">
        <f>+SUM(AM5:AM6)</f>
        <v>243974.74979249097</v>
      </c>
      <c r="AN7" s="79">
        <f t="shared" ref="AN7:AO7" si="2">+SUM(AN5:AN6)</f>
        <v>328860.73552911391</v>
      </c>
      <c r="AO7" s="79">
        <f t="shared" si="2"/>
        <v>624321.19893288298</v>
      </c>
    </row>
    <row r="8" spans="1:41" ht="52.5" customHeight="1" x14ac:dyDescent="0.3">
      <c r="A8" s="51" t="s">
        <v>247</v>
      </c>
      <c r="B8" s="56">
        <v>75.287853691364361</v>
      </c>
      <c r="C8" s="56">
        <v>69.166387993771153</v>
      </c>
      <c r="D8" s="56">
        <v>64.998109598649506</v>
      </c>
      <c r="E8" s="56">
        <v>61.365802683938846</v>
      </c>
      <c r="F8" s="56">
        <v>58.408350598764166</v>
      </c>
      <c r="G8" s="56">
        <v>55.127082169230682</v>
      </c>
      <c r="H8" s="56">
        <v>52.292540111236626</v>
      </c>
      <c r="I8" s="56">
        <v>48.944594985975264</v>
      </c>
      <c r="J8" s="56">
        <v>42.949253749037602</v>
      </c>
      <c r="K8" s="56">
        <v>38.717210481257439</v>
      </c>
      <c r="L8" s="56">
        <v>37.07770166247974</v>
      </c>
      <c r="M8" s="56">
        <v>35.271748276849259</v>
      </c>
      <c r="N8" s="56">
        <v>33.205313106467536</v>
      </c>
      <c r="O8" s="56">
        <v>31.507842700611125</v>
      </c>
      <c r="P8" s="56">
        <v>29.98372435634942</v>
      </c>
      <c r="Q8" s="56">
        <v>28.256795866031045</v>
      </c>
      <c r="R8" s="56">
        <v>26.497173278754598</v>
      </c>
      <c r="S8" s="56">
        <v>24.368264712173811</v>
      </c>
      <c r="T8" s="56">
        <v>21.359977119068898</v>
      </c>
      <c r="U8" s="56">
        <v>19.139611326719507</v>
      </c>
      <c r="V8" s="56">
        <v>17.114873922705687</v>
      </c>
      <c r="W8" s="56">
        <v>15.632342314968263</v>
      </c>
      <c r="X8" s="56">
        <v>13.888132824579898</v>
      </c>
      <c r="Y8" s="56">
        <v>12.430267508013049</v>
      </c>
      <c r="Z8" s="56">
        <v>11.531992415074596</v>
      </c>
      <c r="AA8" s="56">
        <v>10.952704425637833</v>
      </c>
      <c r="AB8" s="56">
        <v>10.180840311588852</v>
      </c>
      <c r="AC8" s="56">
        <v>9.1384646330655013</v>
      </c>
      <c r="AD8" s="56">
        <v>8.0931736347422589</v>
      </c>
      <c r="AE8" s="56">
        <v>7.2926959931158741</v>
      </c>
      <c r="AF8" s="56">
        <v>6.6740071845949434</v>
      </c>
      <c r="AG8" s="56">
        <v>6.0607322904098764</v>
      </c>
      <c r="AH8" s="56">
        <v>5.2215381145813033</v>
      </c>
      <c r="AI8" s="56">
        <v>4.4510400291483689</v>
      </c>
      <c r="AJ8" s="56">
        <v>3.6471105206535448</v>
      </c>
      <c r="AK8" s="56">
        <v>3.1119847167608885</v>
      </c>
      <c r="AL8" s="56">
        <v>2.5571645914261074</v>
      </c>
      <c r="AM8" s="56">
        <v>2.0644519250094868</v>
      </c>
      <c r="AN8" s="56">
        <v>1.5331381199999998</v>
      </c>
      <c r="AO8" s="56">
        <v>1</v>
      </c>
    </row>
    <row r="9" spans="1:41" ht="52.5" customHeight="1" x14ac:dyDescent="0.3">
      <c r="A9" s="51" t="s">
        <v>248</v>
      </c>
      <c r="B9" s="55">
        <f>+B7*B8</f>
        <v>722446.37667125033</v>
      </c>
      <c r="C9" s="55">
        <f t="shared" ref="C9:AH9" si="3">+C7*C8</f>
        <v>695429.89756656054</v>
      </c>
      <c r="D9" s="55">
        <f t="shared" si="3"/>
        <v>668029.25360729755</v>
      </c>
      <c r="E9" s="55">
        <f t="shared" si="3"/>
        <v>694145.86581110524</v>
      </c>
      <c r="F9" s="55">
        <f t="shared" si="3"/>
        <v>598309.39802118717</v>
      </c>
      <c r="G9" s="55">
        <f t="shared" si="3"/>
        <v>643364.52439999836</v>
      </c>
      <c r="H9" s="55">
        <f t="shared" si="3"/>
        <v>638741.73249888665</v>
      </c>
      <c r="I9" s="55">
        <f t="shared" si="3"/>
        <v>946655.58845921827</v>
      </c>
      <c r="J9" s="55">
        <f t="shared" si="3"/>
        <v>743077.3667437596</v>
      </c>
      <c r="K9" s="55">
        <f t="shared" si="3"/>
        <v>974262.6118506135</v>
      </c>
      <c r="L9" s="55">
        <f t="shared" si="3"/>
        <v>1000144.2163665812</v>
      </c>
      <c r="M9" s="55">
        <f t="shared" si="3"/>
        <v>1017817.9335004751</v>
      </c>
      <c r="N9" s="55">
        <f t="shared" si="3"/>
        <v>923540.84612613788</v>
      </c>
      <c r="O9" s="55">
        <f t="shared" si="3"/>
        <v>1094010.4384861104</v>
      </c>
      <c r="P9" s="55">
        <f t="shared" si="3"/>
        <v>1053747.0097380599</v>
      </c>
      <c r="Q9" s="55">
        <f t="shared" si="3"/>
        <v>1020581.9801948717</v>
      </c>
      <c r="R9" s="55">
        <f t="shared" si="3"/>
        <v>1017783.0787787454</v>
      </c>
      <c r="S9" s="55">
        <f t="shared" si="3"/>
        <v>1098476.7142489329</v>
      </c>
      <c r="T9" s="55">
        <f t="shared" si="3"/>
        <v>1114098.3177547622</v>
      </c>
      <c r="U9" s="55">
        <f t="shared" si="3"/>
        <v>1032949.3752478076</v>
      </c>
      <c r="V9" s="55">
        <f t="shared" si="3"/>
        <v>983015.06726933469</v>
      </c>
      <c r="W9" s="55">
        <f t="shared" si="3"/>
        <v>966196.37914082338</v>
      </c>
      <c r="X9" s="55">
        <f t="shared" si="3"/>
        <v>1038201.9426121925</v>
      </c>
      <c r="Y9" s="55">
        <f t="shared" si="3"/>
        <v>1025657.3815822088</v>
      </c>
      <c r="Z9" s="55">
        <f t="shared" si="3"/>
        <v>929112.62568408274</v>
      </c>
      <c r="AA9" s="55">
        <f t="shared" si="3"/>
        <v>965092.09391215187</v>
      </c>
      <c r="AB9" s="55">
        <f t="shared" si="3"/>
        <v>965924.25460695068</v>
      </c>
      <c r="AC9" s="55">
        <f t="shared" si="3"/>
        <v>1040486.6543046758</v>
      </c>
      <c r="AD9" s="55">
        <f t="shared" si="3"/>
        <v>891974.86566371995</v>
      </c>
      <c r="AE9" s="55">
        <f t="shared" si="3"/>
        <v>819149.7546325376</v>
      </c>
      <c r="AF9" s="55">
        <f t="shared" si="3"/>
        <v>814644.05230514077</v>
      </c>
      <c r="AG9" s="55">
        <f t="shared" si="3"/>
        <v>877175.61968540039</v>
      </c>
      <c r="AH9" s="55">
        <f t="shared" si="3"/>
        <v>690741.26641868323</v>
      </c>
      <c r="AI9" s="55">
        <f t="shared" ref="AI9:AJ9" si="4">+AI7*AI8</f>
        <v>662352.10853020498</v>
      </c>
      <c r="AJ9" s="55">
        <f t="shared" si="4"/>
        <v>608875.6806181767</v>
      </c>
      <c r="AK9" s="55">
        <f>+AK7*AK8</f>
        <v>699161.93848506198</v>
      </c>
      <c r="AL9" s="55">
        <f>+AL7*AL8</f>
        <v>511802.36496556096</v>
      </c>
      <c r="AM9" s="55">
        <f>+AM7*AM8</f>
        <v>503674.14186281589</v>
      </c>
      <c r="AN9" s="55">
        <f t="shared" ref="AN9:AO9" si="5">+AN7*AN8</f>
        <v>504188.92981092283</v>
      </c>
      <c r="AO9" s="55">
        <f t="shared" si="5"/>
        <v>624321.19893288298</v>
      </c>
    </row>
    <row r="10" spans="1:41" ht="52.5" customHeight="1" x14ac:dyDescent="0.3">
      <c r="A10" s="51" t="s">
        <v>83</v>
      </c>
      <c r="B10" s="56">
        <v>8.0098000000000003</v>
      </c>
      <c r="C10" s="56">
        <v>8.1326999999999998</v>
      </c>
      <c r="D10" s="56">
        <v>8.4642999999999997</v>
      </c>
      <c r="E10" s="56">
        <v>8.5519999999999996</v>
      </c>
      <c r="F10" s="56">
        <v>8.8196999999999992</v>
      </c>
      <c r="G10" s="56">
        <v>9.0864999999999991</v>
      </c>
      <c r="H10" s="56">
        <v>9.4192</v>
      </c>
      <c r="I10" s="56">
        <v>13.005000000000001</v>
      </c>
      <c r="J10" s="56">
        <v>14.5817</v>
      </c>
      <c r="K10" s="56">
        <v>14.92</v>
      </c>
      <c r="L10" s="56">
        <v>15.263299999999999</v>
      </c>
      <c r="M10" s="56">
        <v>15.850199999999999</v>
      </c>
      <c r="N10" s="56">
        <v>15.3818</v>
      </c>
      <c r="O10" s="56">
        <v>16.598500000000001</v>
      </c>
      <c r="P10" s="56">
        <v>17.318300000000001</v>
      </c>
      <c r="Q10" s="56">
        <v>18.7742</v>
      </c>
      <c r="R10" s="56">
        <v>20.1433</v>
      </c>
      <c r="S10" s="56">
        <v>28.861699999999999</v>
      </c>
      <c r="T10" s="56">
        <v>40.896700000000003</v>
      </c>
      <c r="U10" s="56">
        <v>37.808300000000003</v>
      </c>
      <c r="V10" s="56">
        <v>43.353299999999997</v>
      </c>
      <c r="W10" s="56">
        <v>42.448300000000003</v>
      </c>
      <c r="X10" s="56">
        <v>57.558300000000003</v>
      </c>
      <c r="Y10" s="56">
        <v>59.895000000000003</v>
      </c>
      <c r="Z10" s="56">
        <v>64.469700000000003</v>
      </c>
      <c r="AA10" s="56">
        <v>70.454999999999998</v>
      </c>
      <c r="AB10" s="56">
        <v>76.174999999999997</v>
      </c>
      <c r="AC10" s="56">
        <v>84.144999999999996</v>
      </c>
      <c r="AD10" s="56">
        <v>91.984999999999999</v>
      </c>
      <c r="AE10" s="56">
        <v>95.726699999999994</v>
      </c>
      <c r="AF10" s="56">
        <v>98.734999999999999</v>
      </c>
      <c r="AG10" s="56">
        <v>102.75</v>
      </c>
      <c r="AH10" s="56">
        <v>110.9783</v>
      </c>
      <c r="AI10" s="56">
        <v>125.215</v>
      </c>
      <c r="AJ10" s="56">
        <v>147.315</v>
      </c>
      <c r="AK10" s="56">
        <v>177.1283</v>
      </c>
      <c r="AL10" s="56">
        <v>208.98830000000001</v>
      </c>
      <c r="AM10" s="56">
        <v>256.67500000000001</v>
      </c>
      <c r="AN10" s="56">
        <v>350.00830000000002</v>
      </c>
      <c r="AO10" s="56">
        <f>+'Servicios Deuda Anual'!C58</f>
        <v>808.48329999999999</v>
      </c>
    </row>
    <row r="11" spans="1:41" ht="52.5" customHeight="1" x14ac:dyDescent="0.3">
      <c r="A11" s="51" t="s">
        <v>84</v>
      </c>
      <c r="B11" s="55">
        <f>+B7/B10</f>
        <v>1198.0060980561311</v>
      </c>
      <c r="C11" s="55">
        <f t="shared" ref="C11:AH11" si="6">+C7/C10</f>
        <v>1236.2989741438882</v>
      </c>
      <c r="D11" s="55">
        <f t="shared" si="6"/>
        <v>1214.2376852143709</v>
      </c>
      <c r="E11" s="55">
        <f t="shared" si="6"/>
        <v>1322.6856137114128</v>
      </c>
      <c r="F11" s="55">
        <f t="shared" si="6"/>
        <v>1161.440776354071</v>
      </c>
      <c r="G11" s="55">
        <f t="shared" si="6"/>
        <v>1284.3857329323723</v>
      </c>
      <c r="H11" s="55">
        <f t="shared" si="6"/>
        <v>1296.7956207809582</v>
      </c>
      <c r="I11" s="55">
        <f t="shared" si="6"/>
        <v>1487.2257882157555</v>
      </c>
      <c r="J11" s="55">
        <f t="shared" si="6"/>
        <v>1186.5068563914328</v>
      </c>
      <c r="K11" s="55">
        <f t="shared" si="6"/>
        <v>1686.5652731506366</v>
      </c>
      <c r="L11" s="55">
        <f t="shared" si="6"/>
        <v>1767.2638008660335</v>
      </c>
      <c r="M11" s="55">
        <f t="shared" si="6"/>
        <v>1820.5741236959532</v>
      </c>
      <c r="N11" s="55">
        <f t="shared" si="6"/>
        <v>1808.1787795455841</v>
      </c>
      <c r="O11" s="55">
        <f t="shared" si="6"/>
        <v>2091.8664489172725</v>
      </c>
      <c r="P11" s="55">
        <f t="shared" si="6"/>
        <v>2029.2965637817033</v>
      </c>
      <c r="Q11" s="55">
        <f t="shared" si="6"/>
        <v>1923.8160416107323</v>
      </c>
      <c r="R11" s="55">
        <f t="shared" si="6"/>
        <v>1906.8874457626976</v>
      </c>
      <c r="S11" s="55">
        <f t="shared" si="6"/>
        <v>1561.8680580314178</v>
      </c>
      <c r="T11" s="55">
        <f t="shared" si="6"/>
        <v>1275.3649271383476</v>
      </c>
      <c r="U11" s="55">
        <f t="shared" si="6"/>
        <v>1427.4429920198836</v>
      </c>
      <c r="V11" s="55">
        <f t="shared" si="6"/>
        <v>1324.8426762725608</v>
      </c>
      <c r="W11" s="55">
        <f t="shared" si="6"/>
        <v>1456.06595329073</v>
      </c>
      <c r="X11" s="55">
        <f t="shared" si="6"/>
        <v>1298.7633279145018</v>
      </c>
      <c r="Y11" s="55">
        <f t="shared" si="6"/>
        <v>1377.625793813218</v>
      </c>
      <c r="Z11" s="55">
        <f t="shared" si="6"/>
        <v>1249.7074659407217</v>
      </c>
      <c r="AA11" s="55">
        <f t="shared" si="6"/>
        <v>1250.6493763069705</v>
      </c>
      <c r="AB11" s="55">
        <f t="shared" si="6"/>
        <v>1245.5093239823298</v>
      </c>
      <c r="AC11" s="55">
        <f t="shared" si="6"/>
        <v>1353.1157961328599</v>
      </c>
      <c r="AD11" s="55">
        <f t="shared" si="6"/>
        <v>1198.165322817955</v>
      </c>
      <c r="AE11" s="55">
        <f t="shared" si="6"/>
        <v>1173.3892580683216</v>
      </c>
      <c r="AF11" s="55">
        <f t="shared" si="6"/>
        <v>1236.2607775559195</v>
      </c>
      <c r="AG11" s="55">
        <f t="shared" si="6"/>
        <v>1408.5738472361979</v>
      </c>
      <c r="AH11" s="55">
        <f t="shared" si="6"/>
        <v>1192.0072095918158</v>
      </c>
      <c r="AI11" s="55">
        <f t="shared" ref="AI11" si="7">+AI7/AI10</f>
        <v>1188.423046679211</v>
      </c>
      <c r="AJ11" s="55">
        <f>+AJ7/AJ10</f>
        <v>1133.2682816595877</v>
      </c>
      <c r="AK11" s="55">
        <f>+AK7/AK10</f>
        <v>1268.388710513058</v>
      </c>
      <c r="AL11" s="55">
        <f>+AL7/AL10</f>
        <v>957.68267949680569</v>
      </c>
      <c r="AM11" s="55">
        <f>+AM7/AM10</f>
        <v>950.52011217489417</v>
      </c>
      <c r="AN11" s="55">
        <f t="shared" ref="AN11:AO11" si="8">+AN7/AN10</f>
        <v>939.57982004744997</v>
      </c>
      <c r="AO11" s="55">
        <f t="shared" si="8"/>
        <v>772.21285700382805</v>
      </c>
    </row>
    <row r="12" spans="1:41" ht="52.5" customHeight="1" x14ac:dyDescent="0.3">
      <c r="A12" s="51" t="s">
        <v>85</v>
      </c>
      <c r="B12" s="54">
        <v>314.46720625</v>
      </c>
      <c r="C12" s="54">
        <v>478.86095885000003</v>
      </c>
      <c r="D12" s="54">
        <v>474.58328738</v>
      </c>
      <c r="E12" s="54">
        <v>778.12609504</v>
      </c>
      <c r="F12" s="54">
        <v>718.73022808000007</v>
      </c>
      <c r="G12" s="54">
        <v>1298.8367923699998</v>
      </c>
      <c r="H12" s="54">
        <v>1625.11270541</v>
      </c>
      <c r="I12" s="54">
        <v>1674.58950392</v>
      </c>
      <c r="J12" s="54">
        <v>618.91159517999995</v>
      </c>
      <c r="K12" s="64">
        <v>722.13102017999995</v>
      </c>
      <c r="L12" s="54">
        <v>633.77258883000002</v>
      </c>
      <c r="M12" s="64">
        <v>935.87173382000003</v>
      </c>
      <c r="N12" s="54">
        <v>698.34998707</v>
      </c>
      <c r="O12" s="64">
        <v>879.25538699000003</v>
      </c>
      <c r="P12" s="54">
        <v>836.87532364999993</v>
      </c>
      <c r="Q12" s="64">
        <v>898.69213680999997</v>
      </c>
      <c r="R12" s="64">
        <v>1153.66550927</v>
      </c>
      <c r="S12" s="64">
        <v>1117.7619162000001</v>
      </c>
      <c r="T12" s="64">
        <v>973.22907361</v>
      </c>
      <c r="U12" s="64">
        <v>2081.8590620999998</v>
      </c>
      <c r="V12" s="64">
        <v>1166.28844142</v>
      </c>
      <c r="W12" s="54">
        <v>1994.24181458</v>
      </c>
      <c r="X12" s="54">
        <v>1582.17197738</v>
      </c>
      <c r="Y12" s="54">
        <v>3973.4916769800002</v>
      </c>
      <c r="Z12" s="54">
        <v>1829.54825347</v>
      </c>
      <c r="AA12" s="54">
        <v>1967.2654723000001</v>
      </c>
      <c r="AB12" s="54">
        <v>2306.01199004</v>
      </c>
      <c r="AC12" s="54">
        <v>4480.3689031499998</v>
      </c>
      <c r="AD12" s="54">
        <v>1986.7844765499999</v>
      </c>
      <c r="AE12" s="54">
        <v>3455.3547898900001</v>
      </c>
      <c r="AF12" s="54">
        <v>3173.6009410000001</v>
      </c>
      <c r="AG12" s="54">
        <v>5889.6617611599995</v>
      </c>
      <c r="AH12" s="120">
        <v>3272.58093147</v>
      </c>
      <c r="AI12" s="54">
        <f>4275.84906046+226.21680951</f>
        <v>4502.0658699699998</v>
      </c>
      <c r="AJ12" s="54">
        <v>5201.9054230399997</v>
      </c>
      <c r="AK12" s="54">
        <v>15849.07698921</v>
      </c>
      <c r="AL12" s="54">
        <v>6932.1063246499998</v>
      </c>
      <c r="AM12" s="54">
        <v>9414.13902762</v>
      </c>
      <c r="AN12" s="54">
        <v>7973.2664187500004</v>
      </c>
      <c r="AO12" s="54">
        <v>26319.3699576</v>
      </c>
    </row>
    <row r="13" spans="1:41" ht="52.5" customHeight="1" x14ac:dyDescent="0.3">
      <c r="A13" s="51" t="s">
        <v>249</v>
      </c>
      <c r="B13" s="79">
        <f>SUM(B7,B12)*B8</f>
        <v>746121.93768613238</v>
      </c>
      <c r="C13" s="79">
        <f t="shared" ref="C13:AH13" si="9">SUM(C7,C12)*C8</f>
        <v>728550.98044144898</v>
      </c>
      <c r="D13" s="79">
        <f t="shared" si="9"/>
        <v>698876.27013411024</v>
      </c>
      <c r="E13" s="79">
        <f t="shared" si="9"/>
        <v>741896.19822255359</v>
      </c>
      <c r="F13" s="79">
        <f t="shared" si="9"/>
        <v>640289.2451688135</v>
      </c>
      <c r="G13" s="79">
        <f t="shared" si="9"/>
        <v>714965.60697739932</v>
      </c>
      <c r="H13" s="79">
        <f t="shared" si="9"/>
        <v>723723.00383181928</v>
      </c>
      <c r="I13" s="79">
        <f t="shared" si="9"/>
        <v>1028617.693496348</v>
      </c>
      <c r="J13" s="79">
        <f t="shared" si="9"/>
        <v>769659.15789336711</v>
      </c>
      <c r="K13" s="79">
        <f t="shared" si="9"/>
        <v>1002221.5105539677</v>
      </c>
      <c r="L13" s="79">
        <f t="shared" si="9"/>
        <v>1023643.0473370773</v>
      </c>
      <c r="M13" s="79">
        <f t="shared" si="9"/>
        <v>1050827.7657151925</v>
      </c>
      <c r="N13" s="79">
        <f t="shared" si="9"/>
        <v>946729.77610469481</v>
      </c>
      <c r="O13" s="79">
        <f t="shared" si="9"/>
        <v>1121713.8789130563</v>
      </c>
      <c r="P13" s="79">
        <f t="shared" si="9"/>
        <v>1078839.6487630121</v>
      </c>
      <c r="Q13" s="79">
        <f t="shared" si="9"/>
        <v>1045976.140451119</v>
      </c>
      <c r="R13" s="79">
        <f t="shared" si="9"/>
        <v>1048351.9536835953</v>
      </c>
      <c r="S13" s="79">
        <f t="shared" si="9"/>
        <v>1125714.6325080812</v>
      </c>
      <c r="T13" s="79">
        <f t="shared" si="9"/>
        <v>1134886.4684986845</v>
      </c>
      <c r="U13" s="79">
        <f t="shared" si="9"/>
        <v>1072795.3485334103</v>
      </c>
      <c r="V13" s="79">
        <f t="shared" si="9"/>
        <v>1002975.946901747</v>
      </c>
      <c r="W13" s="79">
        <f t="shared" si="9"/>
        <v>997371.04984516138</v>
      </c>
      <c r="X13" s="79">
        <f t="shared" si="9"/>
        <v>1060175.3571853742</v>
      </c>
      <c r="Y13" s="79">
        <f t="shared" si="9"/>
        <v>1075048.9460679337</v>
      </c>
      <c r="Z13" s="79">
        <f t="shared" si="9"/>
        <v>950210.96226611175</v>
      </c>
      <c r="AA13" s="79">
        <f t="shared" si="9"/>
        <v>986638.97115701658</v>
      </c>
      <c r="AB13" s="79">
        <f t="shared" si="9"/>
        <v>989401.39443415718</v>
      </c>
      <c r="AC13" s="79">
        <f t="shared" si="9"/>
        <v>1081430.3470691985</v>
      </c>
      <c r="AD13" s="79">
        <f t="shared" si="9"/>
        <v>908054.25740724965</v>
      </c>
      <c r="AE13" s="79">
        <f t="shared" si="9"/>
        <v>844348.60666356224</v>
      </c>
      <c r="AF13" s="79">
        <f t="shared" si="9"/>
        <v>835824.68778641208</v>
      </c>
      <c r="AG13" s="79">
        <f t="shared" si="9"/>
        <v>912871.28290085506</v>
      </c>
      <c r="AH13" s="79">
        <f t="shared" si="9"/>
        <v>707829.17248540581</v>
      </c>
      <c r="AI13" s="79">
        <f t="shared" ref="AI13" si="10">SUM(AI7,AI12)*AI8</f>
        <v>682390.98393130407</v>
      </c>
      <c r="AJ13" s="79">
        <f>SUM(AJ7,AJ12)*AJ8</f>
        <v>627847.60461399064</v>
      </c>
      <c r="AK13" s="79">
        <f>SUM(AK7,AK12)*AK8</f>
        <v>748484.02385025017</v>
      </c>
      <c r="AL13" s="79">
        <f>SUM(AL7,AL12)*AL8</f>
        <v>529528.90180295694</v>
      </c>
      <c r="AM13" s="79">
        <f>SUM(AM7,AM12)*AM8</f>
        <v>523109.17930069292</v>
      </c>
      <c r="AN13" s="79">
        <f t="shared" ref="AN13" si="11">SUM(AN7,AN12)*AN8</f>
        <v>516413.04849842435</v>
      </c>
      <c r="AO13" s="79">
        <f>SUM(AO7,AO12)*AO8</f>
        <v>650640.568890483</v>
      </c>
    </row>
    <row r="14" spans="1:41" ht="52.5" customHeight="1" x14ac:dyDescent="0.3">
      <c r="A14" s="51" t="s">
        <v>86</v>
      </c>
      <c r="B14" s="91">
        <v>7.2591190403288736E-2</v>
      </c>
      <c r="C14" s="91">
        <v>7.6060903278814096E-2</v>
      </c>
      <c r="D14" s="91">
        <v>7.7749565866389994E-2</v>
      </c>
      <c r="E14" s="91">
        <v>8.5571183709206716E-2</v>
      </c>
      <c r="F14" s="91">
        <v>6.1635656176719449E-2</v>
      </c>
      <c r="G14" s="91">
        <v>7.0222008200981109E-2</v>
      </c>
      <c r="H14" s="91">
        <v>7.3496506323127722E-2</v>
      </c>
      <c r="I14" s="91">
        <v>0.11637733438701836</v>
      </c>
      <c r="J14" s="91">
        <v>7.7755267567067438E-2</v>
      </c>
      <c r="K14" s="91">
        <v>0.11308978698358528</v>
      </c>
      <c r="L14" s="91">
        <v>0.12122752293775013</v>
      </c>
      <c r="M14" s="91">
        <v>0.12968642586162818</v>
      </c>
      <c r="N14" s="91">
        <v>9.8960236946928334E-2</v>
      </c>
      <c r="O14" s="91">
        <v>0.12354210456136036</v>
      </c>
      <c r="P14" s="91">
        <v>0.12504403423242744</v>
      </c>
      <c r="Q14" s="91">
        <v>0.12851007586106886</v>
      </c>
      <c r="R14" s="91">
        <v>9.8082755534520435E-2</v>
      </c>
      <c r="S14" s="91">
        <v>0.11510739602383153</v>
      </c>
      <c r="T14" s="91">
        <v>0.13318634883457836</v>
      </c>
      <c r="U14" s="91">
        <v>0.13781068808379218</v>
      </c>
      <c r="V14" s="91">
        <v>0.10167224208084931</v>
      </c>
      <c r="W14" s="91">
        <v>0.1094100658505409</v>
      </c>
      <c r="X14" s="91">
        <v>0.13232865739531025</v>
      </c>
      <c r="Y14" s="91">
        <v>0.14606217564092991</v>
      </c>
      <c r="Z14" s="92">
        <v>0.10888293191158835</v>
      </c>
      <c r="AA14" s="92">
        <v>0.11908119469992599</v>
      </c>
      <c r="AB14" s="92">
        <v>0.12821984246586438</v>
      </c>
      <c r="AC14" s="92">
        <v>0.1538718133043176</v>
      </c>
      <c r="AD14" s="92">
        <v>9.4514360083681484E-2</v>
      </c>
      <c r="AE14" s="92">
        <v>9.6325048247399986E-2</v>
      </c>
      <c r="AF14" s="92">
        <v>0.10467555221570191</v>
      </c>
      <c r="AG14" s="92">
        <v>0.12411534838086317</v>
      </c>
      <c r="AH14" s="92">
        <v>5.988407468734766E-2</v>
      </c>
      <c r="AI14" s="92">
        <v>6.7363061477457187E-2</v>
      </c>
      <c r="AJ14" s="92">
        <v>7.5574293719046545E-2</v>
      </c>
      <c r="AK14" s="92">
        <v>0.10170322291434622</v>
      </c>
      <c r="AL14" s="57"/>
      <c r="AM14" s="57"/>
      <c r="AN14" s="57"/>
      <c r="AO14" s="57"/>
    </row>
    <row r="15" spans="1:41" ht="21.75" customHeight="1" x14ac:dyDescent="0.3">
      <c r="B15" s="59"/>
      <c r="C15" s="59"/>
      <c r="D15" s="59"/>
      <c r="E15" s="59"/>
      <c r="F15" s="59"/>
      <c r="G15" s="59"/>
      <c r="H15" s="59"/>
      <c r="I15" s="59"/>
      <c r="J15" s="59"/>
      <c r="K15" s="59"/>
      <c r="L15" s="59"/>
      <c r="M15" s="59"/>
      <c r="N15" s="59"/>
      <c r="O15" s="59"/>
      <c r="P15" s="59"/>
      <c r="Q15" s="59"/>
      <c r="R15" s="59"/>
      <c r="S15" s="59"/>
      <c r="T15" s="59"/>
      <c r="U15" s="59"/>
      <c r="V15" s="59"/>
      <c r="W15" s="59"/>
      <c r="X15" s="59"/>
      <c r="Y15" s="59"/>
    </row>
    <row r="16" spans="1:41" x14ac:dyDescent="0.3">
      <c r="A16" s="60"/>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89"/>
      <c r="AL16" s="181"/>
      <c r="AM16" s="181"/>
    </row>
    <row r="17" spans="1:41" x14ac:dyDescent="0.3">
      <c r="A17" s="61"/>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204"/>
    </row>
    <row r="18" spans="1:41" x14ac:dyDescent="0.3">
      <c r="B18" s="59"/>
      <c r="C18" s="59"/>
      <c r="D18" s="59"/>
      <c r="E18" s="59"/>
      <c r="F18" s="59"/>
      <c r="G18" s="59"/>
      <c r="H18" s="59"/>
      <c r="I18" s="59"/>
      <c r="J18" s="59"/>
      <c r="K18" s="59"/>
      <c r="L18" s="59"/>
      <c r="M18" s="59"/>
      <c r="N18" s="59"/>
      <c r="O18" s="59"/>
      <c r="P18" s="59"/>
      <c r="Q18" s="59"/>
      <c r="R18" s="59"/>
      <c r="S18" s="59"/>
      <c r="T18" s="59"/>
      <c r="U18" s="59"/>
      <c r="V18" s="59"/>
      <c r="W18" s="59"/>
      <c r="X18" s="59"/>
      <c r="Y18" s="59"/>
    </row>
    <row r="19" spans="1:41" x14ac:dyDescent="0.3">
      <c r="A19" s="61"/>
      <c r="B19" s="59"/>
      <c r="C19" s="59"/>
      <c r="D19" s="59"/>
      <c r="E19" s="59"/>
      <c r="F19" s="59"/>
      <c r="G19" s="59"/>
      <c r="H19" s="59"/>
      <c r="I19" s="59"/>
      <c r="J19" s="59"/>
      <c r="K19" s="59"/>
      <c r="L19" s="59"/>
      <c r="M19" s="59"/>
      <c r="N19" s="59"/>
      <c r="O19" s="59"/>
      <c r="P19" s="59"/>
      <c r="Q19" s="59"/>
      <c r="R19" s="59"/>
      <c r="S19" s="59"/>
      <c r="T19" s="59"/>
      <c r="U19" s="59"/>
      <c r="V19" s="59"/>
      <c r="W19" s="59"/>
      <c r="X19" s="59"/>
      <c r="Y19" s="59"/>
    </row>
    <row r="20" spans="1:41" x14ac:dyDescent="0.3">
      <c r="B20" s="59"/>
      <c r="C20" s="59"/>
      <c r="D20" s="59"/>
      <c r="E20" s="59"/>
      <c r="F20" s="59"/>
      <c r="G20" s="59"/>
      <c r="H20" s="59"/>
      <c r="I20" s="59"/>
      <c r="J20" s="59"/>
      <c r="K20" s="59"/>
      <c r="L20" s="59"/>
      <c r="M20" s="59"/>
      <c r="N20" s="59"/>
      <c r="O20" s="59"/>
      <c r="P20" s="59"/>
      <c r="Q20" s="59"/>
      <c r="R20" s="59"/>
      <c r="S20" s="59"/>
      <c r="T20" s="59"/>
      <c r="U20" s="59"/>
      <c r="V20" s="59"/>
      <c r="W20" s="59"/>
      <c r="X20" s="59"/>
      <c r="Y20" s="59"/>
    </row>
    <row r="21" spans="1:41" x14ac:dyDescent="0.3">
      <c r="B21" s="59"/>
      <c r="C21" s="59"/>
      <c r="D21" s="59"/>
      <c r="E21" s="59"/>
      <c r="F21" s="59"/>
      <c r="G21" s="59"/>
      <c r="H21" s="59"/>
      <c r="I21" s="59"/>
      <c r="J21" s="59"/>
      <c r="K21" s="59"/>
      <c r="L21" s="59"/>
      <c r="M21" s="59"/>
      <c r="N21" s="59"/>
      <c r="O21" s="59"/>
      <c r="P21" s="59"/>
      <c r="Q21" s="59"/>
      <c r="R21" s="59"/>
      <c r="S21" s="59"/>
      <c r="T21" s="59"/>
      <c r="U21" s="59"/>
      <c r="V21" s="59"/>
      <c r="W21" s="59"/>
      <c r="X21" s="59"/>
      <c r="Y21" s="59"/>
    </row>
    <row r="22" spans="1:41" x14ac:dyDescent="0.3">
      <c r="B22" s="59"/>
      <c r="C22" s="59"/>
      <c r="D22" s="59"/>
      <c r="E22" s="59"/>
      <c r="F22" s="59"/>
      <c r="G22" s="59"/>
      <c r="H22" s="59"/>
      <c r="I22" s="59"/>
      <c r="J22" s="59"/>
      <c r="K22" s="59"/>
      <c r="L22" s="59"/>
      <c r="M22" s="59"/>
      <c r="N22" s="59"/>
      <c r="O22" s="59"/>
      <c r="P22" s="59"/>
      <c r="Q22" s="59"/>
      <c r="R22" s="59"/>
      <c r="S22" s="59"/>
      <c r="T22" s="59"/>
      <c r="U22" s="59"/>
      <c r="V22" s="59"/>
      <c r="W22" s="59"/>
      <c r="X22" s="59"/>
      <c r="Y22" s="59"/>
    </row>
    <row r="23" spans="1:41" x14ac:dyDescent="0.3">
      <c r="B23" s="59"/>
      <c r="C23" s="59"/>
      <c r="D23" s="59"/>
      <c r="E23" s="59"/>
      <c r="F23" s="59"/>
      <c r="G23" s="59"/>
      <c r="H23" s="59"/>
      <c r="I23" s="59"/>
      <c r="J23" s="59"/>
      <c r="K23" s="59"/>
      <c r="L23" s="59"/>
      <c r="M23" s="59"/>
      <c r="N23" s="59"/>
      <c r="O23" s="59"/>
      <c r="P23" s="59"/>
      <c r="Q23" s="59"/>
      <c r="R23" s="59"/>
      <c r="S23" s="59"/>
      <c r="T23" s="59"/>
      <c r="U23" s="59"/>
      <c r="V23" s="59"/>
      <c r="W23" s="59"/>
      <c r="X23" s="59"/>
      <c r="Y23" s="59"/>
    </row>
    <row r="24" spans="1:41" x14ac:dyDescent="0.3">
      <c r="B24" s="59"/>
      <c r="C24" s="59"/>
      <c r="D24" s="59"/>
      <c r="E24" s="59"/>
      <c r="F24" s="59"/>
      <c r="G24" s="59"/>
      <c r="H24" s="59"/>
      <c r="I24" s="59"/>
      <c r="J24" s="59"/>
      <c r="K24" s="59"/>
      <c r="L24" s="59"/>
      <c r="M24" s="59"/>
      <c r="N24" s="59"/>
      <c r="O24" s="59"/>
      <c r="P24" s="59"/>
      <c r="Q24" s="59"/>
      <c r="R24" s="59"/>
      <c r="S24" s="59"/>
      <c r="T24" s="59"/>
      <c r="U24" s="59"/>
      <c r="V24" s="59"/>
      <c r="W24" s="59"/>
      <c r="X24" s="59"/>
      <c r="Y24" s="59"/>
    </row>
    <row r="37" spans="2:34" x14ac:dyDescent="0.3">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row>
    <row r="38" spans="2:34" x14ac:dyDescent="0.3">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row>
    <row r="39" spans="2:34" x14ac:dyDescent="0.3">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row>
    <row r="40" spans="2:34" x14ac:dyDescent="0.3">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row>
    <row r="42" spans="2:34" x14ac:dyDescent="0.3">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row>
    <row r="43" spans="2:34" x14ac:dyDescent="0.3">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23"/>
  <sheetViews>
    <sheetView zoomScaleNormal="100" workbookViewId="0">
      <selection activeCell="O4" sqref="O4"/>
    </sheetView>
  </sheetViews>
  <sheetFormatPr baseColWidth="10" defaultRowHeight="15" x14ac:dyDescent="0.25"/>
  <cols>
    <col min="17" max="17" width="11.85546875" bestFit="1" customWidth="1"/>
  </cols>
  <sheetData>
    <row r="1" spans="1:16" x14ac:dyDescent="0.25">
      <c r="L1" t="s">
        <v>246</v>
      </c>
    </row>
    <row r="2" spans="1:16" x14ac:dyDescent="0.25">
      <c r="A2" s="206" t="s">
        <v>206</v>
      </c>
      <c r="B2" s="206" t="s">
        <v>207</v>
      </c>
      <c r="C2" t="s">
        <v>208</v>
      </c>
      <c r="D2" t="s">
        <v>209</v>
      </c>
      <c r="E2" s="206" t="s">
        <v>210</v>
      </c>
      <c r="G2" t="s">
        <v>206</v>
      </c>
      <c r="H2" t="s">
        <v>211</v>
      </c>
      <c r="M2" t="s">
        <v>210</v>
      </c>
    </row>
    <row r="3" spans="1:16" x14ac:dyDescent="0.25">
      <c r="A3" s="161">
        <v>41609</v>
      </c>
      <c r="C3" s="163">
        <v>544.12</v>
      </c>
      <c r="E3" s="166">
        <f>+C3</f>
        <v>544.12</v>
      </c>
      <c r="G3" s="161">
        <v>41699</v>
      </c>
      <c r="H3">
        <f>+AVERAGE($E$118:$E$120)/AVERAGE(E4:E6)</f>
        <v>46.469125421312214</v>
      </c>
      <c r="J3">
        <v>29.541577188732788</v>
      </c>
      <c r="M3" s="205">
        <f t="shared" ref="M3:M41" si="0">+_xlfn.XLOOKUP($G$42,$A:$A,$E:$E)/_xlfn.XLOOKUP(G3,$A:$A,$E:$E)</f>
        <v>75.287853691364361</v>
      </c>
      <c r="N3" s="162"/>
      <c r="P3">
        <v>75.287853691364361</v>
      </c>
    </row>
    <row r="4" spans="1:16" x14ac:dyDescent="0.25">
      <c r="A4" s="161">
        <f>+EDATE(A3,1)</f>
        <v>41640</v>
      </c>
      <c r="C4" s="163">
        <v>561.83000000000004</v>
      </c>
      <c r="D4" s="145">
        <f>+C4/C3-1</f>
        <v>3.2547967360141206E-2</v>
      </c>
      <c r="E4" s="166">
        <f t="shared" ref="E4:E39" si="1">+C4</f>
        <v>561.83000000000004</v>
      </c>
      <c r="G4" s="161">
        <f>+EDATE(G3,3)</f>
        <v>41791</v>
      </c>
      <c r="H4">
        <f>+AVERAGE($E$118:$E$120)/AVERAGE(E7:E9)</f>
        <v>41.207247270905874</v>
      </c>
      <c r="I4" s="162">
        <f>+H4/H3-1</f>
        <v>-0.11323385371899153</v>
      </c>
      <c r="J4">
        <v>27.497746740226049</v>
      </c>
      <c r="K4" s="162">
        <f>+J4/J3-1</f>
        <v>-6.9184879177211278E-2</v>
      </c>
      <c r="M4" s="205">
        <f t="shared" si="0"/>
        <v>69.166387993771153</v>
      </c>
      <c r="N4" s="162"/>
      <c r="P4">
        <v>69.166387993771153</v>
      </c>
    </row>
    <row r="5" spans="1:16" x14ac:dyDescent="0.25">
      <c r="A5" s="161">
        <f>+EDATE(A4,1)</f>
        <v>41671</v>
      </c>
      <c r="C5" s="163">
        <v>585.34</v>
      </c>
      <c r="D5" s="145">
        <f t="shared" ref="D5:D68" si="2">+C5/C4-1</f>
        <v>4.1845398074150442E-2</v>
      </c>
      <c r="E5" s="166">
        <f t="shared" si="1"/>
        <v>585.34</v>
      </c>
      <c r="G5" s="161">
        <f t="shared" ref="G5:G42" si="3">+EDATE(G4,3)</f>
        <v>41883</v>
      </c>
      <c r="H5">
        <f>+AVERAGE($E$118:$E$120)/AVERAGE(E10:E12)</f>
        <v>38.702787690084968</v>
      </c>
      <c r="I5" s="162">
        <f t="shared" ref="I5:I40" si="4">+H5/H4-1</f>
        <v>-6.0777162918843275E-2</v>
      </c>
      <c r="J5">
        <v>25.741624627759919</v>
      </c>
      <c r="K5" s="162">
        <f t="shared" ref="K5:K40" si="5">+J5/J4-1</f>
        <v>-6.3864218732407108E-2</v>
      </c>
      <c r="M5" s="205">
        <f t="shared" si="0"/>
        <v>64.998109598649506</v>
      </c>
      <c r="N5" s="162"/>
      <c r="P5">
        <v>64.998109598649506</v>
      </c>
    </row>
    <row r="6" spans="1:16" x14ac:dyDescent="0.25">
      <c r="A6" s="161">
        <f t="shared" ref="A6:A36" si="6">+EDATE(A5,1)</f>
        <v>41699</v>
      </c>
      <c r="C6" s="163">
        <v>627.32000000000005</v>
      </c>
      <c r="D6" s="145">
        <f t="shared" si="2"/>
        <v>7.1719000922540799E-2</v>
      </c>
      <c r="E6" s="166">
        <f t="shared" si="1"/>
        <v>627.32000000000005</v>
      </c>
      <c r="G6" s="161">
        <f t="shared" si="3"/>
        <v>41974</v>
      </c>
      <c r="H6">
        <f>+AVERAGE($E$118:$E$120)/AVERAGE(E13:E15)</f>
        <v>36.209742571715282</v>
      </c>
      <c r="I6" s="162">
        <f t="shared" si="4"/>
        <v>-6.4415130463802872E-2</v>
      </c>
      <c r="J6">
        <v>24.609303887173208</v>
      </c>
      <c r="K6" s="162">
        <f t="shared" si="5"/>
        <v>-4.3987928382950958E-2</v>
      </c>
      <c r="M6" s="205">
        <f t="shared" si="0"/>
        <v>61.365802683938846</v>
      </c>
      <c r="N6" s="162"/>
      <c r="P6">
        <v>61.365802683938846</v>
      </c>
    </row>
    <row r="7" spans="1:16" x14ac:dyDescent="0.25">
      <c r="A7" s="161">
        <f t="shared" si="6"/>
        <v>41730</v>
      </c>
      <c r="C7" s="163">
        <v>652.39</v>
      </c>
      <c r="D7" s="145">
        <f t="shared" si="2"/>
        <v>3.9963654912962943E-2</v>
      </c>
      <c r="E7" s="166">
        <f t="shared" si="1"/>
        <v>652.39</v>
      </c>
      <c r="G7" s="161">
        <f t="shared" si="3"/>
        <v>42064</v>
      </c>
      <c r="H7">
        <f>+AVERAGE($E$118:$E$120)/AVERAGE(E16:E18)</f>
        <v>34.612607087512416</v>
      </c>
      <c r="I7" s="162">
        <f t="shared" si="4"/>
        <v>-4.4107893919423935E-2</v>
      </c>
      <c r="J7">
        <v>23.267931578378025</v>
      </c>
      <c r="K7" s="162">
        <f t="shared" si="5"/>
        <v>-5.4506714815867996E-2</v>
      </c>
      <c r="M7" s="205">
        <f t="shared" si="0"/>
        <v>58.408350598764166</v>
      </c>
      <c r="N7" s="162"/>
      <c r="P7">
        <v>58.408350598764166</v>
      </c>
    </row>
    <row r="8" spans="1:16" x14ac:dyDescent="0.25">
      <c r="A8" s="161">
        <f t="shared" si="6"/>
        <v>41760</v>
      </c>
      <c r="C8" s="163">
        <v>665.85</v>
      </c>
      <c r="D8" s="145">
        <f t="shared" si="2"/>
        <v>2.063183065344365E-2</v>
      </c>
      <c r="E8" s="166">
        <f t="shared" si="1"/>
        <v>665.85</v>
      </c>
      <c r="G8" s="161">
        <f t="shared" si="3"/>
        <v>42156</v>
      </c>
      <c r="H8">
        <f>+AVERAGE($E$118:$E$120)/AVERAGE(E19:E21)</f>
        <v>32.692375665120835</v>
      </c>
      <c r="I8" s="162">
        <f t="shared" si="4"/>
        <v>-5.5477803724422792E-2</v>
      </c>
      <c r="J8">
        <v>22.093317965256286</v>
      </c>
      <c r="K8" s="162">
        <f t="shared" si="5"/>
        <v>-5.0482081278477753E-2</v>
      </c>
      <c r="M8" s="205">
        <f t="shared" si="0"/>
        <v>55.127082169230682</v>
      </c>
      <c r="N8" s="162"/>
      <c r="P8">
        <v>55.127082169230682</v>
      </c>
    </row>
    <row r="9" spans="1:16" x14ac:dyDescent="0.25">
      <c r="A9" s="161">
        <f t="shared" si="6"/>
        <v>41791</v>
      </c>
      <c r="C9" s="163">
        <v>682.84</v>
      </c>
      <c r="D9" s="145">
        <f t="shared" si="2"/>
        <v>2.551625741533381E-2</v>
      </c>
      <c r="E9" s="166">
        <f t="shared" si="1"/>
        <v>682.84</v>
      </c>
      <c r="G9" s="161">
        <f t="shared" si="3"/>
        <v>42248</v>
      </c>
      <c r="H9">
        <f>+AVERAGE($E$118:$E$120)/AVERAGE(E22:E24)</f>
        <v>31.050518281417791</v>
      </c>
      <c r="I9" s="162">
        <f t="shared" si="4"/>
        <v>-5.0221415553312831E-2</v>
      </c>
      <c r="J9">
        <v>20.881330193908372</v>
      </c>
      <c r="K9" s="162">
        <f t="shared" si="5"/>
        <v>-5.4857662088323433E-2</v>
      </c>
      <c r="M9" s="205">
        <f t="shared" si="0"/>
        <v>52.292540111236626</v>
      </c>
      <c r="N9" s="162"/>
      <c r="P9">
        <v>52.292540111236626</v>
      </c>
    </row>
    <row r="10" spans="1:16" x14ac:dyDescent="0.25">
      <c r="A10" s="161">
        <f t="shared" si="6"/>
        <v>41821</v>
      </c>
      <c r="C10" s="163">
        <v>695.13</v>
      </c>
      <c r="D10" s="145">
        <f t="shared" si="2"/>
        <v>1.7998359791459251E-2</v>
      </c>
      <c r="E10" s="166">
        <f t="shared" si="1"/>
        <v>695.13</v>
      </c>
      <c r="G10" s="161">
        <f t="shared" si="3"/>
        <v>42339</v>
      </c>
      <c r="H10">
        <f>+AVERAGE($E$118:$E$120)/AVERAGE(E25:E27)</f>
        <v>29.15579352697609</v>
      </c>
      <c r="I10" s="162">
        <f t="shared" si="4"/>
        <v>-6.1020712674403232E-2</v>
      </c>
      <c r="J10">
        <v>19.172189011428014</v>
      </c>
      <c r="K10" s="162">
        <f t="shared" si="5"/>
        <v>-8.1850206218134547E-2</v>
      </c>
      <c r="M10" s="205">
        <f t="shared" si="0"/>
        <v>48.944594985975264</v>
      </c>
      <c r="N10" s="162"/>
      <c r="P10">
        <v>48.944594985975264</v>
      </c>
    </row>
    <row r="11" spans="1:16" x14ac:dyDescent="0.25">
      <c r="A11" s="161">
        <f t="shared" si="6"/>
        <v>41852</v>
      </c>
      <c r="C11" s="163">
        <v>708.81</v>
      </c>
      <c r="D11" s="145">
        <f t="shared" si="2"/>
        <v>1.9679772128954331E-2</v>
      </c>
      <c r="E11" s="166">
        <f t="shared" si="1"/>
        <v>708.81</v>
      </c>
      <c r="G11" s="161">
        <f t="shared" si="3"/>
        <v>42430</v>
      </c>
      <c r="H11">
        <f>+AVERAGE($E$118:$E$120)/AVERAGE(E28:E30)</f>
        <v>25.786003705294338</v>
      </c>
      <c r="I11" s="162">
        <f t="shared" si="4"/>
        <v>-0.11557873801527274</v>
      </c>
      <c r="J11">
        <v>17.31764991747065</v>
      </c>
      <c r="K11" s="162">
        <f t="shared" si="5"/>
        <v>-9.6730691151225567E-2</v>
      </c>
      <c r="M11" s="205">
        <f t="shared" si="0"/>
        <v>42.949253749037602</v>
      </c>
      <c r="N11" s="162"/>
      <c r="P11">
        <v>42.949253749037602</v>
      </c>
    </row>
    <row r="12" spans="1:16" x14ac:dyDescent="0.25">
      <c r="A12" s="161">
        <f t="shared" si="6"/>
        <v>41883</v>
      </c>
      <c r="C12" s="164">
        <v>726.63</v>
      </c>
      <c r="D12" s="145">
        <f t="shared" si="2"/>
        <v>2.5140728827189207E-2</v>
      </c>
      <c r="E12" s="166">
        <f t="shared" si="1"/>
        <v>726.63</v>
      </c>
      <c r="G12" s="161">
        <f t="shared" si="3"/>
        <v>42522</v>
      </c>
      <c r="H12">
        <f>+AVERAGE($E$118:$E$120)/AVERAGE(E31:E33)</f>
        <v>23.405372108741311</v>
      </c>
      <c r="I12" s="162">
        <f t="shared" si="4"/>
        <v>-9.2322626792465723E-2</v>
      </c>
      <c r="J12">
        <v>15.357014315529433</v>
      </c>
      <c r="K12" s="162">
        <f t="shared" si="5"/>
        <v>-0.1132160316951123</v>
      </c>
      <c r="M12" s="205">
        <f t="shared" si="0"/>
        <v>38.717210481257439</v>
      </c>
      <c r="N12" s="162"/>
      <c r="P12">
        <v>38.717210481257439</v>
      </c>
    </row>
    <row r="13" spans="1:16" x14ac:dyDescent="0.25">
      <c r="A13" s="161">
        <f t="shared" si="6"/>
        <v>41913</v>
      </c>
      <c r="C13" s="164">
        <v>749.11</v>
      </c>
      <c r="D13" s="145">
        <f t="shared" si="2"/>
        <v>3.093734087499822E-2</v>
      </c>
      <c r="E13" s="166">
        <f t="shared" si="1"/>
        <v>749.11</v>
      </c>
      <c r="G13" s="161">
        <f t="shared" si="3"/>
        <v>42614</v>
      </c>
      <c r="H13">
        <f>+AVERAGE($E$118:$E$120)/AVERAGE(E34:E36)</f>
        <v>21.830200585304368</v>
      </c>
      <c r="I13" s="162">
        <f t="shared" si="4"/>
        <v>-6.7299571915314993E-2</v>
      </c>
      <c r="J13">
        <v>15.308841624632819</v>
      </c>
      <c r="K13" s="162">
        <f t="shared" si="5"/>
        <v>-3.1368526398976027E-3</v>
      </c>
      <c r="M13" s="205">
        <f t="shared" si="0"/>
        <v>37.07770166247974</v>
      </c>
      <c r="N13" s="162"/>
      <c r="P13">
        <v>37.07770166247974</v>
      </c>
    </row>
    <row r="14" spans="1:16" x14ac:dyDescent="0.25">
      <c r="A14" s="161">
        <f t="shared" si="6"/>
        <v>41944</v>
      </c>
      <c r="C14" s="164">
        <v>758.51</v>
      </c>
      <c r="D14" s="145">
        <f t="shared" si="2"/>
        <v>1.2548223892352217E-2</v>
      </c>
      <c r="E14" s="166">
        <f t="shared" si="1"/>
        <v>758.51</v>
      </c>
      <c r="G14" s="161">
        <f t="shared" si="3"/>
        <v>42705</v>
      </c>
      <c r="H14">
        <f>+AVERAGE($E$118:$E$120)/AVERAGE(E37:E39)</f>
        <v>20.844560875872578</v>
      </c>
      <c r="I14" s="162">
        <f t="shared" si="4"/>
        <v>-4.5150281857478824E-2</v>
      </c>
      <c r="J14">
        <v>14.313991251839109</v>
      </c>
      <c r="K14" s="162">
        <f t="shared" si="5"/>
        <v>-6.4985346193204951E-2</v>
      </c>
      <c r="M14" s="205">
        <f t="shared" si="0"/>
        <v>35.271748276849259</v>
      </c>
      <c r="N14" s="162"/>
      <c r="P14">
        <v>35.271748276849259</v>
      </c>
    </row>
    <row r="15" spans="1:16" x14ac:dyDescent="0.25">
      <c r="A15" s="161">
        <f t="shared" si="6"/>
        <v>41974</v>
      </c>
      <c r="C15" s="164">
        <v>769.64</v>
      </c>
      <c r="D15" s="145">
        <f t="shared" si="2"/>
        <v>1.4673504634085344E-2</v>
      </c>
      <c r="E15" s="166">
        <f t="shared" si="1"/>
        <v>769.64</v>
      </c>
      <c r="G15" s="161">
        <f t="shared" si="3"/>
        <v>42795</v>
      </c>
      <c r="H15">
        <f>+AVERAGE($E$118:$E$120)/AVERAGE(E40:E42)</f>
        <v>19.765770470689553</v>
      </c>
      <c r="I15" s="162">
        <f t="shared" si="4"/>
        <v>-5.1754048051533497E-2</v>
      </c>
      <c r="J15">
        <v>13.446086420628284</v>
      </c>
      <c r="K15" s="162">
        <f t="shared" si="5"/>
        <v>-6.0633321338610879E-2</v>
      </c>
      <c r="M15" s="205">
        <f t="shared" si="0"/>
        <v>33.205313106467536</v>
      </c>
      <c r="N15" s="162"/>
      <c r="P15">
        <v>33.205313106467536</v>
      </c>
    </row>
    <row r="16" spans="1:16" x14ac:dyDescent="0.25">
      <c r="A16" s="161">
        <f t="shared" si="6"/>
        <v>42005</v>
      </c>
      <c r="C16" s="164">
        <v>780.99</v>
      </c>
      <c r="D16" s="145">
        <f t="shared" si="2"/>
        <v>1.474715451379871E-2</v>
      </c>
      <c r="E16" s="166">
        <f t="shared" si="1"/>
        <v>780.99</v>
      </c>
      <c r="G16" s="161">
        <f t="shared" si="3"/>
        <v>42887</v>
      </c>
      <c r="H16">
        <f>+AVERAGE($E$118:$E$120)/AVERAGE(E43:E45)</f>
        <v>18.567932882206119</v>
      </c>
      <c r="I16" s="162">
        <f t="shared" si="4"/>
        <v>-6.0601613797938936E-2</v>
      </c>
      <c r="J16">
        <v>12.727396684747387</v>
      </c>
      <c r="K16" s="162">
        <f t="shared" si="5"/>
        <v>-5.3449733505975483E-2</v>
      </c>
      <c r="M16" s="205">
        <f t="shared" si="0"/>
        <v>31.507842700611125</v>
      </c>
      <c r="N16" s="162"/>
      <c r="P16">
        <v>31.507842700611125</v>
      </c>
    </row>
    <row r="17" spans="1:16" x14ac:dyDescent="0.25">
      <c r="A17" s="161">
        <f t="shared" si="6"/>
        <v>42036</v>
      </c>
      <c r="C17" s="164">
        <v>792.74</v>
      </c>
      <c r="D17" s="145">
        <f t="shared" si="2"/>
        <v>1.5045006978322339E-2</v>
      </c>
      <c r="E17" s="166">
        <f t="shared" si="1"/>
        <v>792.74</v>
      </c>
      <c r="G17" s="161">
        <f t="shared" si="3"/>
        <v>42979</v>
      </c>
      <c r="H17">
        <f>+AVERAGE($E$118:$E$120)/AVERAGE(E46:E48)</f>
        <v>17.750531214228261</v>
      </c>
      <c r="I17" s="162">
        <f t="shared" si="4"/>
        <v>-4.4022222245384324E-2</v>
      </c>
      <c r="J17">
        <v>12.057536986645186</v>
      </c>
      <c r="K17" s="162">
        <f t="shared" si="5"/>
        <v>-5.2631320818731564E-2</v>
      </c>
      <c r="M17" s="205">
        <f t="shared" si="0"/>
        <v>29.98372435634942</v>
      </c>
      <c r="N17" s="162"/>
      <c r="P17">
        <v>29.98372435634942</v>
      </c>
    </row>
    <row r="18" spans="1:16" x14ac:dyDescent="0.25">
      <c r="A18" s="161">
        <f t="shared" si="6"/>
        <v>42064</v>
      </c>
      <c r="C18" s="164">
        <v>808.61</v>
      </c>
      <c r="D18" s="145">
        <f t="shared" si="2"/>
        <v>2.0019174004087148E-2</v>
      </c>
      <c r="E18" s="166">
        <f t="shared" si="1"/>
        <v>808.61</v>
      </c>
      <c r="G18" s="161">
        <f t="shared" si="3"/>
        <v>43070</v>
      </c>
      <c r="H18">
        <f>+AVERAGE($E$118:$E$120)/AVERAGE(E49:E51)</f>
        <v>16.857860301662608</v>
      </c>
      <c r="I18" s="162">
        <f t="shared" si="4"/>
        <v>-5.0289813966249985E-2</v>
      </c>
      <c r="J18">
        <v>11.485513799432496</v>
      </c>
      <c r="K18" s="162">
        <f t="shared" si="5"/>
        <v>-4.7441130626118544E-2</v>
      </c>
      <c r="M18" s="205">
        <f t="shared" si="0"/>
        <v>28.256795866031045</v>
      </c>
      <c r="N18" s="162"/>
      <c r="P18">
        <v>28.256795866031045</v>
      </c>
    </row>
    <row r="19" spans="1:16" x14ac:dyDescent="0.25">
      <c r="A19" s="161">
        <f t="shared" si="6"/>
        <v>42095</v>
      </c>
      <c r="C19" s="164">
        <v>825.24</v>
      </c>
      <c r="D19" s="145">
        <f t="shared" si="2"/>
        <v>2.0566156738106134E-2</v>
      </c>
      <c r="E19" s="166">
        <f t="shared" si="1"/>
        <v>825.24</v>
      </c>
      <c r="G19" s="161">
        <f>+EDATE(G18,3)</f>
        <v>43160</v>
      </c>
      <c r="H19">
        <f>+AVERAGE($E$118:$E$120)/AVERAGE(E52:E54)</f>
        <v>15.777611897306077</v>
      </c>
      <c r="I19" s="162">
        <f t="shared" si="4"/>
        <v>-6.4079805208137386E-2</v>
      </c>
      <c r="J19">
        <v>10.554406787053709</v>
      </c>
      <c r="K19" s="162">
        <f t="shared" si="5"/>
        <v>-8.1067945991653678E-2</v>
      </c>
      <c r="M19" s="205">
        <f t="shared" si="0"/>
        <v>26.497173278754598</v>
      </c>
      <c r="N19" s="162"/>
      <c r="P19">
        <v>26.497173278754598</v>
      </c>
    </row>
    <row r="20" spans="1:16" x14ac:dyDescent="0.25">
      <c r="A20" s="161">
        <f t="shared" si="6"/>
        <v>42125</v>
      </c>
      <c r="C20" s="164">
        <v>840.29</v>
      </c>
      <c r="D20" s="145">
        <f t="shared" si="2"/>
        <v>1.8237118898744464E-2</v>
      </c>
      <c r="E20" s="166">
        <f t="shared" si="1"/>
        <v>840.29</v>
      </c>
      <c r="G20" s="161">
        <f t="shared" si="3"/>
        <v>43252</v>
      </c>
      <c r="H20">
        <f>+AVERAGE($E$118:$E$120)/AVERAGE(E55:E57)</f>
        <v>14.626278406033149</v>
      </c>
      <c r="I20" s="162">
        <f t="shared" si="4"/>
        <v>-7.2972608197411026E-2</v>
      </c>
      <c r="J20">
        <v>9.5689306435149799</v>
      </c>
      <c r="K20" s="162">
        <f t="shared" si="5"/>
        <v>-9.3371059446707982E-2</v>
      </c>
      <c r="M20" s="205">
        <f t="shared" si="0"/>
        <v>24.368264712173811</v>
      </c>
      <c r="N20" s="162"/>
      <c r="P20">
        <v>24.368264712173811</v>
      </c>
    </row>
    <row r="21" spans="1:16" x14ac:dyDescent="0.25">
      <c r="A21" s="161">
        <f t="shared" si="6"/>
        <v>42156</v>
      </c>
      <c r="C21" s="164">
        <v>856.74</v>
      </c>
      <c r="D21" s="145">
        <f t="shared" si="2"/>
        <v>1.9576574753954024E-2</v>
      </c>
      <c r="E21" s="166">
        <f t="shared" si="1"/>
        <v>856.74</v>
      </c>
      <c r="G21" s="161">
        <f t="shared" si="3"/>
        <v>43344</v>
      </c>
      <c r="H21">
        <f>+AVERAGE($E$118:$E$120)/AVERAGE(E58:E60)</f>
        <v>13.118839580620737</v>
      </c>
      <c r="I21" s="162">
        <f t="shared" si="4"/>
        <v>-0.10306373115327916</v>
      </c>
      <c r="J21">
        <v>8.3727761850591236</v>
      </c>
      <c r="K21" s="162">
        <f t="shared" si="5"/>
        <v>-0.12500398456399198</v>
      </c>
      <c r="M21" s="205">
        <f t="shared" si="0"/>
        <v>21.359977119068898</v>
      </c>
      <c r="N21" s="162"/>
      <c r="P21">
        <v>21.359977119068898</v>
      </c>
    </row>
    <row r="22" spans="1:16" x14ac:dyDescent="0.25">
      <c r="A22" s="161">
        <f t="shared" si="6"/>
        <v>42186</v>
      </c>
      <c r="C22" s="164">
        <v>866.25</v>
      </c>
      <c r="D22" s="145">
        <f t="shared" si="2"/>
        <v>1.1100217102038012E-2</v>
      </c>
      <c r="E22" s="166">
        <f t="shared" si="1"/>
        <v>866.25</v>
      </c>
      <c r="G22" s="161">
        <f t="shared" si="3"/>
        <v>43435</v>
      </c>
      <c r="H22">
        <f>+AVERAGE($E$118:$E$120)/AVERAGE(E61:E63)</f>
        <v>11.447450577827684</v>
      </c>
      <c r="I22" s="162">
        <f t="shared" si="4"/>
        <v>-0.12740372290717261</v>
      </c>
      <c r="J22">
        <v>7.471963674237208</v>
      </c>
      <c r="K22" s="162">
        <f t="shared" si="5"/>
        <v>-0.10758827071352728</v>
      </c>
      <c r="M22" s="205">
        <f t="shared" si="0"/>
        <v>19.139611326719507</v>
      </c>
      <c r="N22" s="162"/>
      <c r="P22">
        <v>19.139611326719507</v>
      </c>
    </row>
    <row r="23" spans="1:16" x14ac:dyDescent="0.25">
      <c r="A23" s="161">
        <f t="shared" si="6"/>
        <v>42217</v>
      </c>
      <c r="C23" s="164">
        <v>886.21</v>
      </c>
      <c r="D23" s="145">
        <f t="shared" si="2"/>
        <v>2.3041847041846975E-2</v>
      </c>
      <c r="E23" s="166">
        <f t="shared" si="1"/>
        <v>886.21</v>
      </c>
      <c r="G23" s="161">
        <f t="shared" si="3"/>
        <v>43525</v>
      </c>
      <c r="H23">
        <f>+AVERAGE($E$118:$E$120)/AVERAGE(E64:E66)</f>
        <v>10.392534242642332</v>
      </c>
      <c r="I23" s="162">
        <f t="shared" si="4"/>
        <v>-9.2152949515990623E-2</v>
      </c>
      <c r="J23">
        <v>6.7301633734570832</v>
      </c>
      <c r="K23" s="162">
        <f t="shared" si="5"/>
        <v>-9.927782482907388E-2</v>
      </c>
      <c r="M23" s="205">
        <f t="shared" si="0"/>
        <v>17.114873922705687</v>
      </c>
      <c r="N23" s="162"/>
      <c r="P23">
        <v>17.114873922705687</v>
      </c>
    </row>
    <row r="24" spans="1:16" x14ac:dyDescent="0.25">
      <c r="A24" s="161">
        <f t="shared" si="6"/>
        <v>42248</v>
      </c>
      <c r="C24" s="164">
        <v>903.18</v>
      </c>
      <c r="D24" s="145">
        <f t="shared" si="2"/>
        <v>1.9148960178738683E-2</v>
      </c>
      <c r="E24" s="166">
        <f t="shared" si="1"/>
        <v>903.18</v>
      </c>
      <c r="G24" s="161">
        <f t="shared" si="3"/>
        <v>43617</v>
      </c>
      <c r="H24">
        <f>+AVERAGE($E$118:$E$120)/AVERAGE(E67:E69)</f>
        <v>9.3527989972173771</v>
      </c>
      <c r="I24" s="162">
        <f t="shared" si="4"/>
        <v>-0.10004636223941843</v>
      </c>
      <c r="J24">
        <v>6.1370062640075211</v>
      </c>
      <c r="K24" s="162">
        <f t="shared" si="5"/>
        <v>-8.8134132343487992E-2</v>
      </c>
      <c r="M24" s="205">
        <f t="shared" si="0"/>
        <v>15.632342314968263</v>
      </c>
      <c r="N24" s="162"/>
      <c r="P24">
        <v>15.632342314968263</v>
      </c>
    </row>
    <row r="25" spans="1:16" x14ac:dyDescent="0.25">
      <c r="A25" s="161">
        <f t="shared" si="6"/>
        <v>42278</v>
      </c>
      <c r="C25" s="164">
        <v>925.23</v>
      </c>
      <c r="D25" s="145">
        <f t="shared" si="2"/>
        <v>2.4413738125290685E-2</v>
      </c>
      <c r="E25" s="166">
        <f t="shared" si="1"/>
        <v>925.23</v>
      </c>
      <c r="G25" s="161">
        <f t="shared" si="3"/>
        <v>43709</v>
      </c>
      <c r="H25">
        <f>+AVERAGE($E$118:$E$120)/AVERAGE(E70:E72)</f>
        <v>8.5011847851415858</v>
      </c>
      <c r="I25" s="162">
        <f t="shared" si="4"/>
        <v>-9.1054476026819486E-2</v>
      </c>
      <c r="J25">
        <v>5.4471201512400098</v>
      </c>
      <c r="K25" s="162">
        <f t="shared" si="5"/>
        <v>-0.1124141125313125</v>
      </c>
      <c r="M25" s="205">
        <f t="shared" si="0"/>
        <v>13.888132824579898</v>
      </c>
      <c r="N25" s="162"/>
      <c r="P25">
        <v>13.888132824579898</v>
      </c>
    </row>
    <row r="26" spans="1:16" x14ac:dyDescent="0.25">
      <c r="A26" s="161">
        <f t="shared" si="6"/>
        <v>42309</v>
      </c>
      <c r="C26" s="164">
        <v>938.03</v>
      </c>
      <c r="D26" s="145">
        <f t="shared" si="2"/>
        <v>1.3834397933486731E-2</v>
      </c>
      <c r="E26" s="166">
        <f t="shared" si="1"/>
        <v>938.03</v>
      </c>
      <c r="G26" s="161">
        <f t="shared" si="3"/>
        <v>43800</v>
      </c>
      <c r="H26">
        <f>+AVERAGE($E$118:$E$120)/AVERAGE(E73:E75)</f>
        <v>7.5123249836668791</v>
      </c>
      <c r="I26" s="162">
        <f t="shared" si="4"/>
        <v>-0.11632023376353862</v>
      </c>
      <c r="J26">
        <v>4.8584125061970376</v>
      </c>
      <c r="K26" s="162">
        <f t="shared" si="5"/>
        <v>-0.10807686056070487</v>
      </c>
      <c r="M26" s="205">
        <f t="shared" si="0"/>
        <v>12.430267508013049</v>
      </c>
      <c r="N26" s="162"/>
      <c r="P26">
        <v>12.430267508013049</v>
      </c>
    </row>
    <row r="27" spans="1:16" x14ac:dyDescent="0.25">
      <c r="A27" s="161">
        <f>+EDATE(A26,1)</f>
        <v>42339</v>
      </c>
      <c r="C27" s="164">
        <v>964.96</v>
      </c>
      <c r="D27" s="145">
        <f t="shared" si="2"/>
        <v>2.870910312036945E-2</v>
      </c>
      <c r="E27" s="166">
        <f t="shared" si="1"/>
        <v>964.96</v>
      </c>
      <c r="G27" s="161">
        <f t="shared" si="3"/>
        <v>43891</v>
      </c>
      <c r="H27">
        <f>+AVERAGE($E$118:$E$120)/AVERAGE(E76:E78)</f>
        <v>6.9019692633489749</v>
      </c>
      <c r="I27" s="162">
        <f t="shared" si="4"/>
        <v>-8.1247246577447751E-2</v>
      </c>
      <c r="J27">
        <v>4.4871206410969489</v>
      </c>
      <c r="K27" s="162">
        <f t="shared" si="5"/>
        <v>-7.6422466109350662E-2</v>
      </c>
      <c r="M27" s="205">
        <f t="shared" si="0"/>
        <v>11.531992415074596</v>
      </c>
      <c r="N27" s="162"/>
      <c r="P27">
        <v>11.531992415074596</v>
      </c>
    </row>
    <row r="28" spans="1:16" x14ac:dyDescent="0.25">
      <c r="A28" s="161">
        <f t="shared" si="6"/>
        <v>42370</v>
      </c>
      <c r="C28" s="164">
        <v>1027.54</v>
      </c>
      <c r="D28" s="145">
        <f t="shared" si="2"/>
        <v>6.4852429116232679E-2</v>
      </c>
      <c r="E28" s="166">
        <f t="shared" si="1"/>
        <v>1027.54</v>
      </c>
      <c r="G28" s="161">
        <f t="shared" si="3"/>
        <v>43983</v>
      </c>
      <c r="H28">
        <f>+AVERAGE($E$118:$E$120)/AVERAGE(E79:E81)</f>
        <v>6.4987648903078989</v>
      </c>
      <c r="I28" s="162">
        <f t="shared" si="4"/>
        <v>-5.8418743644974347E-2</v>
      </c>
      <c r="J28">
        <v>4.295881608164879</v>
      </c>
      <c r="K28" s="162">
        <f t="shared" si="5"/>
        <v>-4.2619543406196114E-2</v>
      </c>
      <c r="M28" s="205">
        <f t="shared" si="0"/>
        <v>10.952704425637833</v>
      </c>
      <c r="N28" s="162"/>
      <c r="P28">
        <v>10.952704425637833</v>
      </c>
    </row>
    <row r="29" spans="1:16" x14ac:dyDescent="0.25">
      <c r="A29" s="161">
        <f t="shared" si="6"/>
        <v>42401</v>
      </c>
      <c r="C29" s="164">
        <v>1070.6199999999999</v>
      </c>
      <c r="D29" s="145">
        <f t="shared" si="2"/>
        <v>4.1925375167876533E-2</v>
      </c>
      <c r="E29" s="166">
        <f t="shared" si="1"/>
        <v>1070.6199999999999</v>
      </c>
      <c r="G29" s="161">
        <f t="shared" si="3"/>
        <v>44075</v>
      </c>
      <c r="H29">
        <f>+AVERAGE($E$118:$E$120)/AVERAGE(E82:E84)</f>
        <v>6.087402761250587</v>
      </c>
      <c r="I29" s="162">
        <f t="shared" si="4"/>
        <v>-6.3298509178383644E-2</v>
      </c>
      <c r="J29">
        <v>3.9922132064905664</v>
      </c>
      <c r="K29" s="162">
        <f t="shared" si="5"/>
        <v>-7.0688261309890699E-2</v>
      </c>
      <c r="M29" s="205">
        <f t="shared" si="0"/>
        <v>10.180840311588852</v>
      </c>
      <c r="N29" s="162"/>
      <c r="P29">
        <v>10.180840311588852</v>
      </c>
    </row>
    <row r="30" spans="1:16" x14ac:dyDescent="0.25">
      <c r="A30" s="161">
        <f t="shared" si="6"/>
        <v>42430</v>
      </c>
      <c r="C30" s="164">
        <v>1099.6600000000001</v>
      </c>
      <c r="D30" s="145">
        <f t="shared" si="2"/>
        <v>2.7124469933309747E-2</v>
      </c>
      <c r="E30" s="166">
        <f t="shared" si="1"/>
        <v>1099.6600000000001</v>
      </c>
      <c r="G30" s="161">
        <f t="shared" si="3"/>
        <v>44166</v>
      </c>
      <c r="H30">
        <f>+AVERAGE($E$118:$E$120)/AVERAGE(E85:E87)</f>
        <v>5.514542786676115</v>
      </c>
      <c r="I30" s="162">
        <f t="shared" si="4"/>
        <v>-9.4105811138539552E-2</v>
      </c>
      <c r="J30">
        <v>3.5717171558502021</v>
      </c>
      <c r="K30" s="162">
        <f t="shared" si="5"/>
        <v>-0.10532905656359215</v>
      </c>
      <c r="M30" s="205">
        <f t="shared" si="0"/>
        <v>9.1384646330655013</v>
      </c>
      <c r="N30" s="162"/>
      <c r="P30">
        <v>9.1384646330655013</v>
      </c>
    </row>
    <row r="31" spans="1:16" x14ac:dyDescent="0.25">
      <c r="A31" s="161">
        <f t="shared" si="6"/>
        <v>42461</v>
      </c>
      <c r="C31" s="164">
        <v>1132.3900000000001</v>
      </c>
      <c r="D31" s="145">
        <f t="shared" si="2"/>
        <v>2.9763745157594279E-2</v>
      </c>
      <c r="E31" s="166">
        <f t="shared" si="1"/>
        <v>1132.3900000000001</v>
      </c>
      <c r="G31" s="161">
        <f t="shared" si="3"/>
        <v>44256</v>
      </c>
      <c r="H31">
        <f>+AVERAGE($E$118:$E$120)/AVERAGE(E88:E90)</f>
        <v>4.9143812036110299</v>
      </c>
      <c r="I31" s="162">
        <f t="shared" si="4"/>
        <v>-0.10883251908302483</v>
      </c>
      <c r="J31">
        <v>3.1907893654843473</v>
      </c>
      <c r="K31" s="162">
        <f t="shared" si="5"/>
        <v>-0.10665116350042558</v>
      </c>
      <c r="M31" s="205">
        <f t="shared" si="0"/>
        <v>8.0931736347422589</v>
      </c>
      <c r="N31" s="162"/>
      <c r="P31">
        <v>8.0931736347422589</v>
      </c>
    </row>
    <row r="32" spans="1:16" x14ac:dyDescent="0.25">
      <c r="A32" s="161">
        <f t="shared" si="6"/>
        <v>42491</v>
      </c>
      <c r="C32" s="164">
        <v>1170.83</v>
      </c>
      <c r="D32" s="145">
        <f t="shared" si="2"/>
        <v>3.3945902030219077E-2</v>
      </c>
      <c r="E32" s="166">
        <f t="shared" si="1"/>
        <v>1170.83</v>
      </c>
      <c r="G32" s="161">
        <f t="shared" si="3"/>
        <v>44348</v>
      </c>
      <c r="H32">
        <f>+AVERAGE($E$118:$E$120)/AVERAGE(E97:E99)</f>
        <v>3.644680358929576</v>
      </c>
      <c r="I32" s="162">
        <f t="shared" si="4"/>
        <v>-0.25836433766035338</v>
      </c>
      <c r="J32">
        <v>2.8304158515162743</v>
      </c>
      <c r="K32" s="162">
        <f t="shared" si="5"/>
        <v>-0.11294180614563065</v>
      </c>
      <c r="M32" s="205">
        <f t="shared" si="0"/>
        <v>7.2926959931158741</v>
      </c>
      <c r="N32" s="162"/>
      <c r="P32">
        <v>7.2926959931158741</v>
      </c>
    </row>
    <row r="33" spans="1:16" x14ac:dyDescent="0.25">
      <c r="A33" s="161">
        <f t="shared" si="6"/>
        <v>42522</v>
      </c>
      <c r="C33" s="164">
        <v>1219.8599999999999</v>
      </c>
      <c r="D33" s="145">
        <f t="shared" si="2"/>
        <v>4.1876275804343832E-2</v>
      </c>
      <c r="E33" s="166">
        <f t="shared" si="1"/>
        <v>1219.8599999999999</v>
      </c>
      <c r="G33" s="161">
        <f t="shared" si="3"/>
        <v>44440</v>
      </c>
      <c r="H33">
        <f>+AVERAGE($E$118:$E$120)/AVERAGE(E91:E93)</f>
        <v>4.379885017822577</v>
      </c>
      <c r="I33" s="162">
        <f t="shared" si="4"/>
        <v>0.20171992780978099</v>
      </c>
      <c r="J33">
        <v>2.5866618518668654</v>
      </c>
      <c r="K33" s="162">
        <f t="shared" si="5"/>
        <v>-8.6119500609363908E-2</v>
      </c>
      <c r="M33" s="205">
        <f t="shared" si="0"/>
        <v>6.6740071845949434</v>
      </c>
      <c r="N33" s="162"/>
      <c r="P33">
        <v>6.6740071845949434</v>
      </c>
    </row>
    <row r="34" spans="1:16" x14ac:dyDescent="0.25">
      <c r="A34" s="161">
        <f t="shared" si="6"/>
        <v>42552</v>
      </c>
      <c r="C34" s="164">
        <v>1237.74</v>
      </c>
      <c r="D34" s="145">
        <f t="shared" si="2"/>
        <v>1.4657419703900443E-2</v>
      </c>
      <c r="E34" s="166">
        <f t="shared" si="1"/>
        <v>1237.74</v>
      </c>
      <c r="G34" s="161">
        <f t="shared" si="3"/>
        <v>44531</v>
      </c>
      <c r="H34">
        <f>+AVERAGE($E$118:$E$120)/AVERAGE(E97:E99)</f>
        <v>3.644680358929576</v>
      </c>
      <c r="I34" s="162">
        <f t="shared" si="4"/>
        <v>-0.16785935153578568</v>
      </c>
      <c r="J34">
        <v>2.3522072803942478</v>
      </c>
      <c r="K34" s="162">
        <f t="shared" si="5"/>
        <v>-9.0639822636037759E-2</v>
      </c>
      <c r="M34" s="205">
        <f t="shared" si="0"/>
        <v>6.0607322904098764</v>
      </c>
      <c r="N34" s="162"/>
      <c r="P34">
        <v>6.0607322904098764</v>
      </c>
    </row>
    <row r="35" spans="1:16" x14ac:dyDescent="0.25">
      <c r="A35" s="161">
        <f>+EDATE(A34,1)</f>
        <v>42583</v>
      </c>
      <c r="C35" s="164">
        <v>1265.75</v>
      </c>
      <c r="D35" s="145">
        <f t="shared" si="2"/>
        <v>2.2629954594664436E-2</v>
      </c>
      <c r="E35" s="166">
        <f t="shared" si="1"/>
        <v>1265.75</v>
      </c>
      <c r="G35" s="161">
        <f t="shared" si="3"/>
        <v>44621</v>
      </c>
      <c r="H35">
        <f>+AVERAGE($E$118:$E$120)/AVERAGE(E100:E102)</f>
        <v>3.2186713345933176</v>
      </c>
      <c r="I35" s="162">
        <f t="shared" si="4"/>
        <v>-0.11688515380848796</v>
      </c>
      <c r="J35">
        <v>2.0250379699214869</v>
      </c>
      <c r="K35" s="162">
        <f t="shared" si="5"/>
        <v>-0.13909034003921827</v>
      </c>
      <c r="M35" s="205">
        <f t="shared" si="0"/>
        <v>5.2215381145813033</v>
      </c>
      <c r="N35" s="162"/>
      <c r="P35">
        <v>5.2215381145813033</v>
      </c>
    </row>
    <row r="36" spans="1:16" x14ac:dyDescent="0.25">
      <c r="A36" s="161">
        <f t="shared" si="6"/>
        <v>42614</v>
      </c>
      <c r="C36" s="165">
        <v>1273.8</v>
      </c>
      <c r="D36" s="145">
        <f t="shared" si="2"/>
        <v>6.3598656922772001E-3</v>
      </c>
      <c r="E36" s="166">
        <f t="shared" si="1"/>
        <v>1273.8</v>
      </c>
      <c r="G36" s="161">
        <f t="shared" si="3"/>
        <v>44713</v>
      </c>
      <c r="H36">
        <f>+AVERAGE($E$118:$E$120)/AVERAGE(E103:E105)</f>
        <v>2.7236124604270633</v>
      </c>
      <c r="I36" s="162">
        <f t="shared" si="4"/>
        <v>-0.15380845780850916</v>
      </c>
      <c r="J36">
        <v>1.7020229637441926</v>
      </c>
      <c r="K36" s="162">
        <f t="shared" si="5"/>
        <v>-0.1595105923815433</v>
      </c>
      <c r="M36" s="205">
        <f t="shared" si="0"/>
        <v>4.4510400291483689</v>
      </c>
      <c r="N36" s="162"/>
      <c r="P36">
        <v>4.4510400291483689</v>
      </c>
    </row>
    <row r="37" spans="1:16" x14ac:dyDescent="0.25">
      <c r="A37" s="161">
        <f>+EDATE(A36,1)</f>
        <v>42644</v>
      </c>
      <c r="C37" s="165">
        <v>1295.28</v>
      </c>
      <c r="D37" s="145">
        <f t="shared" si="2"/>
        <v>1.6862929816297667E-2</v>
      </c>
      <c r="E37" s="166">
        <f t="shared" si="1"/>
        <v>1295.28</v>
      </c>
      <c r="G37" s="161">
        <f t="shared" si="3"/>
        <v>44805</v>
      </c>
      <c r="H37">
        <f>+AVERAGE($E$118:$E$120)/AVERAGE(E106:E108)</f>
        <v>2.256688680643772</v>
      </c>
      <c r="I37" s="162">
        <f t="shared" si="4"/>
        <v>-0.17143546909389507</v>
      </c>
      <c r="J37">
        <v>1.3964264161959772</v>
      </c>
      <c r="K37" s="162">
        <f t="shared" si="5"/>
        <v>-0.1795490155291144</v>
      </c>
      <c r="M37" s="205">
        <f t="shared" si="0"/>
        <v>3.6471105206535448</v>
      </c>
      <c r="N37" s="162"/>
      <c r="P37">
        <v>3.6471105206535448</v>
      </c>
    </row>
    <row r="38" spans="1:16" x14ac:dyDescent="0.25">
      <c r="A38" s="161">
        <f t="shared" ref="A38:A44" si="7">+EDATE(A37,1)</f>
        <v>42675</v>
      </c>
      <c r="C38" s="165">
        <v>1321.6</v>
      </c>
      <c r="D38" s="145">
        <f t="shared" si="2"/>
        <v>2.0319930825767329E-2</v>
      </c>
      <c r="E38" s="166">
        <f t="shared" si="1"/>
        <v>1321.6</v>
      </c>
      <c r="G38" s="161">
        <f t="shared" si="3"/>
        <v>44896</v>
      </c>
      <c r="H38">
        <f>+AVERAGE($E$118:$E$120)/AVERAGE(E109:E111)</f>
        <v>1.9007390223854843</v>
      </c>
      <c r="I38" s="162">
        <f t="shared" si="4"/>
        <v>-0.15773095390222147</v>
      </c>
      <c r="J38">
        <v>1.19454868112954</v>
      </c>
      <c r="K38" s="162">
        <f t="shared" si="5"/>
        <v>-0.1445673991303994</v>
      </c>
      <c r="M38" s="205">
        <f t="shared" si="0"/>
        <v>3.1119847167608885</v>
      </c>
      <c r="N38" s="162"/>
      <c r="P38">
        <v>3.1119847167608885</v>
      </c>
    </row>
    <row r="39" spans="1:16" x14ac:dyDescent="0.25">
      <c r="A39" s="161">
        <f t="shared" si="7"/>
        <v>42705</v>
      </c>
      <c r="C39" s="165">
        <v>1339.02</v>
      </c>
      <c r="D39" s="145">
        <f t="shared" si="2"/>
        <v>1.3180992736077535E-2</v>
      </c>
      <c r="E39" s="166">
        <f t="shared" si="1"/>
        <v>1339.02</v>
      </c>
      <c r="G39" s="161">
        <f t="shared" si="3"/>
        <v>44986</v>
      </c>
      <c r="H39">
        <f>+AVERAGE($E$118:$E$120)/AVERAGE(E112:E114)</f>
        <v>1.5947721487079378</v>
      </c>
      <c r="I39" s="162">
        <f t="shared" si="4"/>
        <v>-0.16097258491255095</v>
      </c>
      <c r="J39">
        <v>1</v>
      </c>
      <c r="K39" s="162">
        <f t="shared" si="5"/>
        <v>-0.16286375281548082</v>
      </c>
      <c r="M39" s="205">
        <f t="shared" si="0"/>
        <v>2.5571645914261074</v>
      </c>
      <c r="N39" s="162"/>
      <c r="P39">
        <v>2.5571645914261074</v>
      </c>
    </row>
    <row r="40" spans="1:16" x14ac:dyDescent="0.25">
      <c r="A40" s="161">
        <f t="shared" si="7"/>
        <v>42736</v>
      </c>
      <c r="B40" s="145">
        <v>1.6E-2</v>
      </c>
      <c r="C40" s="165">
        <v>1350.48</v>
      </c>
      <c r="D40" s="145">
        <f t="shared" si="2"/>
        <v>8.5584980060045002E-3</v>
      </c>
      <c r="E40" s="166">
        <f>+E39*(1+B40)</f>
        <v>1360.4443200000001</v>
      </c>
      <c r="G40" s="161">
        <f t="shared" si="3"/>
        <v>45078</v>
      </c>
      <c r="H40">
        <f>+AVERAGE($E$118:$E$120)/AVERAGE(E115:E117)</f>
        <v>1.2788094253053146</v>
      </c>
      <c r="I40" s="162">
        <f t="shared" si="4"/>
        <v>-0.19812405405914058</v>
      </c>
      <c r="K40" s="162">
        <f t="shared" si="5"/>
        <v>-1</v>
      </c>
      <c r="M40" s="205">
        <f t="shared" si="0"/>
        <v>2.0644519250094868</v>
      </c>
      <c r="N40" s="162"/>
      <c r="P40">
        <v>2.0644519250094868</v>
      </c>
    </row>
    <row r="41" spans="1:16" x14ac:dyDescent="0.25">
      <c r="A41" s="161">
        <f t="shared" si="7"/>
        <v>42767</v>
      </c>
      <c r="B41" s="145">
        <v>2.1000000000000001E-2</v>
      </c>
      <c r="C41" s="165">
        <v>1366.86</v>
      </c>
      <c r="D41" s="145">
        <f t="shared" si="2"/>
        <v>1.2129020792607026E-2</v>
      </c>
      <c r="E41" s="166">
        <f t="shared" ref="E41:E104" si="8">+E40*(1+B41)</f>
        <v>1389.01365072</v>
      </c>
      <c r="G41" s="161">
        <f t="shared" si="3"/>
        <v>45170</v>
      </c>
      <c r="H41">
        <f>+AVERAGE($E$118:$E$120)/AVERAGE(E118:E120)</f>
        <v>1</v>
      </c>
      <c r="I41" s="162">
        <f t="shared" ref="I41" si="9">+H41/H40-1</f>
        <v>-0.21802265434409751</v>
      </c>
      <c r="K41" s="162" t="e">
        <f t="shared" ref="K41" si="10">+J41/J40-1</f>
        <v>#DIV/0!</v>
      </c>
      <c r="M41" s="205">
        <f t="shared" si="0"/>
        <v>1.5331381199999998</v>
      </c>
      <c r="N41" s="162"/>
      <c r="P41">
        <v>1.5331381199999998</v>
      </c>
    </row>
    <row r="42" spans="1:16" x14ac:dyDescent="0.25">
      <c r="A42" s="161">
        <f t="shared" si="7"/>
        <v>42795</v>
      </c>
      <c r="B42" s="145">
        <v>2.4E-2</v>
      </c>
      <c r="C42" s="165">
        <v>1390.12</v>
      </c>
      <c r="D42" s="145">
        <f t="shared" si="2"/>
        <v>1.7017104897355972E-2</v>
      </c>
      <c r="E42" s="166">
        <f t="shared" si="8"/>
        <v>1422.3499783372799</v>
      </c>
      <c r="G42" s="161">
        <f t="shared" si="3"/>
        <v>45261</v>
      </c>
      <c r="M42" s="205">
        <f>+_xlfn.XLOOKUP($G$42,$A:$A,$E:$E)/_xlfn.XLOOKUP(G42,$A:$A,$E:$E)</f>
        <v>1</v>
      </c>
      <c r="N42" s="162"/>
      <c r="P42">
        <v>1</v>
      </c>
    </row>
    <row r="43" spans="1:16" x14ac:dyDescent="0.25">
      <c r="A43" s="161">
        <f t="shared" si="7"/>
        <v>42826</v>
      </c>
      <c r="B43" s="145">
        <v>2.7000000000000003E-2</v>
      </c>
      <c r="C43" s="165">
        <v>1433.32</v>
      </c>
      <c r="D43" s="145">
        <f t="shared" si="2"/>
        <v>3.1076453831323958E-2</v>
      </c>
      <c r="E43" s="166">
        <f t="shared" si="8"/>
        <v>1460.7534277523864</v>
      </c>
    </row>
    <row r="44" spans="1:16" x14ac:dyDescent="0.25">
      <c r="A44" s="161">
        <f t="shared" si="7"/>
        <v>42856</v>
      </c>
      <c r="B44" s="145">
        <v>1.3999999999999999E-2</v>
      </c>
      <c r="C44" s="165">
        <v>1467.76</v>
      </c>
      <c r="D44" s="145">
        <f t="shared" si="2"/>
        <v>2.4028130494237132E-2</v>
      </c>
      <c r="E44" s="166">
        <f t="shared" si="8"/>
        <v>1481.2039757409198</v>
      </c>
    </row>
    <row r="45" spans="1:16" x14ac:dyDescent="0.25">
      <c r="A45" s="161">
        <f t="shared" ref="A45:A105" si="11">+EDATE(A44,1)</f>
        <v>42887</v>
      </c>
      <c r="B45" s="145">
        <v>1.2E-2</v>
      </c>
      <c r="C45" s="165">
        <v>1492.43</v>
      </c>
      <c r="D45" s="145">
        <f t="shared" si="2"/>
        <v>1.6807925001362634E-2</v>
      </c>
      <c r="E45" s="166">
        <f t="shared" si="8"/>
        <v>1498.9784234498109</v>
      </c>
    </row>
    <row r="46" spans="1:16" x14ac:dyDescent="0.25">
      <c r="A46" s="161">
        <f t="shared" si="11"/>
        <v>42917</v>
      </c>
      <c r="B46" s="145">
        <v>1.7000000000000001E-2</v>
      </c>
      <c r="C46" s="165">
        <v>1507.73</v>
      </c>
      <c r="D46" s="145">
        <f t="shared" si="2"/>
        <v>1.0251737099897351E-2</v>
      </c>
      <c r="E46" s="166">
        <f t="shared" si="8"/>
        <v>1524.4610566484575</v>
      </c>
    </row>
    <row r="47" spans="1:16" x14ac:dyDescent="0.25">
      <c r="A47" s="161">
        <f t="shared" si="11"/>
        <v>42948</v>
      </c>
      <c r="B47" s="145">
        <v>1.3999999999999999E-2</v>
      </c>
      <c r="C47" s="165">
        <v>1530.15</v>
      </c>
      <c r="D47" s="145">
        <f t="shared" si="2"/>
        <v>1.487003641235507E-2</v>
      </c>
      <c r="E47" s="166">
        <f t="shared" si="8"/>
        <v>1545.8035114415359</v>
      </c>
    </row>
    <row r="48" spans="1:16" x14ac:dyDescent="0.25">
      <c r="A48" s="161">
        <f t="shared" si="11"/>
        <v>42979</v>
      </c>
      <c r="B48" s="145">
        <v>1.9E-2</v>
      </c>
      <c r="C48" s="165">
        <v>1552.09</v>
      </c>
      <c r="D48" s="145">
        <f t="shared" si="2"/>
        <v>1.4338463549325109E-2</v>
      </c>
      <c r="E48" s="166">
        <f t="shared" si="8"/>
        <v>1575.173778158925</v>
      </c>
    </row>
    <row r="49" spans="1:5" x14ac:dyDescent="0.25">
      <c r="A49" s="161">
        <f t="shared" si="11"/>
        <v>43009</v>
      </c>
      <c r="B49" s="145">
        <v>1.4999999999999999E-2</v>
      </c>
      <c r="C49" s="165">
        <v>1580.79</v>
      </c>
      <c r="D49" s="145">
        <f t="shared" si="2"/>
        <v>1.8491195742514899E-2</v>
      </c>
      <c r="E49" s="166">
        <f t="shared" si="8"/>
        <v>1598.8013848313087</v>
      </c>
    </row>
    <row r="50" spans="1:5" x14ac:dyDescent="0.25">
      <c r="A50" s="161">
        <f t="shared" si="11"/>
        <v>43040</v>
      </c>
      <c r="B50" s="145">
        <v>1.3999999999999999E-2</v>
      </c>
      <c r="C50" s="165">
        <v>1606.59</v>
      </c>
      <c r="D50" s="145">
        <f t="shared" si="2"/>
        <v>1.632095344732698E-2</v>
      </c>
      <c r="E50" s="166">
        <f t="shared" si="8"/>
        <v>1621.184604218947</v>
      </c>
    </row>
    <row r="51" spans="1:5" x14ac:dyDescent="0.25">
      <c r="A51" s="161">
        <f t="shared" si="11"/>
        <v>43070</v>
      </c>
      <c r="B51" s="145">
        <v>3.1E-2</v>
      </c>
      <c r="C51" s="165">
        <v>1630.3</v>
      </c>
      <c r="D51" s="145">
        <f t="shared" si="2"/>
        <v>1.4757965629065284E-2</v>
      </c>
      <c r="E51" s="166">
        <f t="shared" si="8"/>
        <v>1671.4413269497343</v>
      </c>
    </row>
    <row r="52" spans="1:5" x14ac:dyDescent="0.25">
      <c r="A52" s="161">
        <f t="shared" si="11"/>
        <v>43101</v>
      </c>
      <c r="B52" s="145">
        <v>1.8000000000000002E-2</v>
      </c>
      <c r="C52" s="165">
        <v>1678.94</v>
      </c>
      <c r="D52" s="145">
        <f t="shared" si="2"/>
        <v>2.9834999693308051E-2</v>
      </c>
      <c r="E52" s="166">
        <f t="shared" si="8"/>
        <v>1701.5272708348296</v>
      </c>
    </row>
    <row r="53" spans="1:5" x14ac:dyDescent="0.25">
      <c r="A53" s="161">
        <f t="shared" si="11"/>
        <v>43132</v>
      </c>
      <c r="B53" s="145">
        <v>2.4E-2</v>
      </c>
      <c r="C53" s="165">
        <v>1703.2</v>
      </c>
      <c r="D53" s="145">
        <f t="shared" si="2"/>
        <v>1.4449593195706711E-2</v>
      </c>
      <c r="E53" s="166">
        <f t="shared" si="8"/>
        <v>1742.3639253348656</v>
      </c>
    </row>
    <row r="54" spans="1:5" x14ac:dyDescent="0.25">
      <c r="A54" s="161">
        <f t="shared" si="11"/>
        <v>43160</v>
      </c>
      <c r="B54" s="145">
        <v>2.3E-2</v>
      </c>
      <c r="C54" s="165">
        <v>1745.32</v>
      </c>
      <c r="D54" s="145">
        <f t="shared" si="2"/>
        <v>2.4729920150305285E-2</v>
      </c>
      <c r="E54" s="166">
        <f t="shared" si="8"/>
        <v>1782.4382956175673</v>
      </c>
    </row>
    <row r="55" spans="1:5" x14ac:dyDescent="0.25">
      <c r="A55" s="161">
        <f t="shared" si="11"/>
        <v>43191</v>
      </c>
      <c r="B55" s="145">
        <v>2.7000000000000003E-2</v>
      </c>
      <c r="C55" s="165">
        <v>1794.98</v>
      </c>
      <c r="D55" s="145">
        <f t="shared" si="2"/>
        <v>2.8453234936859806E-2</v>
      </c>
      <c r="E55" s="166">
        <f t="shared" si="8"/>
        <v>1830.5641295992414</v>
      </c>
    </row>
    <row r="56" spans="1:5" x14ac:dyDescent="0.25">
      <c r="A56" s="161">
        <f t="shared" si="11"/>
        <v>43221</v>
      </c>
      <c r="B56" s="145">
        <v>2.1000000000000001E-2</v>
      </c>
      <c r="C56" s="165">
        <v>1839.78</v>
      </c>
      <c r="D56" s="145">
        <f t="shared" si="2"/>
        <v>2.4958495359279853E-2</v>
      </c>
      <c r="E56" s="166">
        <f t="shared" si="8"/>
        <v>1869.0059763208253</v>
      </c>
    </row>
    <row r="57" spans="1:5" x14ac:dyDescent="0.25">
      <c r="A57" s="161">
        <f t="shared" si="11"/>
        <v>43252</v>
      </c>
      <c r="B57" s="145">
        <v>3.7000000000000005E-2</v>
      </c>
      <c r="C57" s="165">
        <v>1886.48</v>
      </c>
      <c r="D57" s="145">
        <f t="shared" si="2"/>
        <v>2.5383469762689126E-2</v>
      </c>
      <c r="E57" s="166">
        <f t="shared" si="8"/>
        <v>1938.1591974446958</v>
      </c>
    </row>
    <row r="58" spans="1:5" x14ac:dyDescent="0.25">
      <c r="A58" s="161">
        <f t="shared" si="11"/>
        <v>43282</v>
      </c>
      <c r="B58" s="145">
        <v>3.1E-2</v>
      </c>
      <c r="C58" s="165">
        <v>1963.53</v>
      </c>
      <c r="D58" s="145">
        <f t="shared" si="2"/>
        <v>4.084326364445956E-2</v>
      </c>
      <c r="E58" s="166">
        <f t="shared" si="8"/>
        <v>1998.2421325654811</v>
      </c>
    </row>
    <row r="59" spans="1:5" x14ac:dyDescent="0.25">
      <c r="A59" s="161">
        <f t="shared" si="11"/>
        <v>43313</v>
      </c>
      <c r="B59" s="145">
        <v>3.9E-2</v>
      </c>
      <c r="C59" s="165">
        <v>2034.03</v>
      </c>
      <c r="D59" s="145">
        <f t="shared" si="2"/>
        <v>3.5904722616919571E-2</v>
      </c>
      <c r="E59" s="166">
        <f t="shared" si="8"/>
        <v>2076.1735757355345</v>
      </c>
    </row>
    <row r="60" spans="1:5" x14ac:dyDescent="0.25">
      <c r="A60" s="161">
        <f t="shared" si="11"/>
        <v>43344</v>
      </c>
      <c r="B60" s="145">
        <v>6.5000000000000002E-2</v>
      </c>
      <c r="C60" s="165">
        <v>2102.36</v>
      </c>
      <c r="D60" s="145">
        <f t="shared" si="2"/>
        <v>3.3593408160154992E-2</v>
      </c>
      <c r="E60" s="166">
        <f t="shared" si="8"/>
        <v>2211.1248581583441</v>
      </c>
    </row>
    <row r="61" spans="1:5" x14ac:dyDescent="0.25">
      <c r="A61" s="161">
        <f t="shared" si="11"/>
        <v>43374</v>
      </c>
      <c r="B61" s="145">
        <v>5.4000000000000006E-2</v>
      </c>
      <c r="C61" s="165">
        <v>2264.6799999999998</v>
      </c>
      <c r="D61" s="145">
        <f t="shared" si="2"/>
        <v>7.7208470480792935E-2</v>
      </c>
      <c r="E61" s="166">
        <f t="shared" si="8"/>
        <v>2330.5256004988946</v>
      </c>
    </row>
    <row r="62" spans="1:5" x14ac:dyDescent="0.25">
      <c r="A62" s="161">
        <f t="shared" si="11"/>
        <v>43405</v>
      </c>
      <c r="B62" s="145">
        <v>3.2000000000000001E-2</v>
      </c>
      <c r="C62" s="165">
        <v>2382.64</v>
      </c>
      <c r="D62" s="145">
        <f t="shared" si="2"/>
        <v>5.208682904427997E-2</v>
      </c>
      <c r="E62" s="166">
        <f t="shared" si="8"/>
        <v>2405.1024197148595</v>
      </c>
    </row>
    <row r="63" spans="1:5" x14ac:dyDescent="0.25">
      <c r="A63" s="161">
        <f t="shared" si="11"/>
        <v>43435</v>
      </c>
      <c r="B63" s="145">
        <v>2.6000000000000002E-2</v>
      </c>
      <c r="C63" s="165">
        <v>2466.4499999999998</v>
      </c>
      <c r="D63" s="145">
        <f t="shared" si="2"/>
        <v>3.517526777020441E-2</v>
      </c>
      <c r="E63" s="166">
        <f t="shared" si="8"/>
        <v>2467.6350826274461</v>
      </c>
    </row>
    <row r="64" spans="1:5" x14ac:dyDescent="0.25">
      <c r="A64" s="161">
        <f t="shared" si="11"/>
        <v>43466</v>
      </c>
      <c r="B64" s="145">
        <v>2.8999999999999998E-2</v>
      </c>
      <c r="C64" s="165">
        <v>2517.89</v>
      </c>
      <c r="D64" s="145">
        <f t="shared" si="2"/>
        <v>2.0855885989985667E-2</v>
      </c>
      <c r="E64" s="166">
        <f t="shared" si="8"/>
        <v>2539.1965000236419</v>
      </c>
    </row>
    <row r="65" spans="1:5" x14ac:dyDescent="0.25">
      <c r="A65" s="161">
        <f t="shared" si="11"/>
        <v>43497</v>
      </c>
      <c r="B65" s="145">
        <v>3.7999999999999999E-2</v>
      </c>
      <c r="C65" s="165">
        <v>2609.62</v>
      </c>
      <c r="D65" s="145">
        <f t="shared" si="2"/>
        <v>3.6431297634130111E-2</v>
      </c>
      <c r="E65" s="166">
        <f t="shared" si="8"/>
        <v>2635.6859670245403</v>
      </c>
    </row>
    <row r="66" spans="1:5" x14ac:dyDescent="0.25">
      <c r="A66" s="161">
        <f t="shared" si="11"/>
        <v>43525</v>
      </c>
      <c r="B66" s="145">
        <v>4.7E-2</v>
      </c>
      <c r="C66" s="165">
        <v>2708.13</v>
      </c>
      <c r="D66" s="145">
        <f t="shared" si="2"/>
        <v>3.7748791011718241E-2</v>
      </c>
      <c r="E66" s="166">
        <f t="shared" si="8"/>
        <v>2759.5632074746936</v>
      </c>
    </row>
    <row r="67" spans="1:5" x14ac:dyDescent="0.25">
      <c r="A67" s="161">
        <f t="shared" si="11"/>
        <v>43556</v>
      </c>
      <c r="B67" s="145">
        <v>3.4000000000000002E-2</v>
      </c>
      <c r="C67" s="165">
        <v>2835.66</v>
      </c>
      <c r="D67" s="145">
        <f t="shared" si="2"/>
        <v>4.7091535487587377E-2</v>
      </c>
      <c r="E67" s="166">
        <f t="shared" si="8"/>
        <v>2853.3883565288334</v>
      </c>
    </row>
    <row r="68" spans="1:5" x14ac:dyDescent="0.25">
      <c r="A68" s="161">
        <f t="shared" si="11"/>
        <v>43586</v>
      </c>
      <c r="B68" s="145">
        <v>3.1E-2</v>
      </c>
      <c r="C68" s="165">
        <v>2933.41</v>
      </c>
      <c r="D68" s="145">
        <f t="shared" si="2"/>
        <v>3.4471692657088715E-2</v>
      </c>
      <c r="E68" s="166">
        <f t="shared" si="8"/>
        <v>2941.843395581227</v>
      </c>
    </row>
    <row r="69" spans="1:5" x14ac:dyDescent="0.25">
      <c r="A69" s="161">
        <f t="shared" si="11"/>
        <v>43617</v>
      </c>
      <c r="B69" s="145">
        <v>2.7000000000000003E-2</v>
      </c>
      <c r="C69" s="165">
        <v>3035.33</v>
      </c>
      <c r="D69" s="145">
        <f t="shared" ref="D69:D123" si="12">+C69/C68-1</f>
        <v>3.4744546449354097E-2</v>
      </c>
      <c r="E69" s="166">
        <f t="shared" si="8"/>
        <v>3021.2731672619198</v>
      </c>
    </row>
    <row r="70" spans="1:5" x14ac:dyDescent="0.25">
      <c r="A70" s="161">
        <f t="shared" si="11"/>
        <v>43647</v>
      </c>
      <c r="B70" s="145">
        <v>2.2000000000000002E-2</v>
      </c>
      <c r="C70" s="165">
        <v>3104.39</v>
      </c>
      <c r="D70" s="145">
        <f t="shared" si="12"/>
        <v>2.2752056613284166E-2</v>
      </c>
      <c r="E70" s="166">
        <f t="shared" si="8"/>
        <v>3087.7411769416822</v>
      </c>
    </row>
    <row r="71" spans="1:5" x14ac:dyDescent="0.25">
      <c r="A71" s="161">
        <f t="shared" si="11"/>
        <v>43678</v>
      </c>
      <c r="B71" s="145">
        <v>0.04</v>
      </c>
      <c r="C71" s="165">
        <v>3151.61</v>
      </c>
      <c r="D71" s="145">
        <f t="shared" si="12"/>
        <v>1.521071772554361E-2</v>
      </c>
      <c r="E71" s="166">
        <f t="shared" si="8"/>
        <v>3211.2508240193497</v>
      </c>
    </row>
    <row r="72" spans="1:5" x14ac:dyDescent="0.25">
      <c r="A72" s="161">
        <f t="shared" si="11"/>
        <v>43709</v>
      </c>
      <c r="B72" s="145">
        <v>5.9000000000000004E-2</v>
      </c>
      <c r="C72" s="165">
        <v>3302.07</v>
      </c>
      <c r="D72" s="145">
        <f t="shared" si="12"/>
        <v>4.7740678573808371E-2</v>
      </c>
      <c r="E72" s="166">
        <f t="shared" si="8"/>
        <v>3400.7146226364912</v>
      </c>
    </row>
    <row r="73" spans="1:5" x14ac:dyDescent="0.25">
      <c r="A73" s="161">
        <f t="shared" si="11"/>
        <v>43739</v>
      </c>
      <c r="B73" s="145">
        <v>3.3000000000000002E-2</v>
      </c>
      <c r="C73" s="165">
        <v>3506.25</v>
      </c>
      <c r="D73" s="145">
        <f t="shared" si="12"/>
        <v>6.1833940528214004E-2</v>
      </c>
      <c r="E73" s="166">
        <f t="shared" si="8"/>
        <v>3512.938205183495</v>
      </c>
    </row>
    <row r="74" spans="1:5" x14ac:dyDescent="0.25">
      <c r="A74" s="161">
        <f t="shared" si="11"/>
        <v>43770</v>
      </c>
      <c r="B74" s="145">
        <v>4.2999999999999997E-2</v>
      </c>
      <c r="C74" s="165">
        <v>3610.36</v>
      </c>
      <c r="D74" s="145">
        <f t="shared" si="12"/>
        <v>2.9692691622103418E-2</v>
      </c>
      <c r="E74" s="166">
        <f t="shared" si="8"/>
        <v>3663.9945480063852</v>
      </c>
    </row>
    <row r="75" spans="1:5" x14ac:dyDescent="0.25">
      <c r="A75" s="161">
        <f t="shared" si="11"/>
        <v>43800</v>
      </c>
      <c r="B75" s="145">
        <v>3.7000000000000005E-2</v>
      </c>
      <c r="C75" s="165">
        <v>3784.74</v>
      </c>
      <c r="D75" s="145">
        <f t="shared" si="12"/>
        <v>4.8299892531492583E-2</v>
      </c>
      <c r="E75" s="166">
        <f t="shared" si="8"/>
        <v>3799.5623462826211</v>
      </c>
    </row>
    <row r="76" spans="1:5" x14ac:dyDescent="0.25">
      <c r="A76" s="161">
        <f t="shared" si="11"/>
        <v>43831</v>
      </c>
      <c r="B76" s="145">
        <v>2.3E-2</v>
      </c>
      <c r="C76" s="165">
        <v>3968.36</v>
      </c>
      <c r="D76" s="145">
        <f t="shared" si="12"/>
        <v>4.8515882200626859E-2</v>
      </c>
      <c r="E76" s="166">
        <f t="shared" si="8"/>
        <v>3886.9522802471211</v>
      </c>
    </row>
    <row r="77" spans="1:5" x14ac:dyDescent="0.25">
      <c r="A77" s="161">
        <f t="shared" si="11"/>
        <v>43862</v>
      </c>
      <c r="B77" s="145">
        <v>0.02</v>
      </c>
      <c r="C77" s="165">
        <v>4089.1</v>
      </c>
      <c r="D77" s="145">
        <f t="shared" si="12"/>
        <v>3.0425667026177106E-2</v>
      </c>
      <c r="E77" s="166">
        <f t="shared" si="8"/>
        <v>3964.6913258520635</v>
      </c>
    </row>
    <row r="78" spans="1:5" x14ac:dyDescent="0.25">
      <c r="A78" s="161">
        <f t="shared" si="11"/>
        <v>43891</v>
      </c>
      <c r="B78" s="145">
        <v>3.3000000000000002E-2</v>
      </c>
      <c r="C78" s="165">
        <v>4200.6899999999996</v>
      </c>
      <c r="D78" s="145">
        <f t="shared" si="12"/>
        <v>2.7289623633562243E-2</v>
      </c>
      <c r="E78" s="166">
        <f t="shared" si="8"/>
        <v>4095.5261396051815</v>
      </c>
    </row>
    <row r="79" spans="1:5" x14ac:dyDescent="0.25">
      <c r="A79" s="161">
        <f t="shared" si="11"/>
        <v>43922</v>
      </c>
      <c r="B79" s="145">
        <v>1.4999999999999999E-2</v>
      </c>
      <c r="C79" s="165">
        <v>4316.58</v>
      </c>
      <c r="D79" s="145">
        <f t="shared" si="12"/>
        <v>2.7588324775215556E-2</v>
      </c>
      <c r="E79" s="166">
        <f t="shared" si="8"/>
        <v>4156.959031699259</v>
      </c>
    </row>
    <row r="80" spans="1:5" x14ac:dyDescent="0.25">
      <c r="A80" s="161">
        <f t="shared" si="11"/>
        <v>43952</v>
      </c>
      <c r="B80" s="145">
        <v>1.4999999999999999E-2</v>
      </c>
      <c r="C80" s="165">
        <v>4401.0600000000004</v>
      </c>
      <c r="D80" s="145">
        <f t="shared" si="12"/>
        <v>1.9571049302920418E-2</v>
      </c>
      <c r="E80" s="166">
        <f t="shared" si="8"/>
        <v>4219.3134171747479</v>
      </c>
    </row>
    <row r="81" spans="1:5" x14ac:dyDescent="0.25">
      <c r="A81" s="161">
        <f t="shared" si="11"/>
        <v>43983</v>
      </c>
      <c r="B81" s="145">
        <v>2.2000000000000002E-2</v>
      </c>
      <c r="C81" s="165">
        <v>4461.5600000000004</v>
      </c>
      <c r="D81" s="145">
        <f t="shared" si="12"/>
        <v>1.3746688297819221E-2</v>
      </c>
      <c r="E81" s="166">
        <f t="shared" si="8"/>
        <v>4312.138312352592</v>
      </c>
    </row>
    <row r="82" spans="1:5" x14ac:dyDescent="0.25">
      <c r="A82" s="161">
        <f t="shared" si="11"/>
        <v>44013</v>
      </c>
      <c r="B82" s="145">
        <v>1.9E-2</v>
      </c>
      <c r="C82" s="165">
        <v>4533.16</v>
      </c>
      <c r="D82" s="145">
        <f t="shared" si="12"/>
        <v>1.604819838800764E-2</v>
      </c>
      <c r="E82" s="166">
        <f t="shared" si="8"/>
        <v>4394.0689402872913</v>
      </c>
    </row>
    <row r="83" spans="1:5" x14ac:dyDescent="0.25">
      <c r="A83" s="161">
        <f t="shared" si="11"/>
        <v>44044</v>
      </c>
      <c r="B83" s="145">
        <v>2.7000000000000003E-2</v>
      </c>
      <c r="C83" s="165">
        <v>4641.9399999999996</v>
      </c>
      <c r="D83" s="145">
        <f t="shared" si="12"/>
        <v>2.3996505748749231E-2</v>
      </c>
      <c r="E83" s="166">
        <f t="shared" si="8"/>
        <v>4512.7088016750477</v>
      </c>
    </row>
    <row r="84" spans="1:5" x14ac:dyDescent="0.25">
      <c r="A84" s="161">
        <f t="shared" si="11"/>
        <v>44075</v>
      </c>
      <c r="B84" s="145">
        <v>2.7999999999999997E-2</v>
      </c>
      <c r="C84" s="165">
        <v>4782.91</v>
      </c>
      <c r="D84" s="145">
        <f t="shared" si="12"/>
        <v>3.0368768230524257E-2</v>
      </c>
      <c r="E84" s="166">
        <f t="shared" si="8"/>
        <v>4639.0646481219492</v>
      </c>
    </row>
    <row r="85" spans="1:5" x14ac:dyDescent="0.25">
      <c r="A85" s="161">
        <f t="shared" si="11"/>
        <v>44105</v>
      </c>
      <c r="B85" s="145">
        <v>3.7999999999999999E-2</v>
      </c>
      <c r="C85" s="165">
        <v>4929.68</v>
      </c>
      <c r="D85" s="145">
        <f t="shared" si="12"/>
        <v>3.0686339487885128E-2</v>
      </c>
      <c r="E85" s="166">
        <f t="shared" si="8"/>
        <v>4815.3491047505831</v>
      </c>
    </row>
    <row r="86" spans="1:5" x14ac:dyDescent="0.25">
      <c r="A86" s="161">
        <f t="shared" si="11"/>
        <v>44136</v>
      </c>
      <c r="B86" s="145">
        <v>3.2000000000000001E-2</v>
      </c>
      <c r="C86" s="165">
        <v>5104.74</v>
      </c>
      <c r="D86" s="145">
        <f t="shared" si="12"/>
        <v>3.5511432790769293E-2</v>
      </c>
      <c r="E86" s="166">
        <f t="shared" si="8"/>
        <v>4969.4402761026022</v>
      </c>
    </row>
    <row r="87" spans="1:5" x14ac:dyDescent="0.25">
      <c r="A87" s="161">
        <f t="shared" si="11"/>
        <v>44166</v>
      </c>
      <c r="B87" s="145">
        <v>0.04</v>
      </c>
      <c r="C87" s="165">
        <v>5293.17</v>
      </c>
      <c r="D87" s="145">
        <f t="shared" si="12"/>
        <v>3.6912751677852462E-2</v>
      </c>
      <c r="E87" s="166">
        <f t="shared" si="8"/>
        <v>5168.2178871467067</v>
      </c>
    </row>
    <row r="88" spans="1:5" x14ac:dyDescent="0.25">
      <c r="A88" s="161">
        <f t="shared" si="11"/>
        <v>44197</v>
      </c>
      <c r="B88" s="145">
        <v>0.04</v>
      </c>
      <c r="C88" s="165">
        <v>5626.28</v>
      </c>
      <c r="D88" s="145">
        <f t="shared" si="12"/>
        <v>6.2932042613405459E-2</v>
      </c>
      <c r="E88" s="166">
        <f t="shared" si="8"/>
        <v>5374.9466026325754</v>
      </c>
    </row>
    <row r="89" spans="1:5" x14ac:dyDescent="0.25">
      <c r="A89" s="161">
        <f t="shared" si="11"/>
        <v>44228</v>
      </c>
      <c r="B89" s="145">
        <v>3.6000000000000004E-2</v>
      </c>
      <c r="C89" s="165">
        <v>5907.94</v>
      </c>
      <c r="D89" s="145">
        <f t="shared" si="12"/>
        <v>5.0061497117100506E-2</v>
      </c>
      <c r="E89" s="166">
        <f t="shared" si="8"/>
        <v>5568.4446803273486</v>
      </c>
    </row>
    <row r="90" spans="1:5" x14ac:dyDescent="0.25">
      <c r="A90" s="161">
        <f t="shared" si="11"/>
        <v>44256</v>
      </c>
      <c r="B90" s="145">
        <v>4.8000000000000001E-2</v>
      </c>
      <c r="C90" s="165">
        <v>6123.9</v>
      </c>
      <c r="D90" s="145">
        <f t="shared" si="12"/>
        <v>3.6554196555821594E-2</v>
      </c>
      <c r="E90" s="166">
        <f t="shared" si="8"/>
        <v>5835.7300249830614</v>
      </c>
    </row>
    <row r="91" spans="1:5" x14ac:dyDescent="0.25">
      <c r="A91" s="161">
        <f t="shared" si="11"/>
        <v>44287</v>
      </c>
      <c r="B91" s="145">
        <v>4.0999999999999995E-2</v>
      </c>
      <c r="C91" s="165">
        <v>6361.08</v>
      </c>
      <c r="D91" s="145">
        <f t="shared" si="12"/>
        <v>3.8730220937637894E-2</v>
      </c>
      <c r="E91" s="166">
        <f t="shared" si="8"/>
        <v>6074.9949560073665</v>
      </c>
    </row>
    <row r="92" spans="1:5" x14ac:dyDescent="0.25">
      <c r="A92" s="161">
        <f t="shared" si="11"/>
        <v>44317</v>
      </c>
      <c r="B92" s="145">
        <v>3.3000000000000002E-2</v>
      </c>
      <c r="C92" s="165">
        <v>6615</v>
      </c>
      <c r="D92" s="145">
        <f t="shared" si="12"/>
        <v>3.9917749816068993E-2</v>
      </c>
      <c r="E92" s="166">
        <f t="shared" si="8"/>
        <v>6275.4697895556092</v>
      </c>
    </row>
    <row r="93" spans="1:5" x14ac:dyDescent="0.25">
      <c r="A93" s="161">
        <f t="shared" si="11"/>
        <v>44348</v>
      </c>
      <c r="B93" s="145">
        <v>3.2000000000000001E-2</v>
      </c>
      <c r="C93" s="165">
        <v>6834.62</v>
      </c>
      <c r="D93" s="145">
        <f t="shared" si="12"/>
        <v>3.3200302343159516E-2</v>
      </c>
      <c r="E93" s="166">
        <f t="shared" si="8"/>
        <v>6476.2848228213888</v>
      </c>
    </row>
    <row r="94" spans="1:5" x14ac:dyDescent="0.25">
      <c r="A94" s="161">
        <f t="shared" si="11"/>
        <v>44378</v>
      </c>
      <c r="B94" s="145">
        <v>0.03</v>
      </c>
      <c r="C94" s="165">
        <v>7065.63</v>
      </c>
      <c r="D94" s="145">
        <f t="shared" si="12"/>
        <v>3.3799977175029472E-2</v>
      </c>
      <c r="E94" s="166">
        <f t="shared" si="8"/>
        <v>6670.573367506031</v>
      </c>
    </row>
    <row r="95" spans="1:5" x14ac:dyDescent="0.25">
      <c r="A95" s="161">
        <f t="shared" si="11"/>
        <v>44409</v>
      </c>
      <c r="B95" s="145">
        <v>2.5000000000000001E-2</v>
      </c>
      <c r="C95" s="165">
        <v>7245.04</v>
      </c>
      <c r="D95" s="145">
        <f t="shared" si="12"/>
        <v>2.5391932495757663E-2</v>
      </c>
      <c r="E95" s="166">
        <f t="shared" si="8"/>
        <v>6837.3377016936811</v>
      </c>
    </row>
    <row r="96" spans="1:5" x14ac:dyDescent="0.25">
      <c r="A96" s="161">
        <f t="shared" si="11"/>
        <v>44440</v>
      </c>
      <c r="B96" s="145">
        <v>3.5000000000000003E-2</v>
      </c>
      <c r="C96" s="165">
        <v>7433.88</v>
      </c>
      <c r="D96" s="145">
        <f t="shared" si="12"/>
        <v>2.6064728421099082E-2</v>
      </c>
      <c r="E96" s="166">
        <f t="shared" si="8"/>
        <v>7076.6445212529597</v>
      </c>
    </row>
    <row r="97" spans="1:5" x14ac:dyDescent="0.25">
      <c r="A97" s="161">
        <f t="shared" si="11"/>
        <v>44470</v>
      </c>
      <c r="B97" s="145">
        <v>3.5000000000000003E-2</v>
      </c>
      <c r="C97" s="165">
        <v>7648.23</v>
      </c>
      <c r="D97" s="145">
        <f t="shared" si="12"/>
        <v>2.8834202327721048E-2</v>
      </c>
      <c r="E97" s="166">
        <f t="shared" si="8"/>
        <v>7324.327079496813</v>
      </c>
    </row>
    <row r="98" spans="1:5" x14ac:dyDescent="0.25">
      <c r="A98" s="161">
        <f t="shared" si="11"/>
        <v>44501</v>
      </c>
      <c r="B98" s="145">
        <v>2.5000000000000001E-2</v>
      </c>
      <c r="C98" s="165">
        <v>7865.47</v>
      </c>
      <c r="D98" s="145">
        <f t="shared" si="12"/>
        <v>2.8403957516968115E-2</v>
      </c>
      <c r="E98" s="166">
        <f t="shared" si="8"/>
        <v>7507.4352564842329</v>
      </c>
    </row>
    <row r="99" spans="1:5" x14ac:dyDescent="0.25">
      <c r="A99" s="161">
        <f t="shared" si="11"/>
        <v>44531</v>
      </c>
      <c r="B99" s="145">
        <v>3.7999999999999999E-2</v>
      </c>
      <c r="C99" s="165">
        <v>8110.64</v>
      </c>
      <c r="D99" s="145">
        <f t="shared" si="12"/>
        <v>3.1170419568061325E-2</v>
      </c>
      <c r="E99" s="166">
        <f t="shared" si="8"/>
        <v>7792.7177962306341</v>
      </c>
    </row>
    <row r="100" spans="1:5" x14ac:dyDescent="0.25">
      <c r="A100" s="161">
        <f t="shared" si="11"/>
        <v>44562</v>
      </c>
      <c r="B100" s="145">
        <v>3.9E-2</v>
      </c>
      <c r="C100" s="165">
        <v>8480.7000000000007</v>
      </c>
      <c r="D100" s="145">
        <f t="shared" si="12"/>
        <v>4.5626485702731312E-2</v>
      </c>
      <c r="E100" s="166">
        <f t="shared" si="8"/>
        <v>8096.6337902836285</v>
      </c>
    </row>
    <row r="101" spans="1:5" x14ac:dyDescent="0.25">
      <c r="A101" s="161">
        <f t="shared" si="11"/>
        <v>44593</v>
      </c>
      <c r="B101" s="145">
        <v>4.7E-2</v>
      </c>
      <c r="C101" s="165">
        <v>8808.77</v>
      </c>
      <c r="D101" s="145">
        <f t="shared" si="12"/>
        <v>3.8684306719964034E-2</v>
      </c>
      <c r="E101" s="166">
        <f t="shared" si="8"/>
        <v>8477.175578426959</v>
      </c>
    </row>
    <row r="102" spans="1:5" x14ac:dyDescent="0.25">
      <c r="A102" s="161">
        <f t="shared" si="11"/>
        <v>44621</v>
      </c>
      <c r="B102" s="145">
        <v>6.7000000000000004E-2</v>
      </c>
      <c r="C102" s="165">
        <v>9327.8799999999992</v>
      </c>
      <c r="D102" s="145">
        <f t="shared" si="12"/>
        <v>5.8931042585968152E-2</v>
      </c>
      <c r="E102" s="166">
        <f t="shared" si="8"/>
        <v>9045.1463421815643</v>
      </c>
    </row>
    <row r="103" spans="1:5" x14ac:dyDescent="0.25">
      <c r="A103" s="161">
        <f t="shared" si="11"/>
        <v>44652</v>
      </c>
      <c r="B103" s="145">
        <v>0.06</v>
      </c>
      <c r="C103" s="165">
        <v>9962.61</v>
      </c>
      <c r="D103" s="145">
        <f t="shared" si="12"/>
        <v>6.8046544338049131E-2</v>
      </c>
      <c r="E103" s="166">
        <f t="shared" si="8"/>
        <v>9587.855122712459</v>
      </c>
    </row>
    <row r="104" spans="1:5" x14ac:dyDescent="0.25">
      <c r="A104" s="161">
        <f t="shared" si="11"/>
        <v>44682</v>
      </c>
      <c r="B104" s="145">
        <v>5.0999999999999997E-2</v>
      </c>
      <c r="C104" s="165">
        <v>10472.040000000001</v>
      </c>
      <c r="D104" s="145">
        <f t="shared" si="12"/>
        <v>5.1134190739173802E-2</v>
      </c>
      <c r="E104" s="166">
        <f t="shared" si="8"/>
        <v>10076.835733970795</v>
      </c>
    </row>
    <row r="105" spans="1:5" x14ac:dyDescent="0.25">
      <c r="A105" s="161">
        <f t="shared" si="11"/>
        <v>44713</v>
      </c>
      <c r="B105" s="145">
        <v>5.2999999999999999E-2</v>
      </c>
      <c r="C105" s="165">
        <v>11054.95</v>
      </c>
      <c r="D105" s="145">
        <f t="shared" si="12"/>
        <v>5.5663461942467629E-2</v>
      </c>
      <c r="E105" s="166">
        <f t="shared" ref="E105:E123" si="13">+E104*(1+B105)</f>
        <v>10610.908027871246</v>
      </c>
    </row>
    <row r="106" spans="1:5" x14ac:dyDescent="0.25">
      <c r="A106" s="161">
        <f t="shared" ref="A106:A123" si="14">+EDATE(A105,1)</f>
        <v>44743</v>
      </c>
      <c r="B106" s="145">
        <v>7.400000000000001E-2</v>
      </c>
      <c r="C106" s="165">
        <v>11531.78</v>
      </c>
      <c r="D106" s="145">
        <f t="shared" si="12"/>
        <v>4.3132714304451758E-2</v>
      </c>
      <c r="E106" s="166">
        <f t="shared" si="13"/>
        <v>11396.11522193372</v>
      </c>
    </row>
    <row r="107" spans="1:5" x14ac:dyDescent="0.25">
      <c r="A107" s="161">
        <f t="shared" si="14"/>
        <v>44774</v>
      </c>
      <c r="B107" s="145">
        <v>7.0000000000000007E-2</v>
      </c>
      <c r="C107" s="165">
        <v>12323.61</v>
      </c>
      <c r="D107" s="145">
        <f t="shared" si="12"/>
        <v>6.8665028295718411E-2</v>
      </c>
      <c r="E107" s="166">
        <f t="shared" si="13"/>
        <v>12193.843287469081</v>
      </c>
    </row>
    <row r="108" spans="1:5" x14ac:dyDescent="0.25">
      <c r="A108" s="161">
        <f t="shared" si="14"/>
        <v>44805</v>
      </c>
      <c r="B108" s="145">
        <v>6.2E-2</v>
      </c>
      <c r="C108" s="165">
        <v>13207.47</v>
      </c>
      <c r="D108" s="145">
        <f t="shared" si="12"/>
        <v>7.1720867505544073E-2</v>
      </c>
      <c r="E108" s="166">
        <f t="shared" si="13"/>
        <v>12949.861571292164</v>
      </c>
    </row>
    <row r="109" spans="1:5" x14ac:dyDescent="0.25">
      <c r="A109" s="161">
        <f t="shared" si="14"/>
        <v>44835</v>
      </c>
      <c r="B109" s="145">
        <v>6.3E-2</v>
      </c>
      <c r="C109" s="165">
        <v>14057.96</v>
      </c>
      <c r="D109" s="145">
        <f t="shared" si="12"/>
        <v>6.4394619105702988E-2</v>
      </c>
      <c r="E109" s="166">
        <f t="shared" si="13"/>
        <v>13765.702850283569</v>
      </c>
    </row>
    <row r="110" spans="1:5" x14ac:dyDescent="0.25">
      <c r="A110" s="161">
        <f t="shared" si="14"/>
        <v>44866</v>
      </c>
      <c r="B110" s="145">
        <v>4.9000000000000002E-2</v>
      </c>
      <c r="C110" s="165">
        <v>14826.58</v>
      </c>
      <c r="D110" s="145">
        <f t="shared" si="12"/>
        <v>5.4675073766037308E-2</v>
      </c>
      <c r="E110" s="166">
        <f t="shared" si="13"/>
        <v>14440.222289947464</v>
      </c>
    </row>
    <row r="111" spans="1:5" x14ac:dyDescent="0.25">
      <c r="A111" s="161">
        <f t="shared" si="14"/>
        <v>44896</v>
      </c>
      <c r="B111" s="145">
        <v>5.0999999999999997E-2</v>
      </c>
      <c r="C111" s="165">
        <v>15585.2</v>
      </c>
      <c r="D111" s="145">
        <f t="shared" si="12"/>
        <v>5.1166216349286309E-2</v>
      </c>
      <c r="E111" s="166">
        <f t="shared" si="13"/>
        <v>15176.673626734784</v>
      </c>
    </row>
    <row r="112" spans="1:5" x14ac:dyDescent="0.25">
      <c r="A112" s="161">
        <f t="shared" si="14"/>
        <v>44927</v>
      </c>
      <c r="B112" s="145">
        <v>0.06</v>
      </c>
      <c r="C112" s="165">
        <v>16324.7</v>
      </c>
      <c r="D112" s="145">
        <f t="shared" si="12"/>
        <v>4.7448861740625681E-2</v>
      </c>
      <c r="E112" s="166">
        <f t="shared" si="13"/>
        <v>16087.274044338872</v>
      </c>
    </row>
    <row r="113" spans="1:5" x14ac:dyDescent="0.25">
      <c r="A113" s="161">
        <f t="shared" si="14"/>
        <v>44958</v>
      </c>
      <c r="B113" s="145">
        <v>6.6000000000000003E-2</v>
      </c>
      <c r="C113" s="165">
        <v>17243.86</v>
      </c>
      <c r="D113" s="145">
        <f t="shared" si="12"/>
        <v>5.630486318278427E-2</v>
      </c>
      <c r="E113" s="166">
        <f t="shared" si="13"/>
        <v>17149.034131265238</v>
      </c>
    </row>
    <row r="114" spans="1:5" x14ac:dyDescent="0.25">
      <c r="A114" s="161">
        <f t="shared" si="14"/>
        <v>44986</v>
      </c>
      <c r="B114" s="145">
        <v>7.6999999999999999E-2</v>
      </c>
      <c r="C114" s="165">
        <v>18772.650000000001</v>
      </c>
      <c r="D114" s="145">
        <f t="shared" si="12"/>
        <v>8.8657064021628651E-2</v>
      </c>
      <c r="E114" s="166">
        <f t="shared" si="13"/>
        <v>18469.50975937266</v>
      </c>
    </row>
    <row r="115" spans="1:5" x14ac:dyDescent="0.25">
      <c r="A115" s="161">
        <f t="shared" si="14"/>
        <v>45017</v>
      </c>
      <c r="B115" s="145">
        <v>8.4000000000000005E-2</v>
      </c>
      <c r="C115" s="165">
        <v>20072.27</v>
      </c>
      <c r="D115" s="145">
        <f t="shared" si="12"/>
        <v>6.9229437506159064E-2</v>
      </c>
      <c r="E115" s="166">
        <f t="shared" si="13"/>
        <v>20020.948579159965</v>
      </c>
    </row>
    <row r="116" spans="1:5" x14ac:dyDescent="0.25">
      <c r="A116" s="161">
        <f t="shared" si="14"/>
        <v>45047</v>
      </c>
      <c r="B116" s="145">
        <v>7.8E-2</v>
      </c>
      <c r="C116" s="165">
        <v>21489.61</v>
      </c>
      <c r="D116" s="145">
        <f t="shared" si="12"/>
        <v>7.0611844101339916E-2</v>
      </c>
      <c r="E116" s="166">
        <f t="shared" si="13"/>
        <v>21582.582568334445</v>
      </c>
    </row>
    <row r="117" spans="1:5" x14ac:dyDescent="0.25">
      <c r="A117" s="161">
        <f t="shared" si="14"/>
        <v>45078</v>
      </c>
      <c r="B117" s="145">
        <v>0.06</v>
      </c>
      <c r="C117" s="165">
        <v>22820.29</v>
      </c>
      <c r="D117" s="145">
        <f t="shared" si="12"/>
        <v>6.1922017198078549E-2</v>
      </c>
      <c r="E117" s="166">
        <f t="shared" si="13"/>
        <v>22877.537522434512</v>
      </c>
    </row>
    <row r="118" spans="1:5" x14ac:dyDescent="0.25">
      <c r="A118" s="161">
        <f t="shared" si="14"/>
        <v>45108</v>
      </c>
      <c r="B118" s="145">
        <v>6.3E-2</v>
      </c>
      <c r="C118" s="165">
        <v>25316.84</v>
      </c>
      <c r="D118" s="145">
        <f t="shared" si="12"/>
        <v>0.10940045021338474</v>
      </c>
      <c r="E118" s="166">
        <f t="shared" si="13"/>
        <v>24318.822386347885</v>
      </c>
    </row>
    <row r="119" spans="1:5" x14ac:dyDescent="0.25">
      <c r="A119" s="161">
        <f t="shared" si="14"/>
        <v>45139</v>
      </c>
      <c r="B119" s="145">
        <v>0.124</v>
      </c>
      <c r="C119" s="165">
        <v>29093.99</v>
      </c>
      <c r="D119" s="145">
        <f t="shared" si="12"/>
        <v>0.14919516021746793</v>
      </c>
      <c r="E119" s="166">
        <f t="shared" si="13"/>
        <v>27334.356362255025</v>
      </c>
    </row>
    <row r="120" spans="1:5" x14ac:dyDescent="0.25">
      <c r="A120" s="161">
        <f t="shared" si="14"/>
        <v>45170</v>
      </c>
      <c r="B120" s="145">
        <v>0.127</v>
      </c>
      <c r="C120" s="165">
        <v>33432.33</v>
      </c>
      <c r="D120" s="145">
        <f t="shared" si="12"/>
        <v>0.14911464532709329</v>
      </c>
      <c r="E120" s="166">
        <f t="shared" si="13"/>
        <v>30805.819620261413</v>
      </c>
    </row>
    <row r="121" spans="1:5" x14ac:dyDescent="0.25">
      <c r="A121" s="161">
        <f t="shared" si="14"/>
        <v>45200</v>
      </c>
      <c r="B121" s="145">
        <v>8.3000000000000004E-2</v>
      </c>
      <c r="D121" s="145">
        <f t="shared" si="12"/>
        <v>-1</v>
      </c>
      <c r="E121" s="166">
        <f t="shared" si="13"/>
        <v>33362.702648743107</v>
      </c>
    </row>
    <row r="122" spans="1:5" x14ac:dyDescent="0.25">
      <c r="A122" s="161">
        <f t="shared" si="14"/>
        <v>45231</v>
      </c>
      <c r="B122" s="145">
        <v>0.128</v>
      </c>
      <c r="D122" s="145" t="e">
        <f t="shared" si="12"/>
        <v>#DIV/0!</v>
      </c>
      <c r="E122" s="166">
        <f t="shared" si="13"/>
        <v>37633.12858778223</v>
      </c>
    </row>
    <row r="123" spans="1:5" x14ac:dyDescent="0.25">
      <c r="A123" s="161">
        <f t="shared" si="14"/>
        <v>45261</v>
      </c>
      <c r="B123" s="145">
        <v>0.255</v>
      </c>
      <c r="D123" s="145" t="e">
        <f t="shared" si="12"/>
        <v>#DIV/0!</v>
      </c>
      <c r="E123" s="166">
        <f t="shared" si="13"/>
        <v>47229.576377666694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Servicios Deuda Anual</vt:lpstr>
      <vt:lpstr>Perfil Amort Mensual</vt:lpstr>
      <vt:lpstr>Perfil Int Mensual</vt:lpstr>
      <vt:lpstr>Gráficos_2</vt:lpstr>
      <vt:lpstr>Gráficos</vt:lpstr>
      <vt:lpstr>Ratios 2023</vt:lpstr>
      <vt:lpstr>Avales</vt:lpstr>
      <vt:lpstr>Evolución Deuda Total</vt:lpstr>
      <vt:lpstr>IPC</vt:lpstr>
      <vt:lpstr>PBG</vt:lpstr>
      <vt:lpstr>Base Graf</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2024-03-04T16:14:44Z</dcterms:modified>
</cp:coreProperties>
</file>