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drawings/drawing4.xml" ContentType="application/vnd.openxmlformats-officedocument.drawing+xml"/>
  <Override PartName="/xl/comments1.xml" ContentType="application/vnd.openxmlformats-officedocument.spreadsheetml.comments+xml"/>
  <Override PartName="/xl/charts/chart9.xml" ContentType="application/vnd.openxmlformats-officedocument.drawingml.chart+xml"/>
  <Override PartName="/xl/charts/style8.xml" ContentType="application/vnd.ms-office.chartstyle+xml"/>
  <Override PartName="/xl/charts/colors8.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mc:AlternateContent xmlns:mc="http://schemas.openxmlformats.org/markup-compatibility/2006">
    <mc:Choice Requires="x15">
      <x15ac:absPath xmlns:x15ac="http://schemas.microsoft.com/office/spreadsheetml/2010/11/ac" url="Z:\AAA TABLERO DEUDA\NUEVO TABLERO\ACH\Informe trimestral de deuda\2024 - 03\"/>
    </mc:Choice>
  </mc:AlternateContent>
  <xr:revisionPtr revIDLastSave="0" documentId="13_ncr:1_{15AA74E7-2960-47FF-9878-8636F9B07C3A}" xr6:coauthVersionLast="47" xr6:coauthVersionMax="47" xr10:uidLastSave="{00000000-0000-0000-0000-000000000000}"/>
  <bookViews>
    <workbookView xWindow="-120" yWindow="-120" windowWidth="29040" windowHeight="15840" tabRatio="753" xr2:uid="{00000000-000D-0000-FFFF-FFFF00000000}"/>
  </bookViews>
  <sheets>
    <sheet name="Servicios Deuda Anual" sheetId="4" r:id="rId1"/>
    <sheet name="Perfil Amort Mensual" sheetId="2" r:id="rId2"/>
    <sheet name="Gráficos_2" sheetId="9" state="hidden" r:id="rId3"/>
    <sheet name="Perfil Int Mensual" sheetId="3" r:id="rId4"/>
    <sheet name="Gráficos" sheetId="13" r:id="rId5"/>
    <sheet name="Base Graf" sheetId="7" state="hidden" r:id="rId6"/>
    <sheet name="Ratios 2024" sheetId="5" r:id="rId7"/>
    <sheet name="Avales" sheetId="12" r:id="rId8"/>
    <sheet name="Evolución Deuda Total" sheetId="6" r:id="rId9"/>
    <sheet name="IPC" sheetId="10" state="hidden" r:id="rId10"/>
    <sheet name="PBG" sheetId="11" state="hidden" r:id="rId11"/>
  </sheets>
  <externalReferences>
    <externalReference r:id="rId12"/>
  </externalReferences>
  <definedNames>
    <definedName name="_Fill" localSheetId="8" hidden="1">#REF!</definedName>
    <definedName name="_Fill" localSheetId="3" hidden="1">#REF!</definedName>
    <definedName name="_Fill" localSheetId="6" hidden="1">#REF!</definedName>
    <definedName name="_Fill" hidden="1">#REF!</definedName>
    <definedName name="_xlnm._FilterDatabase" localSheetId="0" hidden="1">'Servicios Deuda Anual'!$A$10:$CR$14</definedName>
    <definedName name="_Key1" localSheetId="8" hidden="1">#REF!</definedName>
    <definedName name="_Key1" localSheetId="3" hidden="1">#REF!</definedName>
    <definedName name="_Key1" localSheetId="6" hidden="1">#REF!</definedName>
    <definedName name="_Key1" hidden="1">#REF!</definedName>
    <definedName name="_Order1" hidden="1">255</definedName>
    <definedName name="_Parse_In" localSheetId="8" hidden="1">#REF!</definedName>
    <definedName name="_Parse_In" localSheetId="3" hidden="1">#REF!</definedName>
    <definedName name="_Parse_In" localSheetId="6" hidden="1">#REF!</definedName>
    <definedName name="_Parse_In" hidden="1">#REF!</definedName>
    <definedName name="_Parse_Out" localSheetId="8" hidden="1">#REF!</definedName>
    <definedName name="_Parse_Out" localSheetId="3" hidden="1">#REF!</definedName>
    <definedName name="_Parse_Out" localSheetId="6" hidden="1">#REF!</definedName>
    <definedName name="_Parse_Out" hidden="1">#REF!</definedName>
    <definedName name="_Sort" localSheetId="8" hidden="1">#REF!</definedName>
    <definedName name="_Sort" localSheetId="3" hidden="1">#REF!</definedName>
    <definedName name="_Sort" localSheetId="6" hidden="1">#REF!</definedName>
    <definedName name="_Sort" hidden="1">#REF!</definedName>
    <definedName name="Acreedor_pesos">'Base Graf'!$BN$148:$BN$164</definedName>
    <definedName name="Acreedor_USD">'Base Graf'!$BN$167:$BN$183</definedName>
    <definedName name="Acreedor_UVA">'Base Graf'!$BN$186:$BN$202</definedName>
    <definedName name="ACwvu.PLA1." localSheetId="8" hidden="1">'[1]COP FED'!#REF!</definedName>
    <definedName name="ACwvu.PLA1." localSheetId="3" hidden="1">'[1]COP FED'!#REF!</definedName>
    <definedName name="ACwvu.PLA1." localSheetId="6" hidden="1">'[1]COP FED'!#REF!</definedName>
    <definedName name="ACwvu.PLA1." hidden="1">'[1]COP FED'!#REF!</definedName>
    <definedName name="ACwvu.PLA2." hidden="1">'[1]COP FED'!$A$1:$N$49</definedName>
    <definedName name="caja" localSheetId="8" hidden="1">{FALSE,FALSE,-1.25,-15.5,484.5,276.75,FALSE,FALSE,TRUE,TRUE,0,12,#N/A,46,#N/A,2.93460490463215,15.35,1,FALSE,FALSE,3,TRUE,1,FALSE,100,"Swvu.PLA1.","ACwvu.PLA1.",#N/A,FALSE,FALSE,0,0,0,0,2,"","",TRUE,TRUE,FALSE,FALSE,1,60,#N/A,#N/A,FALSE,FALSE,FALSE,FALSE,FALSE,FALSE,FALSE,9,65532,65532,FALSE,FALSE,TRUE,TRUE,TRUE}</definedName>
    <definedName name="caja" localSheetId="6" hidden="1">{FALSE,FALSE,-1.25,-15.5,484.5,276.75,FALSE,FALSE,TRUE,TRUE,0,12,#N/A,46,#N/A,2.93460490463215,15.35,1,FALSE,FALSE,3,TRUE,1,FALSE,100,"Swvu.PLA1.","ACwvu.PLA1.",#N/A,FALSE,FALSE,0,0,0,0,2,"","",TRUE,TRUE,FALSE,FALSE,1,60,#N/A,#N/A,FALSE,FALSE,FALSE,FALSE,FALSE,FALSE,FALSE,9,65532,65532,FALSE,FALSE,TRUE,TRUE,TRUE}</definedName>
    <definedName name="caja" hidden="1">{FALSE,FALSE,-1.25,-15.5,484.5,276.75,FALSE,FALSE,TRUE,TRUE,0,12,#N/A,46,#N/A,2.93460490463215,15.35,1,FALSE,FALSE,3,TRUE,1,FALSE,100,"Swvu.PLA1.","ACwvu.PLA1.",#N/A,FALSE,FALSE,0,0,0,0,2,"","",TRUE,TRUE,FALSE,FALSE,1,60,#N/A,#N/A,FALSE,FALSE,FALSE,FALSE,FALSE,FALSE,FALSE,9,65532,65532,FALSE,FALSE,TRUE,TRUE,TRUE}</definedName>
    <definedName name="grafacreedor">CHOOSE(Gráficos_2!$K$64,Acreedor_pesos,Acreedor_USD,Acreedor_UVA)</definedName>
    <definedName name="grafcomp">CHOOSE(Gráficos_2!$K$6,Por_tasa_int,Por_moneda)</definedName>
    <definedName name="grafserv">CHOOSE(Gráficos_2!$K$44,Servicio_pesos,Servicio_USD,Servicio_UVA)</definedName>
    <definedName name="grafvto">CHOOSE(Gráficos_2!$K$25,Vto_en_pesos,Vto_en_USD,Vto_en_UVA)</definedName>
    <definedName name="LL" localSheetId="8" hidden="1">{FALSE,FALSE,-1.25,-15.5,484.5,276.75,FALSE,FALSE,TRUE,TRUE,0,12,#N/A,46,#N/A,2.93460490463215,15.35,1,FALSE,FALSE,3,TRUE,1,FALSE,100,"Swvu.PLA1.","ACwvu.PLA1.",#N/A,FALSE,FALSE,0,0,0,0,2,"","",TRUE,TRUE,FALSE,FALSE,1,60,#N/A,#N/A,FALSE,FALSE,FALSE,FALSE,FALSE,FALSE,FALSE,9,65532,65532,FALSE,FALSE,TRUE,TRUE,TRUE}</definedName>
    <definedName name="LL" localSheetId="6" hidden="1">{FALSE,FALSE,-1.25,-15.5,484.5,276.75,FALSE,FALSE,TRUE,TRUE,0,12,#N/A,46,#N/A,2.93460490463215,15.35,1,FALSE,FALSE,3,TRUE,1,FALSE,100,"Swvu.PLA1.","ACwvu.PLA1.",#N/A,FALSE,FALSE,0,0,0,0,2,"","",TRUE,TRUE,FALSE,FALSE,1,60,#N/A,#N/A,FALSE,FALSE,FALSE,FALSE,FALSE,FALSE,FALSE,9,65532,65532,FALSE,FALSE,TRUE,TRUE,TRUE}</definedName>
    <definedName name="LL" hidden="1">{FALSE,FALSE,-1.25,-15.5,484.5,276.75,FALSE,FALSE,TRUE,TRUE,0,12,#N/A,46,#N/A,2.93460490463215,15.35,1,FALSE,FALSE,3,TRUE,1,FALSE,100,"Swvu.PLA1.","ACwvu.PLA1.",#N/A,FALSE,FALSE,0,0,0,0,2,"","",TRUE,TRUE,FALSE,FALSE,1,60,#N/A,#N/A,FALSE,FALSE,FALSE,FALSE,FALSE,FALSE,FALSE,9,65532,65532,FALSE,FALSE,TRUE,TRUE,TRUE}</definedName>
    <definedName name="nu" localSheetId="8" hidden="1">'[1]COP FED'!#REF!</definedName>
    <definedName name="nu" localSheetId="3" hidden="1">'[1]COP FED'!#REF!</definedName>
    <definedName name="nu" localSheetId="6" hidden="1">'[1]COP FED'!#REF!</definedName>
    <definedName name="nu" hidden="1">'[1]COP FED'!#REF!</definedName>
    <definedName name="Por_moneda">'Base Graf'!$BN$20:$BN$36</definedName>
    <definedName name="Por_tasa_int">'Base Graf'!$BN$3:$BN$18</definedName>
    <definedName name="Rwvu.PLA2." localSheetId="8" hidden="1">'[1]COP FED'!#REF!</definedName>
    <definedName name="Rwvu.PLA2." localSheetId="3" hidden="1">'[1]COP FED'!#REF!</definedName>
    <definedName name="Rwvu.PLA2." localSheetId="6" hidden="1">'[1]COP FED'!#REF!</definedName>
    <definedName name="Rwvu.PLA2." hidden="1">'[1]COP FED'!#REF!</definedName>
    <definedName name="Servicio_pesos">'Base Graf'!$BN$93:$BN$109</definedName>
    <definedName name="Servicio_USD">'Base Graf'!$BN$111:$BN$127</definedName>
    <definedName name="Servicio_UVA">'Base Graf'!$BN$130:$BN$146</definedName>
    <definedName name="Swvu.PLA1." localSheetId="8" hidden="1">'[1]COP FED'!#REF!</definedName>
    <definedName name="Swvu.PLA1." localSheetId="3" hidden="1">'[1]COP FED'!#REF!</definedName>
    <definedName name="Swvu.PLA1." localSheetId="6" hidden="1">'[1]COP FED'!#REF!</definedName>
    <definedName name="Swvu.PLA1." hidden="1">'[1]COP FED'!#REF!</definedName>
    <definedName name="Swvu.PLA2." hidden="1">'[1]COP FED'!$A$1:$N$49</definedName>
    <definedName name="Vto_en_pesos">'Base Graf'!$BN$39:$BN$55</definedName>
    <definedName name="Vto_en_USD">'Base Graf'!$BN$57:$BN$73</definedName>
    <definedName name="Vto_en_UVA">'Base Graf'!$BN$75:$BN$91</definedName>
    <definedName name="wvu.PLA1." localSheetId="8" hidden="1">{FALSE,FALSE,-1.25,-15.5,484.5,276.75,FALSE,FALSE,TRUE,TRUE,0,12,#N/A,46,#N/A,2.93460490463215,15.35,1,FALSE,FALSE,3,TRUE,1,FALSE,100,"Swvu.PLA1.","ACwvu.PLA1.",#N/A,FALSE,FALSE,0,0,0,0,2,"","",TRUE,TRUE,FALSE,FALSE,1,60,#N/A,#N/A,FALSE,FALSE,FALSE,FALSE,FALSE,FALSE,FALSE,9,65532,65532,FALSE,FALSE,TRUE,TRUE,TRUE}</definedName>
    <definedName name="wvu.PLA1." localSheetId="6" hidden="1">{FALSE,FALSE,-1.25,-15.5,484.5,276.75,FALSE,FALSE,TRUE,TRUE,0,12,#N/A,46,#N/A,2.93460490463215,15.35,1,FALSE,FALSE,3,TRUE,1,FALSE,100,"Swvu.PLA1.","ACwvu.PLA1.",#N/A,FALSE,FALSE,0,0,0,0,2,"","",TRUE,TRUE,FALSE,FALSE,1,60,#N/A,#N/A,FALSE,FALSE,FALSE,FALSE,FALSE,FALSE,FALSE,9,65532,65532,FALSE,FALSE,TRUE,TRUE,TRUE}</definedName>
    <definedName name="wvu.PLA1." hidden="1">{FALSE,FALSE,-1.25,-15.5,484.5,276.75,FALSE,FALSE,TRUE,TRUE,0,12,#N/A,46,#N/A,2.93460490463215,15.35,1,FALSE,FALSE,3,TRUE,1,FALSE,100,"Swvu.PLA1.","ACwvu.PLA1.",#N/A,FALSE,FALSE,0,0,0,0,2,"","",TRUE,TRUE,FALSE,FALSE,1,60,#N/A,#N/A,FALSE,FALSE,FALSE,FALSE,FALSE,FALSE,FALSE,9,65532,65532,FALSE,FALSE,TRUE,TRUE,TRUE}</definedName>
    <definedName name="wvu.PLA2." localSheetId="8" hidden="1">{TRUE,TRUE,-1.25,-15.5,484.5,276.75,FALSE,FALSE,TRUE,TRUE,0,15,#N/A,56,#N/A,4.88636363636364,15.35,1,FALSE,FALSE,3,TRUE,1,FALSE,100,"Swvu.PLA2.","ACwvu.PLA2.",#N/A,FALSE,FALSE,0,0,0,0,2,"","",TRUE,TRUE,FALSE,FALSE,1,60,#N/A,#N/A,FALSE,FALSE,"Rwvu.PLA2.",#N/A,FALSE,FALSE,FALSE,9,65532,65532,FALSE,FALSE,TRUE,TRUE,TRUE}</definedName>
    <definedName name="wvu.PLA2." localSheetId="6" hidden="1">{TRUE,TRUE,-1.25,-15.5,484.5,276.75,FALSE,FALSE,TRUE,TRUE,0,15,#N/A,56,#N/A,4.88636363636364,15.35,1,FALSE,FALSE,3,TRUE,1,FALSE,100,"Swvu.PLA2.","ACwvu.PLA2.",#N/A,FALSE,FALSE,0,0,0,0,2,"","",TRUE,TRUE,FALSE,FALSE,1,60,#N/A,#N/A,FALSE,FALSE,"Rwvu.PLA2.",#N/A,FALSE,FALSE,FALSE,9,65532,65532,FALSE,FALSE,TRUE,TRUE,TRUE}</definedName>
    <definedName name="wvu.PLA2." hidden="1">{TRUE,TRUE,-1.25,-15.5,484.5,276.75,FALSE,FALSE,TRUE,TRUE,0,15,#N/A,56,#N/A,4.88636363636364,15.35,1,FALSE,FALSE,3,TRUE,1,FALSE,100,"Swvu.PLA2.","ACwvu.PLA2.",#N/A,FALSE,FALSE,0,0,0,0,2,"","",TRUE,TRUE,FALSE,FALSE,1,60,#N/A,#N/A,FALSE,FALSE,"Rwvu.PLA2.",#N/A,FALSE,FALSE,FALSE,9,65532,65532,FALSE,FALSE,TRUE,TRUE,TRUE}</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42" i="10" l="1"/>
  <c r="M41" i="10"/>
  <c r="M40" i="10"/>
  <c r="M39" i="10"/>
  <c r="M38" i="10"/>
  <c r="M37" i="10"/>
  <c r="M36" i="10"/>
  <c r="M35" i="10"/>
  <c r="M34" i="10"/>
  <c r="M33" i="10"/>
  <c r="M32" i="10"/>
  <c r="M31" i="10"/>
  <c r="M30" i="10"/>
  <c r="M29" i="10"/>
  <c r="M28" i="10"/>
  <c r="M27" i="10"/>
  <c r="M26" i="10"/>
  <c r="M25" i="10"/>
  <c r="M24" i="10"/>
  <c r="M23" i="10"/>
  <c r="M22" i="10"/>
  <c r="M21" i="10"/>
  <c r="M20" i="10"/>
  <c r="M19" i="10"/>
  <c r="M18" i="10"/>
  <c r="M17" i="10"/>
  <c r="M16" i="10"/>
  <c r="M15" i="10"/>
  <c r="M14" i="10"/>
  <c r="M13" i="10"/>
  <c r="M12" i="10"/>
  <c r="M11" i="10"/>
  <c r="M10" i="10"/>
  <c r="M9" i="10"/>
  <c r="M8" i="10"/>
  <c r="M7" i="10"/>
  <c r="M6" i="10"/>
  <c r="M5" i="10"/>
  <c r="M4" i="10"/>
  <c r="M3" i="10"/>
  <c r="M43" i="10"/>
  <c r="G43" i="10"/>
  <c r="E124" i="10"/>
  <c r="E125" i="10" s="1"/>
  <c r="E126" i="10" s="1"/>
  <c r="A124" i="10"/>
  <c r="A125" i="10" s="1"/>
  <c r="A126" i="10" s="1"/>
  <c r="AP5" i="6"/>
  <c r="AP10" i="6"/>
  <c r="AP7" i="6" l="1"/>
  <c r="C5" i="5"/>
  <c r="AP13" i="6" l="1"/>
  <c r="AP11" i="6"/>
  <c r="AP9" i="6"/>
  <c r="P11" i="4"/>
  <c r="BE5" i="7" l="1"/>
  <c r="BH5" i="7"/>
  <c r="AX5" i="7"/>
  <c r="AC37" i="4"/>
  <c r="AB37" i="4"/>
  <c r="AA37" i="4"/>
  <c r="Z37" i="4"/>
  <c r="Y37" i="4"/>
  <c r="X37" i="4"/>
  <c r="W37" i="4"/>
  <c r="V37" i="4"/>
  <c r="U37" i="4"/>
  <c r="T37" i="4"/>
  <c r="S37" i="4"/>
  <c r="R37" i="4"/>
  <c r="Q37" i="4"/>
  <c r="AC36" i="4"/>
  <c r="AB36" i="4"/>
  <c r="AA36" i="4"/>
  <c r="Z36" i="4"/>
  <c r="Y36" i="4"/>
  <c r="X36" i="4"/>
  <c r="W36" i="4"/>
  <c r="V36" i="4"/>
  <c r="U36" i="4"/>
  <c r="T36" i="4"/>
  <c r="S36" i="4"/>
  <c r="R36" i="4"/>
  <c r="Q36" i="4"/>
  <c r="P37" i="4"/>
  <c r="P36" i="4"/>
  <c r="P38" i="4" l="1"/>
  <c r="F36" i="4"/>
  <c r="F37" i="4"/>
  <c r="P10" i="4" l="1"/>
  <c r="F62" i="4"/>
  <c r="F10" i="4"/>
  <c r="F31" i="4"/>
  <c r="F19" i="4"/>
  <c r="F14" i="4"/>
  <c r="F12" i="4"/>
  <c r="F11" i="4"/>
  <c r="AO6" i="6" l="1"/>
  <c r="BG96" i="7"/>
  <c r="BG97" i="7" s="1"/>
  <c r="BG98" i="7" s="1"/>
  <c r="BG99" i="7" s="1"/>
  <c r="BG100" i="7" s="1"/>
  <c r="BG101" i="7" s="1"/>
  <c r="BI59" i="7"/>
  <c r="BI60" i="7" s="1"/>
  <c r="BI61" i="7" s="1"/>
  <c r="BI62" i="7" s="1"/>
  <c r="BI63" i="7" s="1"/>
  <c r="BI64" i="7" s="1"/>
  <c r="AQ24" i="7" l="1"/>
  <c r="D121" i="10" l="1"/>
  <c r="D122" i="10"/>
  <c r="D123" i="10"/>
  <c r="AN7" i="6"/>
  <c r="AN13" i="6" s="1"/>
  <c r="AN9" i="6" l="1"/>
  <c r="AN11" i="6"/>
  <c r="S31" i="3"/>
  <c r="S6" i="3"/>
  <c r="AC43" i="4"/>
  <c r="AB43" i="4"/>
  <c r="AA43" i="4"/>
  <c r="Z43" i="4"/>
  <c r="Y43" i="4"/>
  <c r="X43" i="4"/>
  <c r="W43" i="4"/>
  <c r="V43" i="4"/>
  <c r="U43" i="4"/>
  <c r="T43" i="4"/>
  <c r="S43" i="4"/>
  <c r="R43" i="4"/>
  <c r="Q43" i="4"/>
  <c r="P43" i="4"/>
  <c r="AC42" i="4"/>
  <c r="AB42" i="4"/>
  <c r="AA42" i="4"/>
  <c r="Z42" i="4"/>
  <c r="Y42" i="4"/>
  <c r="X42" i="4"/>
  <c r="W42" i="4"/>
  <c r="V42" i="4"/>
  <c r="U42" i="4"/>
  <c r="T42" i="4"/>
  <c r="S42" i="4"/>
  <c r="R42" i="4"/>
  <c r="Q42" i="4"/>
  <c r="P42" i="4"/>
  <c r="AC41" i="4"/>
  <c r="AB41" i="4"/>
  <c r="AA41" i="4"/>
  <c r="Z41" i="4"/>
  <c r="Y41" i="4"/>
  <c r="X41" i="4"/>
  <c r="W41" i="4"/>
  <c r="V41" i="4"/>
  <c r="U41" i="4"/>
  <c r="T41" i="4"/>
  <c r="S41" i="4"/>
  <c r="R41" i="4"/>
  <c r="Q41" i="4"/>
  <c r="P41" i="4"/>
  <c r="AC40" i="4"/>
  <c r="AB40" i="4"/>
  <c r="AA40" i="4"/>
  <c r="Z40" i="4"/>
  <c r="Y40" i="4"/>
  <c r="X40" i="4"/>
  <c r="W40" i="4"/>
  <c r="V40" i="4"/>
  <c r="U40" i="4"/>
  <c r="T40" i="4"/>
  <c r="S40" i="4"/>
  <c r="R40" i="4"/>
  <c r="Q40" i="4"/>
  <c r="P40" i="4"/>
  <c r="AC39" i="4"/>
  <c r="AB39" i="4"/>
  <c r="AA39" i="4"/>
  <c r="Z39" i="4"/>
  <c r="Y39" i="4"/>
  <c r="X39" i="4"/>
  <c r="W39" i="4"/>
  <c r="V39" i="4"/>
  <c r="U39" i="4"/>
  <c r="T39" i="4"/>
  <c r="S39" i="4"/>
  <c r="R39" i="4"/>
  <c r="Q39" i="4"/>
  <c r="P39" i="4"/>
  <c r="AC38" i="4"/>
  <c r="AB38" i="4"/>
  <c r="AA38" i="4"/>
  <c r="Z38" i="4"/>
  <c r="Y38" i="4"/>
  <c r="X38" i="4"/>
  <c r="W38" i="4"/>
  <c r="V38" i="4"/>
  <c r="U38" i="4"/>
  <c r="T38" i="4"/>
  <c r="S38" i="4"/>
  <c r="R38" i="4"/>
  <c r="Q38" i="4"/>
  <c r="AC35" i="4"/>
  <c r="AB35" i="4"/>
  <c r="AA35" i="4"/>
  <c r="Z35" i="4"/>
  <c r="Y35" i="4"/>
  <c r="X35" i="4"/>
  <c r="W35" i="4"/>
  <c r="V35" i="4"/>
  <c r="U35" i="4"/>
  <c r="T35" i="4"/>
  <c r="S35" i="4"/>
  <c r="R35" i="4"/>
  <c r="Q35" i="4"/>
  <c r="P35" i="4"/>
  <c r="AC33" i="4"/>
  <c r="AB33" i="4"/>
  <c r="Z33" i="4"/>
  <c r="X33" i="4"/>
  <c r="V33" i="4"/>
  <c r="T33" i="4"/>
  <c r="R33" i="4"/>
  <c r="P33" i="4"/>
  <c r="AC32" i="4"/>
  <c r="AB32" i="4"/>
  <c r="Z32" i="4"/>
  <c r="X32" i="4"/>
  <c r="V32" i="4"/>
  <c r="T32" i="4"/>
  <c r="R32" i="4"/>
  <c r="P32" i="4"/>
  <c r="AC31" i="4"/>
  <c r="AB31" i="4"/>
  <c r="Z31" i="4"/>
  <c r="X31" i="4"/>
  <c r="V31" i="4"/>
  <c r="T31" i="4"/>
  <c r="R31" i="4"/>
  <c r="P31" i="4"/>
  <c r="AC29" i="4"/>
  <c r="AB29" i="4"/>
  <c r="AA29" i="4"/>
  <c r="Z29" i="4"/>
  <c r="Y29" i="4"/>
  <c r="X29" i="4"/>
  <c r="W29" i="4"/>
  <c r="V29" i="4"/>
  <c r="U29" i="4"/>
  <c r="T29" i="4"/>
  <c r="S29" i="4"/>
  <c r="R29" i="4"/>
  <c r="Q29" i="4"/>
  <c r="P29" i="4"/>
  <c r="AC28" i="4"/>
  <c r="AB28" i="4"/>
  <c r="AA28" i="4"/>
  <c r="Z28" i="4"/>
  <c r="Y28" i="4"/>
  <c r="X28" i="4"/>
  <c r="W28" i="4"/>
  <c r="V28" i="4"/>
  <c r="U28" i="4"/>
  <c r="T28" i="4"/>
  <c r="S28" i="4"/>
  <c r="R28" i="4"/>
  <c r="P28" i="4"/>
  <c r="AC27" i="4"/>
  <c r="AB27" i="4"/>
  <c r="AA27" i="4"/>
  <c r="Z27" i="4"/>
  <c r="Y27" i="4"/>
  <c r="X27" i="4"/>
  <c r="W27" i="4"/>
  <c r="V27" i="4"/>
  <c r="U27" i="4"/>
  <c r="T27" i="4"/>
  <c r="S27" i="4"/>
  <c r="R27" i="4"/>
  <c r="Q27" i="4"/>
  <c r="P27" i="4"/>
  <c r="AC26" i="4"/>
  <c r="AB26" i="4"/>
  <c r="Z26" i="4"/>
  <c r="X26" i="4"/>
  <c r="V26" i="4"/>
  <c r="U26" i="4"/>
  <c r="T26" i="4"/>
  <c r="R26" i="4"/>
  <c r="P26" i="4"/>
  <c r="AC25" i="4"/>
  <c r="AB25" i="4"/>
  <c r="Z25" i="4"/>
  <c r="X25" i="4"/>
  <c r="V25" i="4"/>
  <c r="T25" i="4"/>
  <c r="R25" i="4"/>
  <c r="P25" i="4"/>
  <c r="AC24" i="4"/>
  <c r="AB24" i="4"/>
  <c r="AA24" i="4"/>
  <c r="Z24" i="4"/>
  <c r="Y24" i="4"/>
  <c r="X24" i="4"/>
  <c r="W24" i="4"/>
  <c r="V24" i="4"/>
  <c r="U24" i="4"/>
  <c r="T24" i="4"/>
  <c r="R24" i="4"/>
  <c r="P24" i="4"/>
  <c r="AC23" i="4"/>
  <c r="AB23" i="4"/>
  <c r="Z23" i="4"/>
  <c r="X23" i="4"/>
  <c r="V23" i="4"/>
  <c r="T23" i="4"/>
  <c r="R23" i="4"/>
  <c r="P23" i="4"/>
  <c r="AC22" i="4"/>
  <c r="AB22" i="4"/>
  <c r="Z22" i="4"/>
  <c r="X22" i="4"/>
  <c r="V22" i="4"/>
  <c r="T22" i="4"/>
  <c r="R22" i="4"/>
  <c r="P22" i="4"/>
  <c r="AC21" i="4"/>
  <c r="AB21" i="4"/>
  <c r="AA21" i="4"/>
  <c r="Z21" i="4"/>
  <c r="Y21" i="4"/>
  <c r="X21" i="4"/>
  <c r="W21" i="4"/>
  <c r="V21" i="4"/>
  <c r="U21" i="4"/>
  <c r="T21" i="4"/>
  <c r="S21" i="4"/>
  <c r="R21" i="4"/>
  <c r="Q21" i="4"/>
  <c r="P21" i="4"/>
  <c r="AC20" i="4"/>
  <c r="AB20" i="4"/>
  <c r="AA20" i="4"/>
  <c r="Z20" i="4"/>
  <c r="Y20" i="4"/>
  <c r="X20" i="4"/>
  <c r="W20" i="4"/>
  <c r="V20" i="4"/>
  <c r="U20" i="4"/>
  <c r="T20" i="4"/>
  <c r="S20" i="4"/>
  <c r="R20" i="4"/>
  <c r="Q20" i="4"/>
  <c r="P20" i="4"/>
  <c r="AC19" i="4"/>
  <c r="AB19" i="4"/>
  <c r="AA19" i="4"/>
  <c r="Z19" i="4"/>
  <c r="Y19" i="4"/>
  <c r="X19" i="4"/>
  <c r="W19" i="4"/>
  <c r="V19" i="4"/>
  <c r="U19" i="4"/>
  <c r="T19" i="4"/>
  <c r="S19" i="4"/>
  <c r="R19" i="4"/>
  <c r="Q19" i="4"/>
  <c r="P19" i="4"/>
  <c r="AC14" i="4"/>
  <c r="AB14" i="4"/>
  <c r="AA14" i="4"/>
  <c r="Z14" i="4"/>
  <c r="Y14" i="4"/>
  <c r="X14" i="4"/>
  <c r="W14" i="4"/>
  <c r="V14" i="4"/>
  <c r="U14" i="4"/>
  <c r="T14" i="4"/>
  <c r="S14" i="4"/>
  <c r="R14" i="4"/>
  <c r="Q14" i="4"/>
  <c r="P14" i="4"/>
  <c r="AC13" i="4"/>
  <c r="AB13" i="4"/>
  <c r="AA13" i="4"/>
  <c r="Z13" i="4"/>
  <c r="Y13" i="4"/>
  <c r="X13" i="4"/>
  <c r="W13" i="4"/>
  <c r="V13" i="4"/>
  <c r="U13" i="4"/>
  <c r="T13" i="4"/>
  <c r="S13" i="4"/>
  <c r="R13" i="4"/>
  <c r="Q13" i="4"/>
  <c r="P13" i="4"/>
  <c r="AC12" i="4"/>
  <c r="AB12" i="4"/>
  <c r="AA12" i="4"/>
  <c r="Z12" i="4"/>
  <c r="Y12" i="4"/>
  <c r="X12" i="4"/>
  <c r="W12" i="4"/>
  <c r="V12" i="4"/>
  <c r="U12" i="4"/>
  <c r="T12" i="4"/>
  <c r="S12" i="4"/>
  <c r="R12" i="4"/>
  <c r="Q12" i="4"/>
  <c r="P12" i="4"/>
  <c r="AC11" i="4"/>
  <c r="AB11" i="4"/>
  <c r="AA11" i="4"/>
  <c r="Z11" i="4"/>
  <c r="Y11" i="4"/>
  <c r="X11" i="4"/>
  <c r="W11" i="4"/>
  <c r="V11" i="4"/>
  <c r="U11" i="4"/>
  <c r="T11" i="4"/>
  <c r="S11" i="4"/>
  <c r="R11" i="4"/>
  <c r="Q11" i="4"/>
  <c r="AC10" i="4"/>
  <c r="AB10" i="4"/>
  <c r="AA10" i="4"/>
  <c r="Z10" i="4"/>
  <c r="Y10" i="4"/>
  <c r="X10" i="4"/>
  <c r="W10" i="4"/>
  <c r="V10" i="4"/>
  <c r="U10" i="4"/>
  <c r="T10" i="4"/>
  <c r="S10" i="4"/>
  <c r="R10" i="4"/>
  <c r="Q10" i="4"/>
  <c r="S31" i="2"/>
  <c r="S6" i="2"/>
  <c r="S33" i="4"/>
  <c r="Q33" i="4"/>
  <c r="AA32" i="4"/>
  <c r="Y32" i="4"/>
  <c r="W32" i="4"/>
  <c r="U32" i="4"/>
  <c r="S32" i="4"/>
  <c r="Q32" i="4"/>
  <c r="AA31" i="4"/>
  <c r="Y31" i="4"/>
  <c r="W31" i="4"/>
  <c r="U31" i="4"/>
  <c r="S31" i="4"/>
  <c r="Q31" i="4"/>
  <c r="Q28" i="4"/>
  <c r="AA26" i="4"/>
  <c r="Y26" i="4"/>
  <c r="W26" i="4"/>
  <c r="S26" i="4"/>
  <c r="Q26" i="4"/>
  <c r="AA25" i="4"/>
  <c r="Y25" i="4"/>
  <c r="W25" i="4"/>
  <c r="U25" i="4"/>
  <c r="S25" i="4"/>
  <c r="Q25" i="4"/>
  <c r="S24" i="4"/>
  <c r="Q24" i="4"/>
  <c r="AA23" i="4"/>
  <c r="Y23" i="4"/>
  <c r="W23" i="4"/>
  <c r="U23" i="4"/>
  <c r="S23" i="4"/>
  <c r="Q23" i="4"/>
  <c r="AA22" i="4"/>
  <c r="Y22" i="4"/>
  <c r="W22" i="4"/>
  <c r="U22" i="4"/>
  <c r="S22" i="4"/>
  <c r="Q22" i="4"/>
  <c r="D121" i="4"/>
  <c r="T6" i="3" l="1"/>
  <c r="T31" i="2"/>
  <c r="T6" i="2"/>
  <c r="T31" i="3"/>
  <c r="R48" i="3"/>
  <c r="R48" i="2"/>
  <c r="S48" i="2"/>
  <c r="U6" i="3" l="1"/>
  <c r="U6" i="2"/>
  <c r="U31" i="2"/>
  <c r="S48" i="3"/>
  <c r="U31" i="3"/>
  <c r="U33" i="4" l="1"/>
  <c r="T48" i="2"/>
  <c r="T48" i="3"/>
  <c r="V31" i="2"/>
  <c r="V6" i="2"/>
  <c r="V31" i="3"/>
  <c r="V6" i="3"/>
  <c r="T22" i="3"/>
  <c r="U22" i="3"/>
  <c r="R22" i="3"/>
  <c r="S22" i="3"/>
  <c r="U48" i="3" l="1"/>
  <c r="U48" i="2"/>
  <c r="W31" i="3"/>
  <c r="V48" i="3"/>
  <c r="W31" i="2"/>
  <c r="W6" i="2"/>
  <c r="W6" i="3"/>
  <c r="S22" i="2"/>
  <c r="T22" i="2"/>
  <c r="U22" i="2"/>
  <c r="R22" i="2"/>
  <c r="V22" i="2"/>
  <c r="V22" i="3" l="1"/>
  <c r="V48" i="2"/>
  <c r="W33" i="4"/>
  <c r="X31" i="2"/>
  <c r="X6" i="2"/>
  <c r="W22" i="2"/>
  <c r="X6" i="3"/>
  <c r="W22" i="3"/>
  <c r="X31" i="3"/>
  <c r="W48" i="2" l="1"/>
  <c r="Y6" i="3"/>
  <c r="W48" i="3"/>
  <c r="Y31" i="3"/>
  <c r="X48" i="3"/>
  <c r="Y6" i="2"/>
  <c r="Y31" i="2"/>
  <c r="D112" i="4"/>
  <c r="D111" i="4"/>
  <c r="D110" i="4"/>
  <c r="D109" i="4"/>
  <c r="D108" i="4"/>
  <c r="X48" i="2" l="1"/>
  <c r="X22" i="2"/>
  <c r="Y33" i="4"/>
  <c r="X22" i="3"/>
  <c r="Z6" i="2"/>
  <c r="Y22" i="2"/>
  <c r="Z31" i="3"/>
  <c r="Z31" i="2"/>
  <c r="Z6" i="3"/>
  <c r="D76" i="4"/>
  <c r="D67" i="4"/>
  <c r="D66" i="4"/>
  <c r="D65" i="4"/>
  <c r="R62" i="4"/>
  <c r="D64" i="4"/>
  <c r="F41" i="4"/>
  <c r="F24" i="4"/>
  <c r="Y22" i="3" l="1"/>
  <c r="Y48" i="2"/>
  <c r="AA31" i="2"/>
  <c r="Z48" i="2"/>
  <c r="AA6" i="2"/>
  <c r="Y48" i="3"/>
  <c r="AA31" i="3"/>
  <c r="AA6" i="3"/>
  <c r="Z22" i="3"/>
  <c r="Z22" i="2" l="1"/>
  <c r="Z48" i="3"/>
  <c r="AB31" i="3"/>
  <c r="AB6" i="2"/>
  <c r="AA22" i="2"/>
  <c r="AB6" i="3"/>
  <c r="AB31" i="2"/>
  <c r="AA48" i="2" l="1"/>
  <c r="AA33" i="4"/>
  <c r="AC6" i="3"/>
  <c r="AB22" i="3"/>
  <c r="AC6" i="2"/>
  <c r="AC31" i="2"/>
  <c r="AA22" i="3"/>
  <c r="AA48" i="3"/>
  <c r="AC31" i="3"/>
  <c r="AB9" i="4"/>
  <c r="AP14" i="7"/>
  <c r="AP13" i="7"/>
  <c r="AP12" i="7"/>
  <c r="AP11" i="7"/>
  <c r="AP10" i="7"/>
  <c r="AP9" i="7"/>
  <c r="AP8" i="7"/>
  <c r="AO14" i="7"/>
  <c r="AO13" i="7"/>
  <c r="AO12" i="7"/>
  <c r="AO11" i="7"/>
  <c r="AO10" i="7"/>
  <c r="AO9" i="7"/>
  <c r="AO8" i="7"/>
  <c r="AM14" i="7"/>
  <c r="AM13" i="7"/>
  <c r="AM12" i="7"/>
  <c r="AM11" i="7"/>
  <c r="AM10" i="7"/>
  <c r="AM9" i="7"/>
  <c r="AM8" i="7"/>
  <c r="AF14" i="7"/>
  <c r="AF13" i="7"/>
  <c r="AF12" i="7"/>
  <c r="AF11" i="7"/>
  <c r="AF10" i="7"/>
  <c r="AF9" i="7"/>
  <c r="AF8" i="7"/>
  <c r="AC24" i="7"/>
  <c r="AC14" i="7"/>
  <c r="AC13" i="7"/>
  <c r="AC12" i="7"/>
  <c r="AC11" i="7"/>
  <c r="AC10" i="7"/>
  <c r="AC9" i="7"/>
  <c r="AC8" i="7"/>
  <c r="AD24" i="7"/>
  <c r="AE24" i="7"/>
  <c r="AF24" i="7"/>
  <c r="AG24" i="7"/>
  <c r="AH24" i="7"/>
  <c r="AI24" i="7"/>
  <c r="AJ24" i="7"/>
  <c r="AK24" i="7"/>
  <c r="AL24" i="7"/>
  <c r="AM24" i="7"/>
  <c r="AN24" i="7"/>
  <c r="AO24" i="7"/>
  <c r="AP24" i="7"/>
  <c r="AR24" i="7"/>
  <c r="K41" i="10"/>
  <c r="D120" i="10"/>
  <c r="D119" i="10"/>
  <c r="D118" i="10"/>
  <c r="AB48" i="2" l="1"/>
  <c r="AB22" i="2"/>
  <c r="AB48" i="3"/>
  <c r="AC48" i="2" l="1"/>
  <c r="AC22" i="2"/>
  <c r="AC22" i="3"/>
  <c r="AC48" i="3"/>
  <c r="L14" i="7"/>
  <c r="K14" i="7"/>
  <c r="I14" i="7"/>
  <c r="H14" i="7"/>
  <c r="AC16" i="4"/>
  <c r="AB16" i="4"/>
  <c r="AA16" i="4"/>
  <c r="Z16" i="4"/>
  <c r="Y16" i="4"/>
  <c r="X16" i="4"/>
  <c r="W16" i="4"/>
  <c r="V16" i="4"/>
  <c r="U16" i="4"/>
  <c r="T16" i="4"/>
  <c r="S16" i="4"/>
  <c r="R16" i="4"/>
  <c r="Q16" i="4"/>
  <c r="P16" i="4"/>
  <c r="K5" i="10" l="1"/>
  <c r="K6" i="10"/>
  <c r="K7" i="10"/>
  <c r="K8" i="10"/>
  <c r="K9" i="10"/>
  <c r="K10" i="10"/>
  <c r="K11" i="10"/>
  <c r="K12" i="10"/>
  <c r="K13" i="10"/>
  <c r="K14" i="10"/>
  <c r="K15" i="10"/>
  <c r="K16" i="10"/>
  <c r="K17" i="10"/>
  <c r="K18" i="10"/>
  <c r="K19" i="10"/>
  <c r="K20" i="10"/>
  <c r="K21" i="10"/>
  <c r="K22" i="10"/>
  <c r="K23" i="10"/>
  <c r="K24" i="10"/>
  <c r="K25" i="10"/>
  <c r="K26" i="10"/>
  <c r="K27" i="10"/>
  <c r="K28" i="10"/>
  <c r="K29" i="10"/>
  <c r="K30" i="10"/>
  <c r="K31" i="10"/>
  <c r="K32" i="10"/>
  <c r="K33" i="10"/>
  <c r="K34" i="10"/>
  <c r="K35" i="10"/>
  <c r="K36" i="10"/>
  <c r="K37" i="10"/>
  <c r="K38" i="10"/>
  <c r="K39" i="10"/>
  <c r="K40" i="10"/>
  <c r="K4" i="10"/>
  <c r="E4" i="10"/>
  <c r="E5" i="10"/>
  <c r="E6" i="10"/>
  <c r="E7" i="10"/>
  <c r="E8" i="10"/>
  <c r="E9" i="10"/>
  <c r="E10" i="10"/>
  <c r="E11" i="10"/>
  <c r="E12" i="10"/>
  <c r="E13" i="10"/>
  <c r="E14" i="10"/>
  <c r="E15" i="10"/>
  <c r="E16" i="10"/>
  <c r="E17" i="10"/>
  <c r="E18" i="10"/>
  <c r="E19" i="10"/>
  <c r="E20" i="10"/>
  <c r="E21" i="10"/>
  <c r="E22" i="10"/>
  <c r="E23" i="10"/>
  <c r="E24" i="10"/>
  <c r="E25" i="10"/>
  <c r="E26" i="10"/>
  <c r="E27" i="10"/>
  <c r="E28" i="10"/>
  <c r="E29" i="10"/>
  <c r="E30" i="10"/>
  <c r="E31" i="10"/>
  <c r="E32" i="10"/>
  <c r="E33" i="10"/>
  <c r="E34" i="10"/>
  <c r="E35" i="10"/>
  <c r="E36" i="10"/>
  <c r="E37" i="10"/>
  <c r="E38" i="10"/>
  <c r="E39" i="10"/>
  <c r="E40" i="10" s="1"/>
  <c r="E41" i="10" s="1"/>
  <c r="E42" i="10" s="1"/>
  <c r="E43" i="10" s="1"/>
  <c r="E44" i="10" s="1"/>
  <c r="E45" i="10" s="1"/>
  <c r="E46" i="10" s="1"/>
  <c r="E47" i="10" s="1"/>
  <c r="E48" i="10" s="1"/>
  <c r="E49" i="10" s="1"/>
  <c r="E50" i="10" s="1"/>
  <c r="E51" i="10" s="1"/>
  <c r="E52" i="10" s="1"/>
  <c r="E53" i="10" s="1"/>
  <c r="E54" i="10" s="1"/>
  <c r="E55" i="10" s="1"/>
  <c r="E56" i="10" s="1"/>
  <c r="E57" i="10" s="1"/>
  <c r="E58" i="10" s="1"/>
  <c r="E59" i="10" s="1"/>
  <c r="E60" i="10" s="1"/>
  <c r="E61" i="10" s="1"/>
  <c r="E62" i="10" s="1"/>
  <c r="E63" i="10" s="1"/>
  <c r="E64" i="10" s="1"/>
  <c r="E65" i="10" s="1"/>
  <c r="E66" i="10" s="1"/>
  <c r="E67" i="10" s="1"/>
  <c r="E68" i="10" s="1"/>
  <c r="E69" i="10" s="1"/>
  <c r="E70" i="10" s="1"/>
  <c r="E71" i="10" s="1"/>
  <c r="E72" i="10" s="1"/>
  <c r="E73" i="10" s="1"/>
  <c r="E74" i="10" s="1"/>
  <c r="E75" i="10" s="1"/>
  <c r="E76" i="10" s="1"/>
  <c r="E77" i="10" s="1"/>
  <c r="E78" i="10" s="1"/>
  <c r="E79" i="10" s="1"/>
  <c r="E80" i="10" s="1"/>
  <c r="E81" i="10" s="1"/>
  <c r="E82" i="10" s="1"/>
  <c r="E83" i="10" s="1"/>
  <c r="E84" i="10" s="1"/>
  <c r="E85" i="10" s="1"/>
  <c r="E86" i="10" s="1"/>
  <c r="E87" i="10" s="1"/>
  <c r="E88" i="10" s="1"/>
  <c r="E89" i="10" s="1"/>
  <c r="E90" i="10" s="1"/>
  <c r="E91" i="10" s="1"/>
  <c r="E92" i="10" s="1"/>
  <c r="E93" i="10" s="1"/>
  <c r="E94" i="10" s="1"/>
  <c r="E95" i="10" s="1"/>
  <c r="E96" i="10" s="1"/>
  <c r="E97" i="10" s="1"/>
  <c r="E98" i="10" s="1"/>
  <c r="E99" i="10" s="1"/>
  <c r="E100" i="10" s="1"/>
  <c r="E101" i="10" s="1"/>
  <c r="E102" i="10" s="1"/>
  <c r="E103" i="10" s="1"/>
  <c r="E104" i="10" s="1"/>
  <c r="E105" i="10" s="1"/>
  <c r="E106" i="10" s="1"/>
  <c r="E107" i="10" s="1"/>
  <c r="E108" i="10" s="1"/>
  <c r="E109" i="10" s="1"/>
  <c r="E110" i="10" s="1"/>
  <c r="E111" i="10" s="1"/>
  <c r="E112" i="10" s="1"/>
  <c r="E113" i="10" s="1"/>
  <c r="E114" i="10" s="1"/>
  <c r="E115" i="10" s="1"/>
  <c r="E116" i="10" s="1"/>
  <c r="E117" i="10" s="1"/>
  <c r="E118" i="10" s="1"/>
  <c r="E3" i="10"/>
  <c r="G4" i="10"/>
  <c r="G5" i="10" s="1"/>
  <c r="G6" i="10" s="1"/>
  <c r="G7" i="10" s="1"/>
  <c r="G8" i="10" s="1"/>
  <c r="G9" i="10" s="1"/>
  <c r="G10" i="10" s="1"/>
  <c r="G11" i="10" s="1"/>
  <c r="G12" i="10" s="1"/>
  <c r="G13" i="10" s="1"/>
  <c r="G14" i="10" s="1"/>
  <c r="G15" i="10" s="1"/>
  <c r="G16" i="10" s="1"/>
  <c r="G17" i="10" s="1"/>
  <c r="G18" i="10" s="1"/>
  <c r="G19" i="10" s="1"/>
  <c r="G20" i="10" s="1"/>
  <c r="G21" i="10" s="1"/>
  <c r="G22" i="10" s="1"/>
  <c r="G23" i="10" s="1"/>
  <c r="G24" i="10" s="1"/>
  <c r="G25" i="10" s="1"/>
  <c r="G26" i="10" s="1"/>
  <c r="G27" i="10" s="1"/>
  <c r="G28" i="10" s="1"/>
  <c r="G29" i="10" s="1"/>
  <c r="G30" i="10" s="1"/>
  <c r="G31" i="10" s="1"/>
  <c r="G32" i="10" s="1"/>
  <c r="G33" i="10" s="1"/>
  <c r="G34" i="10" s="1"/>
  <c r="G35" i="10" s="1"/>
  <c r="G36" i="10" s="1"/>
  <c r="G37" i="10" s="1"/>
  <c r="G38" i="10" s="1"/>
  <c r="G39" i="10" s="1"/>
  <c r="G40" i="10" s="1"/>
  <c r="G41" i="10" s="1"/>
  <c r="G42" i="10" s="1"/>
  <c r="D5" i="10"/>
  <c r="D6" i="10"/>
  <c r="D7" i="10"/>
  <c r="D8" i="10"/>
  <c r="D9" i="10"/>
  <c r="D10" i="10"/>
  <c r="D11" i="10"/>
  <c r="D12" i="10"/>
  <c r="D13" i="10"/>
  <c r="D14" i="10"/>
  <c r="D15" i="10"/>
  <c r="D16" i="10"/>
  <c r="D17" i="10"/>
  <c r="D18" i="10"/>
  <c r="D19" i="10"/>
  <c r="D20" i="10"/>
  <c r="D21" i="10"/>
  <c r="D22" i="10"/>
  <c r="D23" i="10"/>
  <c r="D24" i="10"/>
  <c r="D25" i="10"/>
  <c r="D26" i="10"/>
  <c r="D27" i="10"/>
  <c r="D28" i="10"/>
  <c r="D29" i="10"/>
  <c r="D30" i="10"/>
  <c r="D31" i="10"/>
  <c r="D32" i="10"/>
  <c r="D33" i="10"/>
  <c r="D34" i="10"/>
  <c r="D35" i="10"/>
  <c r="D36" i="10"/>
  <c r="D37" i="10"/>
  <c r="D38" i="10"/>
  <c r="D39" i="10"/>
  <c r="D40" i="10"/>
  <c r="D41" i="10"/>
  <c r="D42" i="10"/>
  <c r="D43" i="10"/>
  <c r="D44" i="10"/>
  <c r="D45" i="10"/>
  <c r="D46" i="10"/>
  <c r="D47" i="10"/>
  <c r="D48" i="10"/>
  <c r="D49" i="10"/>
  <c r="D50" i="10"/>
  <c r="D51" i="10"/>
  <c r="D52" i="10"/>
  <c r="D53" i="10"/>
  <c r="D54" i="10"/>
  <c r="D55" i="10"/>
  <c r="D56" i="10"/>
  <c r="D57" i="10"/>
  <c r="D58" i="10"/>
  <c r="D59" i="10"/>
  <c r="D60" i="10"/>
  <c r="D61" i="10"/>
  <c r="D62" i="10"/>
  <c r="D63" i="10"/>
  <c r="D64" i="10"/>
  <c r="D65" i="10"/>
  <c r="D66" i="10"/>
  <c r="D67" i="10"/>
  <c r="D68" i="10"/>
  <c r="D69" i="10"/>
  <c r="D70" i="10"/>
  <c r="D71" i="10"/>
  <c r="D72" i="10"/>
  <c r="D73" i="10"/>
  <c r="D74" i="10"/>
  <c r="D75" i="10"/>
  <c r="D76" i="10"/>
  <c r="D77" i="10"/>
  <c r="D78" i="10"/>
  <c r="D79" i="10"/>
  <c r="D80" i="10"/>
  <c r="D81" i="10"/>
  <c r="D82" i="10"/>
  <c r="D83" i="10"/>
  <c r="D84" i="10"/>
  <c r="D85" i="10"/>
  <c r="D86" i="10"/>
  <c r="D87" i="10"/>
  <c r="D88" i="10"/>
  <c r="D89" i="10"/>
  <c r="D90" i="10"/>
  <c r="D91" i="10"/>
  <c r="D92" i="10"/>
  <c r="D93" i="10"/>
  <c r="D94" i="10"/>
  <c r="D95" i="10"/>
  <c r="D96" i="10"/>
  <c r="D97" i="10"/>
  <c r="D98" i="10"/>
  <c r="D99" i="10"/>
  <c r="D100" i="10"/>
  <c r="D101" i="10"/>
  <c r="D102" i="10"/>
  <c r="D103" i="10"/>
  <c r="D104" i="10"/>
  <c r="D105" i="10"/>
  <c r="D106" i="10"/>
  <c r="D107" i="10"/>
  <c r="D108" i="10"/>
  <c r="D109" i="10"/>
  <c r="D110" i="10"/>
  <c r="D111" i="10"/>
  <c r="D112" i="10"/>
  <c r="D113" i="10"/>
  <c r="D114" i="10"/>
  <c r="D115" i="10"/>
  <c r="D116" i="10"/>
  <c r="D117" i="10"/>
  <c r="D4" i="10"/>
  <c r="A4" i="10"/>
  <c r="A5" i="10" s="1"/>
  <c r="A6" i="10" s="1"/>
  <c r="A7" i="10" s="1"/>
  <c r="A8" i="10" s="1"/>
  <c r="A9" i="10" s="1"/>
  <c r="A10" i="10" s="1"/>
  <c r="A11" i="10" s="1"/>
  <c r="A12" i="10" s="1"/>
  <c r="A13" i="10" s="1"/>
  <c r="A14" i="10" s="1"/>
  <c r="A15" i="10" s="1"/>
  <c r="A16" i="10" s="1"/>
  <c r="A17" i="10" s="1"/>
  <c r="A18" i="10" s="1"/>
  <c r="A19" i="10" s="1"/>
  <c r="A20" i="10" s="1"/>
  <c r="A21" i="10" s="1"/>
  <c r="A22" i="10" s="1"/>
  <c r="A23" i="10" s="1"/>
  <c r="A24" i="10" s="1"/>
  <c r="A25" i="10" s="1"/>
  <c r="A26" i="10" s="1"/>
  <c r="A27" i="10" s="1"/>
  <c r="A28" i="10" s="1"/>
  <c r="A29" i="10" s="1"/>
  <c r="A30" i="10" s="1"/>
  <c r="A31" i="10" s="1"/>
  <c r="A32" i="10" s="1"/>
  <c r="A33" i="10" s="1"/>
  <c r="A34" i="10" s="1"/>
  <c r="A35" i="10" s="1"/>
  <c r="A36" i="10" s="1"/>
  <c r="A37" i="10" s="1"/>
  <c r="A38" i="10" s="1"/>
  <c r="A39" i="10" s="1"/>
  <c r="A40" i="10" s="1"/>
  <c r="A41" i="10" s="1"/>
  <c r="A42" i="10" s="1"/>
  <c r="A43" i="10" s="1"/>
  <c r="A44" i="10" s="1"/>
  <c r="A45" i="10" s="1"/>
  <c r="A46" i="10" s="1"/>
  <c r="A47" i="10" s="1"/>
  <c r="A48" i="10" s="1"/>
  <c r="A49" i="10" s="1"/>
  <c r="A50" i="10" s="1"/>
  <c r="A51" i="10" s="1"/>
  <c r="A52" i="10" s="1"/>
  <c r="A53" i="10" s="1"/>
  <c r="A54" i="10" s="1"/>
  <c r="A55" i="10" s="1"/>
  <c r="A56" i="10" s="1"/>
  <c r="A57" i="10" s="1"/>
  <c r="A58" i="10" s="1"/>
  <c r="A59" i="10" s="1"/>
  <c r="A60" i="10" s="1"/>
  <c r="A61" i="10" s="1"/>
  <c r="A62" i="10" s="1"/>
  <c r="A63" i="10" s="1"/>
  <c r="A64" i="10" s="1"/>
  <c r="A65" i="10" s="1"/>
  <c r="A66" i="10" s="1"/>
  <c r="A67" i="10" s="1"/>
  <c r="A68" i="10" s="1"/>
  <c r="A69" i="10" s="1"/>
  <c r="A70" i="10" s="1"/>
  <c r="A71" i="10" s="1"/>
  <c r="A72" i="10" s="1"/>
  <c r="A73" i="10" s="1"/>
  <c r="A74" i="10" s="1"/>
  <c r="A75" i="10" s="1"/>
  <c r="A76" i="10" s="1"/>
  <c r="A77" i="10" s="1"/>
  <c r="A78" i="10" s="1"/>
  <c r="A79" i="10" s="1"/>
  <c r="A80" i="10" s="1"/>
  <c r="A81" i="10" s="1"/>
  <c r="A82" i="10" s="1"/>
  <c r="A83" i="10" s="1"/>
  <c r="A84" i="10" s="1"/>
  <c r="A85" i="10" s="1"/>
  <c r="A86" i="10" s="1"/>
  <c r="A87" i="10" s="1"/>
  <c r="A88" i="10" s="1"/>
  <c r="A89" i="10" s="1"/>
  <c r="A90" i="10" s="1"/>
  <c r="A91" i="10" s="1"/>
  <c r="A92" i="10" s="1"/>
  <c r="A93" i="10" s="1"/>
  <c r="A94" i="10" s="1"/>
  <c r="A95" i="10" s="1"/>
  <c r="A96" i="10" s="1"/>
  <c r="A97" i="10" s="1"/>
  <c r="A98" i="10" s="1"/>
  <c r="A99" i="10" s="1"/>
  <c r="A100" i="10" s="1"/>
  <c r="A101" i="10" s="1"/>
  <c r="A102" i="10" s="1"/>
  <c r="A103" i="10" s="1"/>
  <c r="A104" i="10" s="1"/>
  <c r="A105" i="10" s="1"/>
  <c r="A106" i="10" s="1"/>
  <c r="A107" i="10" s="1"/>
  <c r="A108" i="10" s="1"/>
  <c r="A109" i="10" s="1"/>
  <c r="A110" i="10" s="1"/>
  <c r="A111" i="10" s="1"/>
  <c r="A112" i="10" s="1"/>
  <c r="A113" i="10" s="1"/>
  <c r="A114" i="10" s="1"/>
  <c r="A115" i="10" s="1"/>
  <c r="A116" i="10" s="1"/>
  <c r="A117" i="10" s="1"/>
  <c r="A118" i="10" s="1"/>
  <c r="A119" i="10" s="1"/>
  <c r="A120" i="10" s="1"/>
  <c r="A121" i="10" s="1"/>
  <c r="A122" i="10" s="1"/>
  <c r="A123" i="10" s="1"/>
  <c r="AL7" i="6"/>
  <c r="E119" i="10" l="1"/>
  <c r="E120" i="10" s="1"/>
  <c r="H18" i="10"/>
  <c r="H12" i="10"/>
  <c r="H6" i="10"/>
  <c r="H8" i="10"/>
  <c r="H37" i="10"/>
  <c r="H13" i="10"/>
  <c r="H35" i="10"/>
  <c r="I35" i="10" s="1"/>
  <c r="H29" i="10"/>
  <c r="H17" i="10"/>
  <c r="H11" i="10"/>
  <c r="H5" i="10"/>
  <c r="H40" i="10"/>
  <c r="H34" i="10"/>
  <c r="H22" i="10"/>
  <c r="H16" i="10"/>
  <c r="H10" i="10"/>
  <c r="H4" i="10"/>
  <c r="I4" i="10" s="1"/>
  <c r="H39" i="10"/>
  <c r="H21" i="10"/>
  <c r="H15" i="10"/>
  <c r="H3" i="10"/>
  <c r="H26" i="10"/>
  <c r="H25" i="10"/>
  <c r="H9" i="10"/>
  <c r="H32" i="10"/>
  <c r="H20" i="10"/>
  <c r="H14" i="10"/>
  <c r="H31" i="10"/>
  <c r="H19" i="10"/>
  <c r="H7" i="10"/>
  <c r="I7" i="10" s="1"/>
  <c r="AL9" i="6"/>
  <c r="AL13" i="6"/>
  <c r="AL11" i="6"/>
  <c r="AL3" i="11"/>
  <c r="I9" i="10" l="1"/>
  <c r="H24" i="10"/>
  <c r="I26" i="10"/>
  <c r="H41" i="10"/>
  <c r="I10" i="10"/>
  <c r="I14" i="10"/>
  <c r="I20" i="10"/>
  <c r="I12" i="10"/>
  <c r="I32" i="10"/>
  <c r="I18" i="10"/>
  <c r="I40" i="10"/>
  <c r="H33" i="10"/>
  <c r="I33" i="10" s="1"/>
  <c r="E121" i="10"/>
  <c r="E122" i="10" s="1"/>
  <c r="E123" i="10" s="1"/>
  <c r="I16" i="10"/>
  <c r="I19" i="10"/>
  <c r="I21" i="10"/>
  <c r="I22" i="10"/>
  <c r="I17" i="10"/>
  <c r="I8" i="10"/>
  <c r="H30" i="10"/>
  <c r="I30" i="10" s="1"/>
  <c r="I5" i="10"/>
  <c r="I13" i="10"/>
  <c r="I15" i="10"/>
  <c r="I11" i="10"/>
  <c r="H27" i="10"/>
  <c r="I27" i="10" s="1"/>
  <c r="H28" i="10"/>
  <c r="H23" i="10"/>
  <c r="I23" i="10" s="1"/>
  <c r="H38" i="10"/>
  <c r="I38" i="10" s="1"/>
  <c r="H36" i="10"/>
  <c r="I36" i="10" s="1"/>
  <c r="I41" i="10"/>
  <c r="I25" i="10"/>
  <c r="I39" i="10"/>
  <c r="I29" i="10"/>
  <c r="I6" i="10"/>
  <c r="AT14" i="7"/>
  <c r="AT13" i="7"/>
  <c r="AT12" i="7"/>
  <c r="AT11" i="7"/>
  <c r="AT10" i="7"/>
  <c r="AT9" i="7"/>
  <c r="AT8" i="7"/>
  <c r="AT7" i="7"/>
  <c r="AT6" i="7"/>
  <c r="AT5" i="7"/>
  <c r="AT4" i="7"/>
  <c r="AS14" i="7"/>
  <c r="AS13" i="7"/>
  <c r="AS12" i="7"/>
  <c r="AS11" i="7"/>
  <c r="AS10" i="7"/>
  <c r="AS9" i="7"/>
  <c r="AS8" i="7"/>
  <c r="AS7" i="7"/>
  <c r="AS6" i="7"/>
  <c r="AS5" i="7"/>
  <c r="AS4" i="7"/>
  <c r="AR14" i="7"/>
  <c r="AR13" i="7"/>
  <c r="AR12" i="7"/>
  <c r="AR11" i="7"/>
  <c r="AR10" i="7"/>
  <c r="AR9" i="7"/>
  <c r="AR8" i="7"/>
  <c r="AR7" i="7"/>
  <c r="AR6" i="7"/>
  <c r="AR5" i="7"/>
  <c r="AU5" i="7" s="1"/>
  <c r="AR4" i="7"/>
  <c r="N4" i="7"/>
  <c r="T4" i="7" s="1"/>
  <c r="O4" i="7"/>
  <c r="R4" i="7" s="1"/>
  <c r="P4" i="7"/>
  <c r="V4" i="7" s="1"/>
  <c r="N5" i="7"/>
  <c r="T5" i="7" s="1"/>
  <c r="O5" i="7"/>
  <c r="U5" i="7" s="1"/>
  <c r="P5" i="7"/>
  <c r="S5" i="7" s="1"/>
  <c r="N6" i="7"/>
  <c r="Q6" i="7" s="1"/>
  <c r="O6" i="7"/>
  <c r="U6" i="7" s="1"/>
  <c r="P6" i="7"/>
  <c r="V6" i="7" s="1"/>
  <c r="P7" i="7"/>
  <c r="P8" i="7"/>
  <c r="P9" i="7"/>
  <c r="P10" i="7"/>
  <c r="P11" i="7"/>
  <c r="P12" i="7"/>
  <c r="P13" i="7"/>
  <c r="N14" i="7"/>
  <c r="T14" i="7" s="1"/>
  <c r="O14" i="7"/>
  <c r="R14" i="7" s="1"/>
  <c r="P14" i="7"/>
  <c r="AU11" i="7" l="1"/>
  <c r="AU9" i="7"/>
  <c r="Q5" i="7"/>
  <c r="I34" i="10"/>
  <c r="I31" i="10"/>
  <c r="AU6" i="7"/>
  <c r="AU13" i="7"/>
  <c r="Q4" i="7"/>
  <c r="AU8" i="7"/>
  <c r="AU14" i="7"/>
  <c r="AU12" i="7"/>
  <c r="AU7" i="7"/>
  <c r="I24" i="10"/>
  <c r="I37" i="10"/>
  <c r="AU4" i="7"/>
  <c r="AU10" i="7"/>
  <c r="I28" i="10"/>
  <c r="T6" i="7"/>
  <c r="R6" i="7"/>
  <c r="S4" i="7"/>
  <c r="V5" i="7"/>
  <c r="U4" i="7"/>
  <c r="S6" i="7"/>
  <c r="R5" i="7"/>
  <c r="Q14" i="7"/>
  <c r="U14" i="7"/>
  <c r="AA9" i="4"/>
  <c r="Z9" i="4"/>
  <c r="Y9" i="4"/>
  <c r="X9" i="4"/>
  <c r="W9" i="4"/>
  <c r="V9" i="4"/>
  <c r="U9" i="4"/>
  <c r="T9" i="4"/>
  <c r="S9" i="4"/>
  <c r="R9" i="4"/>
  <c r="Q9" i="4"/>
  <c r="P9" i="4"/>
  <c r="AC9" i="4"/>
  <c r="AC15" i="4"/>
  <c r="AB15" i="4"/>
  <c r="AA15" i="4"/>
  <c r="Z15" i="4"/>
  <c r="Y15" i="4"/>
  <c r="X15" i="4"/>
  <c r="W15" i="4"/>
  <c r="V15" i="4"/>
  <c r="U15" i="4"/>
  <c r="T15" i="4"/>
  <c r="S15" i="4"/>
  <c r="R15" i="4"/>
  <c r="Q15" i="4"/>
  <c r="P15" i="4"/>
  <c r="AB18" i="4"/>
  <c r="AA18" i="4"/>
  <c r="Z18" i="4"/>
  <c r="Y18" i="4"/>
  <c r="X18" i="4"/>
  <c r="W18" i="4"/>
  <c r="V18" i="4"/>
  <c r="U18" i="4"/>
  <c r="T18" i="4"/>
  <c r="S18" i="4"/>
  <c r="R18" i="4"/>
  <c r="Q18" i="4"/>
  <c r="P18" i="4"/>
  <c r="AB30" i="4"/>
  <c r="AA30" i="4"/>
  <c r="Z30" i="4"/>
  <c r="Y30" i="4"/>
  <c r="X30" i="4"/>
  <c r="W30" i="4"/>
  <c r="V30" i="4"/>
  <c r="U30" i="4"/>
  <c r="T30" i="4"/>
  <c r="S30" i="4"/>
  <c r="R30" i="4"/>
  <c r="Q30" i="4"/>
  <c r="P30" i="4"/>
  <c r="P34" i="4"/>
  <c r="Q34" i="4"/>
  <c r="R34" i="4"/>
  <c r="S34" i="4"/>
  <c r="T34" i="4"/>
  <c r="U34" i="4"/>
  <c r="V34" i="4"/>
  <c r="W34" i="4"/>
  <c r="X34" i="4"/>
  <c r="Y34" i="4"/>
  <c r="Z34" i="4"/>
  <c r="AA34" i="4"/>
  <c r="AB34" i="4"/>
  <c r="AC34" i="4"/>
  <c r="U17" i="4" l="1"/>
  <c r="Y17" i="4"/>
  <c r="AC30" i="4"/>
  <c r="V17" i="4"/>
  <c r="AC18" i="4"/>
  <c r="P17" i="4"/>
  <c r="T17" i="4"/>
  <c r="X17" i="4"/>
  <c r="AB17" i="4"/>
  <c r="Q17" i="4"/>
  <c r="R17" i="4"/>
  <c r="Z17" i="4"/>
  <c r="S17" i="4"/>
  <c r="W17" i="4"/>
  <c r="AA17" i="4"/>
  <c r="AC17" i="4" l="1"/>
  <c r="F116" i="4"/>
  <c r="G116" i="4"/>
  <c r="H116" i="4"/>
  <c r="I116" i="4"/>
  <c r="J116" i="4"/>
  <c r="K116" i="4"/>
  <c r="L116" i="4"/>
  <c r="M116" i="4"/>
  <c r="N116" i="4"/>
  <c r="O116" i="4"/>
  <c r="P116" i="4"/>
  <c r="Q116" i="4"/>
  <c r="R116" i="4"/>
  <c r="S116" i="4"/>
  <c r="F128" i="4"/>
  <c r="G128" i="4"/>
  <c r="H128" i="4"/>
  <c r="I128" i="4"/>
  <c r="J128" i="4"/>
  <c r="K128" i="4"/>
  <c r="L128" i="4"/>
  <c r="M128" i="4"/>
  <c r="N128" i="4"/>
  <c r="O128" i="4"/>
  <c r="P128" i="4"/>
  <c r="Q128" i="4"/>
  <c r="R128" i="4"/>
  <c r="S128" i="4"/>
  <c r="F132" i="4"/>
  <c r="G132" i="4"/>
  <c r="H132" i="4"/>
  <c r="I132" i="4"/>
  <c r="J132" i="4"/>
  <c r="K132" i="4"/>
  <c r="L132" i="4"/>
  <c r="M132" i="4"/>
  <c r="N132" i="4"/>
  <c r="O132" i="4"/>
  <c r="P132" i="4"/>
  <c r="Q132" i="4"/>
  <c r="R132" i="4"/>
  <c r="S132" i="4"/>
  <c r="F83" i="4"/>
  <c r="G83" i="4"/>
  <c r="H83" i="4"/>
  <c r="I83" i="4"/>
  <c r="J83" i="4"/>
  <c r="K83" i="4"/>
  <c r="L83" i="4"/>
  <c r="M83" i="4"/>
  <c r="N83" i="4"/>
  <c r="O83" i="4"/>
  <c r="P83" i="4"/>
  <c r="Q83" i="4"/>
  <c r="R83" i="4"/>
  <c r="S83" i="4"/>
  <c r="F71" i="4"/>
  <c r="G71" i="4"/>
  <c r="H71" i="4"/>
  <c r="I71" i="4"/>
  <c r="J71" i="4"/>
  <c r="K71" i="4"/>
  <c r="L71" i="4"/>
  <c r="M71" i="4"/>
  <c r="N71" i="4"/>
  <c r="O71" i="4"/>
  <c r="P71" i="4"/>
  <c r="Q71" i="4"/>
  <c r="R71" i="4"/>
  <c r="R70" i="4" s="1"/>
  <c r="S71" i="4"/>
  <c r="F87" i="4"/>
  <c r="G87" i="4"/>
  <c r="H87" i="4"/>
  <c r="I87" i="4"/>
  <c r="J87" i="4"/>
  <c r="K87" i="4"/>
  <c r="L87" i="4"/>
  <c r="M87" i="4"/>
  <c r="N87" i="4"/>
  <c r="O87" i="4"/>
  <c r="P87" i="4"/>
  <c r="Q87" i="4"/>
  <c r="R87" i="4"/>
  <c r="S87" i="4"/>
  <c r="F70" i="4" l="1"/>
  <c r="Q70" i="4"/>
  <c r="I70" i="4"/>
  <c r="N70" i="4"/>
  <c r="H70" i="4"/>
  <c r="G70" i="4"/>
  <c r="P70" i="4"/>
  <c r="L70" i="4"/>
  <c r="J70" i="4"/>
  <c r="O70" i="4"/>
  <c r="M70" i="4"/>
  <c r="K70" i="4"/>
  <c r="S70" i="4"/>
  <c r="S115" i="4"/>
  <c r="O115" i="4"/>
  <c r="K115" i="4"/>
  <c r="G115" i="4"/>
  <c r="R115" i="4"/>
  <c r="N115" i="4"/>
  <c r="J115" i="4"/>
  <c r="F115" i="4"/>
  <c r="Q115" i="4"/>
  <c r="M115" i="4"/>
  <c r="I115" i="4"/>
  <c r="P115" i="4"/>
  <c r="L115" i="4"/>
  <c r="H115" i="4"/>
  <c r="S113" i="4" l="1"/>
  <c r="R113" i="4"/>
  <c r="Q113" i="4"/>
  <c r="P113" i="4"/>
  <c r="O113" i="4"/>
  <c r="N113" i="4"/>
  <c r="M113" i="4"/>
  <c r="L113" i="4"/>
  <c r="K113" i="4"/>
  <c r="J113" i="4"/>
  <c r="I113" i="4"/>
  <c r="H113" i="4"/>
  <c r="G113" i="4"/>
  <c r="F113" i="4"/>
  <c r="Q107" i="4"/>
  <c r="M107" i="4"/>
  <c r="I107" i="4"/>
  <c r="S68" i="4"/>
  <c r="R68" i="4"/>
  <c r="Q68" i="4"/>
  <c r="P68" i="4"/>
  <c r="O68" i="4"/>
  <c r="N68" i="4"/>
  <c r="M68" i="4"/>
  <c r="L68" i="4"/>
  <c r="K68" i="4"/>
  <c r="J68" i="4"/>
  <c r="I68" i="4"/>
  <c r="H68" i="4"/>
  <c r="G68" i="4"/>
  <c r="F68" i="4"/>
  <c r="P62" i="4"/>
  <c r="L62" i="4"/>
  <c r="H62" i="4"/>
  <c r="P107" i="4"/>
  <c r="O107" i="4"/>
  <c r="O143" i="4" s="1"/>
  <c r="N107" i="4"/>
  <c r="L107" i="4"/>
  <c r="K107" i="4"/>
  <c r="J107" i="4"/>
  <c r="H107" i="4"/>
  <c r="G107" i="4"/>
  <c r="F107" i="4"/>
  <c r="S107" i="4"/>
  <c r="S143" i="4" s="1"/>
  <c r="R107" i="4"/>
  <c r="S62" i="4"/>
  <c r="Q62" i="4"/>
  <c r="O62" i="4"/>
  <c r="N62" i="4"/>
  <c r="M62" i="4"/>
  <c r="K62" i="4"/>
  <c r="J62" i="4"/>
  <c r="I62" i="4"/>
  <c r="G62" i="4"/>
  <c r="F32" i="4"/>
  <c r="F143" i="4" l="1"/>
  <c r="R143" i="4"/>
  <c r="N143" i="4"/>
  <c r="P143" i="4"/>
  <c r="I143" i="4"/>
  <c r="K143" i="4"/>
  <c r="G143" i="4"/>
  <c r="J143" i="4"/>
  <c r="L143" i="4"/>
  <c r="H143" i="4"/>
  <c r="M143" i="4"/>
  <c r="Q143" i="4"/>
  <c r="I98" i="4"/>
  <c r="M98" i="4"/>
  <c r="Q98" i="4"/>
  <c r="F98" i="4"/>
  <c r="J98" i="4"/>
  <c r="N98" i="4"/>
  <c r="R98" i="4"/>
  <c r="G98" i="4"/>
  <c r="K98" i="4"/>
  <c r="O98" i="4"/>
  <c r="S98" i="4"/>
  <c r="H98" i="4"/>
  <c r="L98" i="4"/>
  <c r="P98" i="4"/>
  <c r="F40" i="4"/>
  <c r="AB45" i="4" l="1"/>
  <c r="Q45" i="4"/>
  <c r="AC45" i="4"/>
  <c r="R45" i="4"/>
  <c r="V45" i="4"/>
  <c r="Z45" i="4"/>
  <c r="S45" i="4"/>
  <c r="W45" i="4"/>
  <c r="AA45" i="4"/>
  <c r="P45" i="4"/>
  <c r="T45" i="4"/>
  <c r="X45" i="4"/>
  <c r="U45" i="4"/>
  <c r="Y45" i="4"/>
  <c r="D82" i="4"/>
  <c r="AI12" i="6" l="1"/>
  <c r="F25" i="4" l="1"/>
  <c r="D69" i="4" l="1"/>
  <c r="D114" i="4" l="1"/>
  <c r="AG7" i="6" l="1"/>
  <c r="AF7" i="6"/>
  <c r="AE7" i="6"/>
  <c r="AD7" i="6"/>
  <c r="AC7" i="6"/>
  <c r="AB7" i="6"/>
  <c r="AA7" i="6"/>
  <c r="Z7" i="6"/>
  <c r="Y7" i="6"/>
  <c r="X7" i="6"/>
  <c r="W7" i="6"/>
  <c r="V7" i="6"/>
  <c r="U7" i="6"/>
  <c r="T7" i="6"/>
  <c r="S7" i="6"/>
  <c r="R7" i="6"/>
  <c r="Q7" i="6"/>
  <c r="P7" i="6"/>
  <c r="O7" i="6"/>
  <c r="N7" i="6"/>
  <c r="M7" i="6"/>
  <c r="L7" i="6"/>
  <c r="K7" i="6"/>
  <c r="J7" i="6"/>
  <c r="I7" i="6"/>
  <c r="H7" i="6"/>
  <c r="G7" i="6"/>
  <c r="F7" i="6"/>
  <c r="E7" i="6"/>
  <c r="D7" i="6"/>
  <c r="C7" i="6"/>
  <c r="B7" i="6"/>
  <c r="I13" i="6" l="1"/>
  <c r="U13" i="6"/>
  <c r="AG13" i="6"/>
  <c r="J13" i="6"/>
  <c r="V13" i="6"/>
  <c r="K13" i="6"/>
  <c r="W13" i="6"/>
  <c r="F13" i="6"/>
  <c r="R13" i="6"/>
  <c r="M13" i="6"/>
  <c r="AE13" i="6"/>
  <c r="C13" i="6"/>
  <c r="O13" i="6"/>
  <c r="AA13" i="6"/>
  <c r="D13" i="6"/>
  <c r="P13" i="6"/>
  <c r="AB13" i="6"/>
  <c r="E13" i="6"/>
  <c r="Q13" i="6"/>
  <c r="AC13" i="6"/>
  <c r="L13" i="6"/>
  <c r="X13" i="6"/>
  <c r="AD13" i="6"/>
  <c r="G13" i="6"/>
  <c r="S13" i="6"/>
  <c r="Y13" i="6"/>
  <c r="B13" i="6"/>
  <c r="H13" i="6"/>
  <c r="N13" i="6"/>
  <c r="T13" i="6"/>
  <c r="Z13" i="6"/>
  <c r="AF13" i="6"/>
  <c r="B9" i="6"/>
  <c r="F9" i="6"/>
  <c r="J9" i="6"/>
  <c r="N9" i="6"/>
  <c r="R9" i="6"/>
  <c r="V9" i="6"/>
  <c r="Z9" i="6"/>
  <c r="AD9" i="6"/>
  <c r="B11" i="6"/>
  <c r="F11" i="6"/>
  <c r="J11" i="6"/>
  <c r="N11" i="6"/>
  <c r="R11" i="6"/>
  <c r="V11" i="6"/>
  <c r="Z11" i="6"/>
  <c r="AD11" i="6"/>
  <c r="C9" i="6"/>
  <c r="G9" i="6"/>
  <c r="K9" i="6"/>
  <c r="O9" i="6"/>
  <c r="S9" i="6"/>
  <c r="W9" i="6"/>
  <c r="AA9" i="6"/>
  <c r="AE9" i="6"/>
  <c r="C11" i="6"/>
  <c r="G11" i="6"/>
  <c r="K11" i="6"/>
  <c r="O11" i="6"/>
  <c r="S11" i="6"/>
  <c r="W11" i="6"/>
  <c r="AA11" i="6"/>
  <c r="AE11" i="6"/>
  <c r="D9" i="6"/>
  <c r="H9" i="6"/>
  <c r="L9" i="6"/>
  <c r="P9" i="6"/>
  <c r="T9" i="6"/>
  <c r="X9" i="6"/>
  <c r="AB9" i="6"/>
  <c r="AF9" i="6"/>
  <c r="D11" i="6"/>
  <c r="H11" i="6"/>
  <c r="L11" i="6"/>
  <c r="P11" i="6"/>
  <c r="T11" i="6"/>
  <c r="X11" i="6"/>
  <c r="AB11" i="6"/>
  <c r="AF11" i="6"/>
  <c r="E9" i="6"/>
  <c r="I9" i="6"/>
  <c r="M9" i="6"/>
  <c r="Q9" i="6"/>
  <c r="U9" i="6"/>
  <c r="Y9" i="6"/>
  <c r="AC9" i="6"/>
  <c r="AG9" i="6"/>
  <c r="E11" i="6"/>
  <c r="I11" i="6"/>
  <c r="M11" i="6"/>
  <c r="Q11" i="6"/>
  <c r="U11" i="6"/>
  <c r="Y11" i="6"/>
  <c r="AC11" i="6"/>
  <c r="AG11" i="6"/>
  <c r="O3" i="11"/>
  <c r="AG3" i="11"/>
  <c r="AE3" i="11"/>
  <c r="L3" i="11"/>
  <c r="F3" i="11"/>
  <c r="AF3" i="11"/>
  <c r="M3" i="11"/>
  <c r="E3" i="11"/>
  <c r="V3" i="11"/>
  <c r="D3" i="11"/>
  <c r="S3" i="11"/>
  <c r="AC3" i="11"/>
  <c r="U3" i="11"/>
  <c r="C3" i="11"/>
  <c r="X3" i="11"/>
  <c r="R3" i="11"/>
  <c r="Z3" i="11"/>
  <c r="K3" i="11"/>
  <c r="T3" i="11"/>
  <c r="AD3" i="11"/>
  <c r="N3" i="11"/>
  <c r="W3" i="11"/>
  <c r="AB3" i="11"/>
  <c r="B3" i="11"/>
  <c r="Y3" i="11"/>
  <c r="J3" i="11"/>
  <c r="AA3" i="11"/>
  <c r="G3" i="11"/>
  <c r="I3" i="11"/>
  <c r="Q3" i="11"/>
  <c r="H3" i="11"/>
  <c r="P3" i="11"/>
  <c r="T6" i="11" l="1"/>
  <c r="G6" i="11"/>
  <c r="X6" i="11"/>
  <c r="E6" i="11"/>
  <c r="P6" i="11"/>
  <c r="AA6" i="11"/>
  <c r="C6" i="11"/>
  <c r="M6" i="11"/>
  <c r="K6" i="11"/>
  <c r="J6" i="11"/>
  <c r="U6" i="11"/>
  <c r="AF6" i="11"/>
  <c r="H6" i="11"/>
  <c r="Y6" i="11"/>
  <c r="AC6" i="11"/>
  <c r="F6" i="11"/>
  <c r="Z6" i="11"/>
  <c r="B6" i="11"/>
  <c r="S6" i="11"/>
  <c r="L6" i="11"/>
  <c r="Q6" i="11"/>
  <c r="AB6" i="11"/>
  <c r="D6" i="11"/>
  <c r="AE6" i="11"/>
  <c r="R6" i="11"/>
  <c r="W6" i="11"/>
  <c r="V6" i="11"/>
  <c r="AG6" i="11"/>
  <c r="I6" i="11"/>
  <c r="N6" i="11"/>
  <c r="AD6" i="11"/>
  <c r="O6" i="11"/>
  <c r="D136" i="4"/>
  <c r="D91" i="4"/>
  <c r="C17" i="5" l="1"/>
  <c r="C14" i="5"/>
  <c r="C11" i="5"/>
  <c r="C8" i="5"/>
  <c r="F16" i="4" l="1"/>
  <c r="F15" i="4" s="1"/>
  <c r="F39" i="4"/>
  <c r="F35" i="4"/>
  <c r="BG5" i="7" s="1"/>
  <c r="D133" i="4"/>
  <c r="D88" i="4"/>
  <c r="D129" i="4"/>
  <c r="D84" i="4"/>
  <c r="D118" i="4"/>
  <c r="D73" i="4"/>
  <c r="D125" i="4"/>
  <c r="D80" i="4"/>
  <c r="D126" i="4"/>
  <c r="D81" i="4"/>
  <c r="F42" i="4"/>
  <c r="D117" i="4"/>
  <c r="D72" i="4"/>
  <c r="D127" i="4"/>
  <c r="F43" i="4"/>
  <c r="D119" i="4"/>
  <c r="D74" i="4"/>
  <c r="D120" i="4"/>
  <c r="D75" i="4"/>
  <c r="F22" i="4" l="1"/>
  <c r="F28" i="4" l="1"/>
  <c r="F23" i="4"/>
  <c r="F26" i="4"/>
  <c r="F21" i="4"/>
  <c r="F20" i="4"/>
  <c r="F8" i="4" l="1"/>
  <c r="AB5" i="7" l="1"/>
  <c r="AB6" i="7" s="1"/>
  <c r="AB7" i="7" s="1"/>
  <c r="AB8" i="7" s="1"/>
  <c r="AB9" i="7" s="1"/>
  <c r="AB10" i="7" s="1"/>
  <c r="AB11" i="7" s="1"/>
  <c r="AB12" i="7" s="1"/>
  <c r="AB13" i="7" s="1"/>
  <c r="G5" i="7"/>
  <c r="A5" i="7"/>
  <c r="G6" i="7" l="1"/>
  <c r="A6" i="7"/>
  <c r="G7" i="7" l="1"/>
  <c r="A7" i="7"/>
  <c r="G8" i="7" l="1"/>
  <c r="A8" i="7"/>
  <c r="N7" i="7" l="1"/>
  <c r="T7" i="7" s="1"/>
  <c r="O7" i="7"/>
  <c r="U7" i="7" s="1"/>
  <c r="K8" i="7"/>
  <c r="L8" i="7"/>
  <c r="I8" i="7"/>
  <c r="H8" i="7"/>
  <c r="G9" i="7"/>
  <c r="A9" i="7"/>
  <c r="R7" i="7" l="1"/>
  <c r="Q7" i="7"/>
  <c r="N8" i="7"/>
  <c r="T8" i="7" s="1"/>
  <c r="Q8" i="7"/>
  <c r="O8" i="7"/>
  <c r="U8" i="7" s="1"/>
  <c r="K9" i="7"/>
  <c r="I9" i="7"/>
  <c r="H9" i="7"/>
  <c r="L9" i="7"/>
  <c r="G10" i="7"/>
  <c r="A10" i="7"/>
  <c r="R8" i="7" l="1"/>
  <c r="O9" i="7"/>
  <c r="R9" i="7" s="1"/>
  <c r="L10" i="7"/>
  <c r="H10" i="7"/>
  <c r="I10" i="7"/>
  <c r="K10" i="7"/>
  <c r="N9" i="7"/>
  <c r="T9" i="7" s="1"/>
  <c r="G11" i="7"/>
  <c r="A11" i="7"/>
  <c r="U9" i="7" l="1"/>
  <c r="N10" i="7"/>
  <c r="T10" i="7" s="1"/>
  <c r="O10" i="7"/>
  <c r="R10" i="7" s="1"/>
  <c r="Q9" i="7"/>
  <c r="L11" i="7"/>
  <c r="K11" i="7"/>
  <c r="I11" i="7"/>
  <c r="H11" i="7"/>
  <c r="Q10" i="7"/>
  <c r="G12" i="7"/>
  <c r="A12" i="7"/>
  <c r="U10" i="7" l="1"/>
  <c r="O11" i="7"/>
  <c r="U11" i="7" s="1"/>
  <c r="K12" i="7"/>
  <c r="L12" i="7"/>
  <c r="I12" i="7"/>
  <c r="H12" i="7"/>
  <c r="N11" i="7"/>
  <c r="T11" i="7" s="1"/>
  <c r="G13" i="7"/>
  <c r="A13" i="7"/>
  <c r="R11" i="7" l="1"/>
  <c r="N12" i="7"/>
  <c r="T12" i="7" s="1"/>
  <c r="O12" i="7"/>
  <c r="U12" i="7" s="1"/>
  <c r="K13" i="7"/>
  <c r="I13" i="7"/>
  <c r="H13" i="7"/>
  <c r="L13" i="7"/>
  <c r="Q12" i="7"/>
  <c r="Q11" i="7"/>
  <c r="G31" i="3"/>
  <c r="G6" i="3"/>
  <c r="R12" i="7" l="1"/>
  <c r="O13" i="7"/>
  <c r="U13" i="7" s="1"/>
  <c r="N13" i="7"/>
  <c r="T13" i="7" s="1"/>
  <c r="H6" i="3"/>
  <c r="H31" i="3"/>
  <c r="G31" i="2"/>
  <c r="G6" i="2"/>
  <c r="R13" i="7" l="1"/>
  <c r="Q13" i="7"/>
  <c r="I31" i="3"/>
  <c r="I6" i="3"/>
  <c r="H6" i="2"/>
  <c r="H31" i="2"/>
  <c r="G48" i="2" l="1"/>
  <c r="J6" i="3"/>
  <c r="J31" i="3"/>
  <c r="K31" i="3" s="1"/>
  <c r="K6" i="3"/>
  <c r="I31" i="2"/>
  <c r="I6" i="2"/>
  <c r="H48" i="2" l="1"/>
  <c r="L31" i="3"/>
  <c r="L6" i="3"/>
  <c r="J6" i="2"/>
  <c r="J31" i="2"/>
  <c r="I48" i="2" l="1"/>
  <c r="M6" i="3"/>
  <c r="M31" i="3"/>
  <c r="K31" i="2"/>
  <c r="K6" i="2"/>
  <c r="J48" i="2" l="1"/>
  <c r="N31" i="3"/>
  <c r="N6" i="3"/>
  <c r="L6" i="2"/>
  <c r="L31" i="2"/>
  <c r="K48" i="2" l="1"/>
  <c r="O6" i="3"/>
  <c r="O31" i="3"/>
  <c r="M31" i="2"/>
  <c r="M6" i="2"/>
  <c r="L48" i="2" l="1"/>
  <c r="P6" i="3"/>
  <c r="P31" i="3"/>
  <c r="N31" i="2"/>
  <c r="N6" i="2"/>
  <c r="M48" i="2" l="1"/>
  <c r="N48" i="2"/>
  <c r="Q6" i="3"/>
  <c r="Q31" i="3"/>
  <c r="O6" i="2"/>
  <c r="O31" i="2"/>
  <c r="P6" i="2" l="1"/>
  <c r="P31" i="2"/>
  <c r="O48" i="2" l="1"/>
  <c r="O22" i="2"/>
  <c r="Q6" i="2"/>
  <c r="Q31" i="2"/>
  <c r="P48" i="2" l="1"/>
  <c r="F29" i="4"/>
  <c r="Q48" i="2" l="1"/>
  <c r="F27" i="4"/>
  <c r="F18" i="4" s="1"/>
  <c r="F13" i="4" l="1"/>
  <c r="F9" i="4" l="1"/>
  <c r="AH7" i="6"/>
  <c r="AH3" i="11"/>
  <c r="AH6" i="11" l="1"/>
  <c r="AH9" i="6"/>
  <c r="AH13" i="6"/>
  <c r="AH11" i="6"/>
  <c r="AI7" i="6" l="1"/>
  <c r="AI3" i="11"/>
  <c r="AI6" i="11" l="1"/>
  <c r="AI9" i="6"/>
  <c r="AI13" i="6"/>
  <c r="AI11" i="6"/>
  <c r="F33" i="4" l="1"/>
  <c r="F30" i="4" s="1"/>
  <c r="F17" i="4" l="1"/>
  <c r="BI5" i="7"/>
  <c r="G48" i="3"/>
  <c r="M48" i="3"/>
  <c r="L48" i="3"/>
  <c r="O48" i="3"/>
  <c r="J48" i="3"/>
  <c r="N48" i="3"/>
  <c r="P48" i="3"/>
  <c r="Q48" i="3"/>
  <c r="F48" i="3"/>
  <c r="I48" i="3"/>
  <c r="H48" i="3"/>
  <c r="K48" i="3"/>
  <c r="F48" i="2"/>
  <c r="AY5" i="7" l="1"/>
  <c r="AJ7" i="6"/>
  <c r="AJ3" i="11"/>
  <c r="AJ6" i="11" l="1"/>
  <c r="AJ13" i="6"/>
  <c r="AJ11" i="6"/>
  <c r="AJ9" i="6"/>
  <c r="AK7" i="6" l="1"/>
  <c r="AK3" i="11"/>
  <c r="AK6" i="11" l="1"/>
  <c r="AK13" i="6"/>
  <c r="AK11" i="6"/>
  <c r="AK9" i="6"/>
  <c r="F38" i="4"/>
  <c r="BK5" i="7" l="1"/>
  <c r="F34" i="4"/>
  <c r="F45" i="4" s="1"/>
  <c r="AN3" i="11"/>
  <c r="BE4" i="7" l="1"/>
  <c r="BK7" i="7"/>
  <c r="AO7" i="6"/>
  <c r="AO13" i="6" s="1"/>
  <c r="BA5" i="7"/>
  <c r="AX4" i="7" s="1"/>
  <c r="BK4" i="7"/>
  <c r="BJ4" i="7"/>
  <c r="BH4" i="7"/>
  <c r="BF4" i="7"/>
  <c r="BG4" i="7"/>
  <c r="BI4" i="7"/>
  <c r="G34" i="4"/>
  <c r="AO11" i="6" l="1"/>
  <c r="AO9" i="6"/>
  <c r="AO3" i="11"/>
  <c r="AY4" i="7"/>
  <c r="BA4" i="7"/>
  <c r="AZ4" i="7"/>
  <c r="AM7" i="6"/>
  <c r="G15" i="4"/>
  <c r="G9" i="4"/>
  <c r="G17" i="4"/>
  <c r="BA7" i="7"/>
  <c r="AM13" i="6" l="1"/>
  <c r="AM9" i="6"/>
  <c r="AM11" i="6"/>
  <c r="AM3" i="11"/>
  <c r="F22" i="3" l="1"/>
  <c r="H22" i="2" l="1"/>
  <c r="H22" i="3"/>
  <c r="J22" i="2"/>
  <c r="J22" i="3"/>
  <c r="N22" i="2"/>
  <c r="N22" i="3"/>
  <c r="K22" i="2"/>
  <c r="K22" i="3"/>
  <c r="O22" i="3"/>
  <c r="Q22" i="2"/>
  <c r="Q22" i="3"/>
  <c r="M22" i="2"/>
  <c r="M22" i="3"/>
  <c r="G22" i="2"/>
  <c r="G22" i="3"/>
  <c r="I22" i="2"/>
  <c r="I22" i="3"/>
  <c r="P22" i="2"/>
  <c r="P22" i="3"/>
  <c r="L22" i="2"/>
  <c r="L22" i="3"/>
  <c r="F22" i="2"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VF</author>
    <author>As_Gabinete_Oeste1</author>
    <author>Usuario de Windows</author>
  </authors>
  <commentList>
    <comment ref="A6" authorId="0" shapeId="0" xr:uid="{00000000-0006-0000-0600-000001000000}">
      <text>
        <r>
          <rPr>
            <sz val="9"/>
            <color indexed="81"/>
            <rFont val="Tahoma"/>
            <family val="2"/>
          </rPr>
          <t>La información sobre DEUDA FLOTANTE se encuentra disponible en la página web del Ministerio de Hacienda - Responsabilidad Fiscal (Anexo 6)</t>
        </r>
      </text>
    </comment>
    <comment ref="AO6" authorId="1" shapeId="0" xr:uid="{C3946839-15E8-46E7-8B29-6F790C33C1C5}">
      <text>
        <r>
          <rPr>
            <b/>
            <sz val="9"/>
            <color indexed="81"/>
            <rFont val="Tahoma"/>
            <family val="2"/>
          </rPr>
          <t>Neto de Portezuelo del Viento.</t>
        </r>
      </text>
    </comment>
    <comment ref="AP6" authorId="1" shapeId="0" xr:uid="{3AFDF2A2-0F28-4407-AE0D-27BB09FA82C2}">
      <text>
        <r>
          <rPr>
            <b/>
            <sz val="9"/>
            <color indexed="81"/>
            <rFont val="Tahoma"/>
            <family val="2"/>
          </rPr>
          <t>Dato estimado</t>
        </r>
      </text>
    </comment>
    <comment ref="A12" authorId="0" shapeId="0" xr:uid="{00000000-0006-0000-0600-000003000000}">
      <text>
        <r>
          <rPr>
            <sz val="9"/>
            <color indexed="81"/>
            <rFont val="Tahoma"/>
            <family val="2"/>
          </rPr>
          <t>La información sobre DEUDA FLOTANTE se encuentra disponible en la página web del Ministerio de Hacienda - Responsabilidad Fiscal (Anexo 6)</t>
        </r>
      </text>
    </comment>
    <comment ref="AP12" authorId="2" shapeId="0" xr:uid="{61BEFA03-CDE1-441B-9250-F4D4DB58ED25}">
      <text>
        <r>
          <rPr>
            <b/>
            <sz val="9"/>
            <color indexed="81"/>
            <rFont val="Tahoma"/>
            <charset val="1"/>
          </rPr>
          <t>Dato estimado</t>
        </r>
      </text>
    </comment>
  </commentList>
</comments>
</file>

<file path=xl/sharedStrings.xml><?xml version="1.0" encoding="utf-8"?>
<sst xmlns="http://schemas.openxmlformats.org/spreadsheetml/2006/main" count="980" uniqueCount="259">
  <si>
    <t>Acreedor/Creditor</t>
  </si>
  <si>
    <t>ID</t>
  </si>
  <si>
    <t>Pesos</t>
  </si>
  <si>
    <t>FFFIR Ley 8530</t>
  </si>
  <si>
    <t>FFFIRO24</t>
  </si>
  <si>
    <t>FFFIR Ley 8930 - $416 MM</t>
  </si>
  <si>
    <t>FFFIRF26</t>
  </si>
  <si>
    <t>ANSES - Fideicomiso IPV VDF</t>
  </si>
  <si>
    <t>IPVO26</t>
  </si>
  <si>
    <t>FFFIR Ley 8066 Ampliación</t>
  </si>
  <si>
    <t>FFFIRE26</t>
  </si>
  <si>
    <t>Multilateral</t>
  </si>
  <si>
    <t>1.1. B.I.D.</t>
  </si>
  <si>
    <t>2573 BID-PROSAP</t>
  </si>
  <si>
    <t>BIDD36</t>
  </si>
  <si>
    <t>1956 BID-PROSAP</t>
  </si>
  <si>
    <t>BIDA33</t>
  </si>
  <si>
    <t>1640 BID-Programa Mendoza Productiva</t>
  </si>
  <si>
    <t>BIDG25</t>
  </si>
  <si>
    <t>3169-BID-Programa-Mendoza-Tecnológica</t>
  </si>
  <si>
    <t>BIDF40</t>
  </si>
  <si>
    <t>1855 BID - MUNICIPIOS</t>
  </si>
  <si>
    <t>BIDN32</t>
  </si>
  <si>
    <t>3806 BID-PROSAP</t>
  </si>
  <si>
    <t>BIDY42</t>
  </si>
  <si>
    <t>1134 BID - PROMEBA</t>
  </si>
  <si>
    <t>BIDO24</t>
  </si>
  <si>
    <t>1895 BID - PROAS ENOHSA Los Barriales</t>
  </si>
  <si>
    <t>BIDS34</t>
  </si>
  <si>
    <t>1895 BID - PROAS ENOHSA PMG EPAS</t>
  </si>
  <si>
    <t>BIDS23</t>
  </si>
  <si>
    <t>1.2. B.I.R.F.</t>
  </si>
  <si>
    <t>7597 BIRF - PROSAP</t>
  </si>
  <si>
    <t>BIRS38</t>
  </si>
  <si>
    <t>BONO DE INTERESES</t>
  </si>
  <si>
    <t>PMG25</t>
  </si>
  <si>
    <t>TOTAL</t>
  </si>
  <si>
    <t>TOTAL AMORTIZACIONES EN PESOS</t>
  </si>
  <si>
    <t>PERFIL DE AMORTIZACIONES MENSUAL POR TIPO DE MONEDA</t>
  </si>
  <si>
    <t>PERFIL DE INTERESES MENSUAL POR TIPO DE MONEDA</t>
  </si>
  <si>
    <t>Dólar</t>
  </si>
  <si>
    <t>UVA</t>
  </si>
  <si>
    <t>PERFIL DE AMORTIZACIONES ANUAL POR TIPO DE MONEDA</t>
  </si>
  <si>
    <t>PERFIL DE INTERESES ANUAL POR TIPO DE MONEDA</t>
  </si>
  <si>
    <t>Servicios Deuda = Amort. + Int</t>
  </si>
  <si>
    <t>PERFIL SERVICIOS DE LA DEUDA ANUAL POR TIPO DE MONEDA</t>
  </si>
  <si>
    <t>En Millones Especie</t>
  </si>
  <si>
    <t>%</t>
  </si>
  <si>
    <t>TOTAL DEUDA CONSOLIDADA</t>
  </si>
  <si>
    <t>BADLAR (Fin de Período)</t>
  </si>
  <si>
    <t>Tipo de Cambio Nominal ARS / USD (Fin de Período)</t>
  </si>
  <si>
    <t>Cupón / Cupon</t>
  </si>
  <si>
    <t>Fecha inicio / Issue date</t>
  </si>
  <si>
    <t>Garantizado por / Secured by</t>
  </si>
  <si>
    <t>Duración (Meses) / Maturity (Months)</t>
  </si>
  <si>
    <t>Frecuencia / Frequency</t>
  </si>
  <si>
    <t>Fecha vto. / Maturity Date</t>
  </si>
  <si>
    <t>Forma de pago / Payment method</t>
  </si>
  <si>
    <t>1er Trimestre</t>
  </si>
  <si>
    <t>Art. 21 Ley de Responsabilidad Fiscal</t>
  </si>
  <si>
    <t xml:space="preserve">SERVICIOS DEUDA </t>
  </si>
  <si>
    <t>RECURSOS CORRIENTES
(Netos de Copart. a Municipios)</t>
  </si>
  <si>
    <t>SS DEUDA / REC. CTES. "&lt; 15%"</t>
  </si>
  <si>
    <t>COVENANTS BONOS</t>
  </si>
  <si>
    <t>SERVICIOS DEUDA GARANTIZADA CON COPARTICIPACIÓN SIG. 12 MESES
[1]</t>
  </si>
  <si>
    <t>COPARTICIPACIÓN RECIBIDA 3 MESES ANTERIORES x 4
[2]</t>
  </si>
  <si>
    <t>[1] / [2]  "&lt; 50%"</t>
  </si>
  <si>
    <t>INTERESES PAGADOS 12 MESES ANTERIORES A INCURRIR EN DEUDA
[3]</t>
  </si>
  <si>
    <t>RECURSOS PERCIBIDOS 12 MESES ANTERIORES
[4]</t>
  </si>
  <si>
    <t>[3] / [4]  "&lt; 13%"</t>
  </si>
  <si>
    <t>CAPITAL PENDIENTE DE DEUDA NO GARANTIZADA CON COPARTICIP.
[5]</t>
  </si>
  <si>
    <t>RECURSOS PERCIBIDOS 12 MESES ANTERIORES
[6]</t>
  </si>
  <si>
    <t>[5] / [6]  "&lt; 10%"</t>
  </si>
  <si>
    <t>SERVICIOS DEUDA GARANTIZADA CON COPARTICIP. 4 TRIM FISCALES MÁS RECIENTES
[7]</t>
  </si>
  <si>
    <t>COPARTICIPACIÓN RECIBIDA DICHO PERÍODO
[8]</t>
  </si>
  <si>
    <t>[7] / [8]  "&lt; 50%"</t>
  </si>
  <si>
    <t>(1) Deuda Consolidada  ADMINISTRACIÓN CENTRAL</t>
  </si>
  <si>
    <t>(2) Deuda Flotante ADMINISTRACIÓN CENTRAL</t>
  </si>
  <si>
    <t>(1+2)= (3) Deuda TOTAL  ADMINISTRACIÓN CENTRAL</t>
  </si>
  <si>
    <t>(B) TIPO DE CAMBIO COMUNICACIÓN 3500 BCRA  ÚLTIMO DÍA HÁBIL CADA TRIMESTRE</t>
  </si>
  <si>
    <t>(3) / (B) Deuda TOTAL ADMINISTRACIÓN CENTRAL medida en USD</t>
  </si>
  <si>
    <t>(4) Deuda Flotante DESCENTRALIZADAS Y CUENTAS ESPECIALES</t>
  </si>
  <si>
    <t>Deuda TOTAL/PBG</t>
  </si>
  <si>
    <t>En Millones de Especie</t>
  </si>
  <si>
    <t>Vencimiento por Moneda</t>
  </si>
  <si>
    <t>Total Ss</t>
  </si>
  <si>
    <t>Vencimiento por Servicio</t>
  </si>
  <si>
    <t>Capital</t>
  </si>
  <si>
    <t>Interés</t>
  </si>
  <si>
    <t>Gobierno Federal</t>
  </si>
  <si>
    <t>Banco de la Nación Argentina</t>
  </si>
  <si>
    <t>Bancos Nacionales e Internacionales</t>
  </si>
  <si>
    <t>Organismos Multilaterales</t>
  </si>
  <si>
    <t>Tenedores de Bonos</t>
  </si>
  <si>
    <t>Vencimiento por Acreedor</t>
  </si>
  <si>
    <t>Acreedor</t>
  </si>
  <si>
    <t>Saldo Millones Moneda Origen / Outstanding Millons Currency</t>
  </si>
  <si>
    <t>Saldo Millones USD / Outstanding Millons USD</t>
  </si>
  <si>
    <t>DEUDA PÚBLICA EN USD</t>
  </si>
  <si>
    <t>USD</t>
  </si>
  <si>
    <t>Composición por Moneda</t>
  </si>
  <si>
    <t>Millones USD</t>
  </si>
  <si>
    <t>STOCK</t>
  </si>
  <si>
    <t>Composición por Tasa</t>
  </si>
  <si>
    <t>BADLAR</t>
  </si>
  <si>
    <t>LIBOR</t>
  </si>
  <si>
    <t>FIJA $</t>
  </si>
  <si>
    <t>FIJA UVA</t>
  </si>
  <si>
    <t>FIJA USD</t>
  </si>
  <si>
    <t>VARIABLE USD</t>
  </si>
  <si>
    <t>EVOLUCIÓN STOCK DEUDA CONSOLIDADA Y DEUDA FLOTANTE</t>
  </si>
  <si>
    <t>Composición_por_tasa_de_interés</t>
  </si>
  <si>
    <t>Composición_por_moneda</t>
  </si>
  <si>
    <t>Vencimiento_en_pesos</t>
  </si>
  <si>
    <t>Vencimiento_en_USD</t>
  </si>
  <si>
    <t>Vencimientos_en_pesos_por_servicio</t>
  </si>
  <si>
    <t>Vencimientos_en_pesos_por_acreedor</t>
  </si>
  <si>
    <t>Vencimientos_en_USD_por_acreedor</t>
  </si>
  <si>
    <t>Graficos</t>
  </si>
  <si>
    <t>TOTAL AMORTIZACIONES EN USD</t>
  </si>
  <si>
    <t>TOTAL INTERESES EN PESOS</t>
  </si>
  <si>
    <t>TOTAL INTERESES EN USD</t>
  </si>
  <si>
    <t>Vencimientos_en_USD_por_servicio</t>
  </si>
  <si>
    <t>PMM29</t>
  </si>
  <si>
    <t>BONO MENDOZA 2029</t>
  </si>
  <si>
    <t>4779 BID - RP82</t>
  </si>
  <si>
    <t>BIDN44</t>
  </si>
  <si>
    <r>
      <t xml:space="preserve">Pertenece a la Ley N° 25.917 de Responabilidad Fiscal en su Capítulo V - "Endeudamiento":
Art 21) </t>
    </r>
    <r>
      <rPr>
        <sz val="11"/>
        <color theme="1"/>
        <rFont val="Arial Narrow"/>
        <family val="2"/>
      </rPr>
      <t>Los gobiernos de las provincias y de la Ciudad Autónoma de Buenos Aires tomarán las medidas necesarias para que el nivel de endeudamiento de sus jurisdicciones sea tal que en cada ejercicio fiscal los servicios de la deuda instrumentada no superen el quince por ciento (15%) de los recursos corrientes netos de transferencias por coparticipación a municipios.</t>
    </r>
  </si>
  <si>
    <t>BONO EMERGENCIA</t>
  </si>
  <si>
    <t>PMY25</t>
  </si>
  <si>
    <t>(1) Se incluye Endeudamiento con el Fondo Fiduciario Federal de Infraestructura Regional (FFFIR) ajustable por el Costo de la Construcción (ICC) con un tope máximo de 17% para 2020 y 2021</t>
  </si>
  <si>
    <r>
      <t xml:space="preserve">DEUDA PÚBLICA EN PESOS </t>
    </r>
    <r>
      <rPr>
        <b/>
        <vertAlign val="superscript"/>
        <sz val="12"/>
        <color theme="0"/>
        <rFont val="Arial Narrow"/>
        <family val="2"/>
      </rPr>
      <t>(1)</t>
    </r>
  </si>
  <si>
    <r>
      <t xml:space="preserve">Moneda / Currency </t>
    </r>
    <r>
      <rPr>
        <b/>
        <vertAlign val="superscript"/>
        <sz val="11"/>
        <color theme="0"/>
        <rFont val="Arial Narrow"/>
        <family val="2"/>
      </rPr>
      <t>(1)</t>
    </r>
  </si>
  <si>
    <t>TGP</t>
  </si>
  <si>
    <t>BONO MENDOZA 2024 - Inversión en Infraestructura Pública</t>
  </si>
  <si>
    <t>PMD24</t>
  </si>
  <si>
    <t>Bono de Conversión ANSES</t>
  </si>
  <si>
    <t>PMM31</t>
  </si>
  <si>
    <r>
      <t xml:space="preserve">Pertenece al prospecto del Bono Mendoza 2029 (PMM29)  "Compromisos - Limitación a los Gravámenes":
(e) </t>
    </r>
    <r>
      <rPr>
        <sz val="11"/>
        <color theme="1"/>
        <rFont val="Arial Narrow"/>
        <family val="2"/>
      </rPr>
      <t>cualquier Gravamen que garantice Deuda de la Provincia, constituido sobre el derecho de la Provincia a percibir Pagos en Coparticipación; con la salvedad que el monto de capital total de la Deuda así garantizada y pendiente de pago en cualquier momento no podrá superar un monto tal que provoque que la Relación de Deuda Garantizada por la Coparticipación Trimestral supere el 50%.</t>
    </r>
  </si>
  <si>
    <r>
      <t xml:space="preserve">Pertenece al prospecto del Bono Mendoza 2029 (PMM29)  "Compromisos - Compromisos de cobertura de interés":                                                                                                                                            </t>
    </r>
    <r>
      <rPr>
        <sz val="11"/>
        <color theme="1"/>
        <rFont val="Arial Narrow"/>
        <family val="2"/>
      </rPr>
      <t>La Provincia ha acordado que no incurrirá, asumirá o garantizará y no permitirá que ninguna Entidad Provincial incurra en ninguna Deuda, con la excepción de que, a la fecha en que se proponga incurrir, el monto de los “Gastos de Interés” incurridos durante los anteriores doce meses finalizados en el trimestre fiscales más recientes, dependiendo el caso, no exceda el 13% de los Ingresos obtenidos durante el referido período de doce meses.</t>
    </r>
  </si>
  <si>
    <r>
      <t xml:space="preserve">Pertenece al prospecto del Bono Mendoza 2029 (PMM29)  "Compromisos - Limitación a los Gravámenes":
(h) </t>
    </r>
    <r>
      <rPr>
        <sz val="11"/>
        <color theme="1"/>
        <rFont val="Arial Narrow"/>
        <family val="2"/>
      </rPr>
      <t>cualquier otro gravamen, diferente de aquellos Gravámenes relacionados con el derecho de la Provincia a recibir Pagos en Coparticipación, que garanticen Deuda de la Provincia en un monto total de capital pendiente de pago que no supere en ningún momento el 10% de los Ingresos anuales de la Provincia para el período que incluye los cuatro trimestres fiscales consecutivos más recientes que finalicen antes de la fecha en que se incurra dicho Gravamen.</t>
    </r>
  </si>
  <si>
    <r>
      <t xml:space="preserve">"Compromisos - Limitación a los Gravámenes":
(e) </t>
    </r>
    <r>
      <rPr>
        <sz val="11"/>
        <color theme="1"/>
        <rFont val="Arial Narrow"/>
        <family val="2"/>
      </rPr>
      <t>cualquier Gravamen que garantice Deuda de la Provincia que involucre el derecho de la Provincia a percibir Pagos en Coparticipación; con la salvedad que la Deuda así garantizada no deberá provocar que el Ratio de Deuda Garantizada por la Coparticipación supere el 50% en el trimestre fiscal más reciente que finalice antes de la fecha de cálculo.</t>
    </r>
  </si>
  <si>
    <t>Banco Nación-Refinanciación 2022</t>
  </si>
  <si>
    <t>BNAM27</t>
  </si>
  <si>
    <t>Check</t>
  </si>
  <si>
    <t>4312 BID PLAN BELGRANO</t>
  </si>
  <si>
    <t>8867 BIRF - GIRSAR</t>
  </si>
  <si>
    <t>BIRE50</t>
  </si>
  <si>
    <t>Coparticipación Federal de Impuestos</t>
  </si>
  <si>
    <t>Mensual</t>
  </si>
  <si>
    <t>Automático</t>
  </si>
  <si>
    <t>10-y Bond/LIBOR 12M (mayor) + 3,70%</t>
  </si>
  <si>
    <t>Otras Transferencias Nacionales</t>
  </si>
  <si>
    <t>Badlar Públicos + 2%</t>
  </si>
  <si>
    <t>Trimestral</t>
  </si>
  <si>
    <t>Semestral</t>
  </si>
  <si>
    <t>BADLAR Bancos Privados + 3%</t>
  </si>
  <si>
    <t xml:space="preserve">Tasa Base Libor 3 M + Margen BID </t>
  </si>
  <si>
    <t>Libor 6M + 1,35%</t>
  </si>
  <si>
    <t>Sin garantía</t>
  </si>
  <si>
    <t>CER + 4,25%</t>
  </si>
  <si>
    <t>BADLAR Bcos Priv</t>
  </si>
  <si>
    <t>BADLAR Bancos Privados + 4%</t>
  </si>
  <si>
    <t>BADLAR Bancos Privados</t>
  </si>
  <si>
    <t>-</t>
  </si>
  <si>
    <t>Títulos de Deuda SVS</t>
  </si>
  <si>
    <t>Títulos de Deuda 2024</t>
  </si>
  <si>
    <t>PMJ25</t>
  </si>
  <si>
    <t>PM2D4</t>
  </si>
  <si>
    <t>BADLAR Bancos Privados + 5,90%</t>
  </si>
  <si>
    <t>BADLAR Bancos Privados + 5,75%</t>
  </si>
  <si>
    <t>8712 BIRF - Proyecto Integral Hábitat y Vivienda</t>
  </si>
  <si>
    <t>BIRF34</t>
  </si>
  <si>
    <t>Promedio        2030-2050</t>
  </si>
  <si>
    <t>TÍTULOS DE DEUDA SVS</t>
  </si>
  <si>
    <t>TÍTULOS DE DEUDA 2024</t>
  </si>
  <si>
    <t>Prom Resto 2030-2050</t>
  </si>
  <si>
    <t>C</t>
  </si>
  <si>
    <t>GF</t>
  </si>
  <si>
    <t>BNA</t>
  </si>
  <si>
    <t>BI</t>
  </si>
  <si>
    <t>BN</t>
  </si>
  <si>
    <t>TB</t>
  </si>
  <si>
    <r>
      <rPr>
        <vertAlign val="superscript"/>
        <sz val="12"/>
        <color theme="1"/>
        <rFont val="Arial Narrow"/>
        <family val="2"/>
      </rPr>
      <t>(1)</t>
    </r>
    <r>
      <rPr>
        <sz val="12"/>
        <color theme="1"/>
        <rFont val="Arial Narrow"/>
        <family val="2"/>
      </rPr>
      <t xml:space="preserve"> Se incluye Endeudamiento con el Fondo Fiduciario Federal de Infraestructura Regional (FFFIR) ajustable por el Costo de la Construcción (ICC) con un tope máximo de 17%.</t>
    </r>
  </si>
  <si>
    <t>Fecha</t>
  </si>
  <si>
    <t>IPC INDEC</t>
  </si>
  <si>
    <t>IPC SL</t>
  </si>
  <si>
    <t>VAR SL</t>
  </si>
  <si>
    <t>INDEX</t>
  </si>
  <si>
    <t>IPC</t>
  </si>
  <si>
    <t>CER (Fin de Período)</t>
  </si>
  <si>
    <r>
      <t>8867 BIRF - GIRSAR</t>
    </r>
    <r>
      <rPr>
        <vertAlign val="superscript"/>
        <sz val="11"/>
        <rFont val="Arial Narrow"/>
        <family val="2"/>
      </rPr>
      <t xml:space="preserve"> </t>
    </r>
  </si>
  <si>
    <t>FFFIR Cloacas Tunuyán - Tupungato</t>
  </si>
  <si>
    <t>Deuda</t>
  </si>
  <si>
    <t>PBG</t>
  </si>
  <si>
    <t>En millones de ARS corrientes</t>
  </si>
  <si>
    <t>Ratio</t>
  </si>
  <si>
    <t>Cap</t>
  </si>
  <si>
    <t>Int</t>
  </si>
  <si>
    <t>I</t>
  </si>
  <si>
    <t>CARACTERÍSTICA DE LOS AVALES Y/O GARANTÍAS OTORGADAS</t>
  </si>
  <si>
    <t>En millones de $</t>
  </si>
  <si>
    <t>Beneficiario</t>
  </si>
  <si>
    <t>Marco Legal</t>
  </si>
  <si>
    <t>Proyecto</t>
  </si>
  <si>
    <t>Programa</t>
  </si>
  <si>
    <t>Monto del Contrato</t>
  </si>
  <si>
    <t>Moneda</t>
  </si>
  <si>
    <t>Garantía de Contraparte</t>
  </si>
  <si>
    <t>Saldo Adeudado</t>
  </si>
  <si>
    <t>Condiciones Financieras</t>
  </si>
  <si>
    <t>Plazo</t>
  </si>
  <si>
    <t>Gracia</t>
  </si>
  <si>
    <t>Tasa</t>
  </si>
  <si>
    <t>Cantidad de Cuotas</t>
  </si>
  <si>
    <t>Periodicidad</t>
  </si>
  <si>
    <t>No hay avales y/o garantías otorgados</t>
  </si>
  <si>
    <t>BIDE37</t>
  </si>
  <si>
    <t>Acumulada trimestre</t>
  </si>
  <si>
    <t>Total</t>
  </si>
  <si>
    <t>2030-2050</t>
  </si>
  <si>
    <t>GRÁFICOS</t>
  </si>
  <si>
    <t>COMPOSICIÓN DE LA DEUDA PÚBLICA POR TASA DE INTERÉS</t>
  </si>
  <si>
    <t>COMPOSICIÓN DE LA DEUDA PÚBLICA POR MONEDA</t>
  </si>
  <si>
    <t>% del Total</t>
  </si>
  <si>
    <t xml:space="preserve"> % del Total</t>
  </si>
  <si>
    <t>PERFIL DE VENCIMIENTO DEUDA PÚBLICA EN PESOS</t>
  </si>
  <si>
    <t>PERFIL DE VENCIMIENTO DEUDA PÚBLICA EN DÓLARES</t>
  </si>
  <si>
    <t>Millones de USD</t>
  </si>
  <si>
    <t>Millones de $</t>
  </si>
  <si>
    <t>PERFIL DE VENCIMIENTOS DEUDA PÚBLICA EN DÓLARES POR TIPO DE SERVICIO</t>
  </si>
  <si>
    <t>Millones de USD. Capital e Interés como % del servicio total</t>
  </si>
  <si>
    <t>Millones de $. Capital e Interés como % del servicio total</t>
  </si>
  <si>
    <t>PERFIL DE VENCIMIENTOS DEUDA PÚBLICA EN PESOS POR TIPO DE SERVICIO</t>
  </si>
  <si>
    <t>PERFIL DE VENCIMIENTO DEUDA PÚBLICA EN PESOS POR ACREEDOR</t>
  </si>
  <si>
    <t>PERFIL DE VENCIMIENTO DEUDA PÚBLICA EN DÓLARES POR ACREEDOR</t>
  </si>
  <si>
    <t>TÍTULOS DE DEUDA CER CLASE 1</t>
  </si>
  <si>
    <t>TÍTULOS DE DEUDA CER CLASE 2</t>
  </si>
  <si>
    <t>PMD25</t>
  </si>
  <si>
    <t>PMM27</t>
  </si>
  <si>
    <t>Pesos Ajustados</t>
  </si>
  <si>
    <t xml:space="preserve">CER </t>
  </si>
  <si>
    <t>Cupón Cero</t>
  </si>
  <si>
    <t>FFFIRS33</t>
  </si>
  <si>
    <r>
      <t xml:space="preserve">BONO MENDOZA 2029 </t>
    </r>
    <r>
      <rPr>
        <vertAlign val="superscript"/>
        <sz val="11"/>
        <rFont val="Arial Narrow"/>
        <family val="2"/>
      </rPr>
      <t>(1)</t>
    </r>
  </si>
  <si>
    <r>
      <rPr>
        <vertAlign val="superscript"/>
        <sz val="9"/>
        <color theme="1"/>
        <rFont val="Arial Narrow"/>
        <family val="2"/>
      </rPr>
      <t xml:space="preserve">(1) </t>
    </r>
    <r>
      <rPr>
        <sz val="9"/>
        <color theme="1"/>
        <rFont val="Arial Narrow"/>
        <family val="2"/>
      </rPr>
      <t>Tasa de Interés: desde e incluyendo el 19 de mayo de 2020 hasta y excluyendo el 19 de septiembre de 2021, 2,75%; desde e incluyendo el 19 de septiembre de 2021 hasta y excluyendo el 19 de marzo de 2023, 4,25%; desde e incluyendo el 19 de marzo de 2023 hasta y excluyendo el 19 de marzo de 2029, 5,75%.</t>
    </r>
  </si>
  <si>
    <r>
      <t xml:space="preserve">Títulos de Deuda 2024 </t>
    </r>
    <r>
      <rPr>
        <vertAlign val="superscript"/>
        <sz val="11"/>
        <rFont val="Arial Narrow"/>
        <family val="2"/>
      </rPr>
      <t>(2)</t>
    </r>
  </si>
  <si>
    <r>
      <rPr>
        <vertAlign val="superscript"/>
        <sz val="9"/>
        <color theme="1"/>
        <rFont val="Arial Narrow"/>
        <family val="2"/>
      </rPr>
      <t>(2)</t>
    </r>
    <r>
      <rPr>
        <sz val="9"/>
        <color theme="1"/>
        <rFont val="Arial Narrow"/>
        <family val="2"/>
      </rPr>
      <t xml:space="preserve"> La totalidad del stock informado corresponde a la refinanciación del BONO MENDOZA 2023, con fecha el 21/06/2023.</t>
    </r>
  </si>
  <si>
    <r>
      <rPr>
        <vertAlign val="superscript"/>
        <sz val="9"/>
        <color theme="1"/>
        <rFont val="Arial Narrow"/>
        <family val="2"/>
      </rPr>
      <t>(3)</t>
    </r>
    <r>
      <rPr>
        <sz val="9"/>
        <color theme="1"/>
        <rFont val="Arial Narrow"/>
        <family val="2"/>
      </rPr>
      <t xml:space="preserve"> La administración y gestión de los fondos provenientes del Préstamo es realizada por el IPV</t>
    </r>
  </si>
  <si>
    <r>
      <t xml:space="preserve">8712 BIRF - Proyecto Integral Hábitat y Vivienda </t>
    </r>
    <r>
      <rPr>
        <vertAlign val="superscript"/>
        <sz val="11"/>
        <rFont val="Arial Narrow"/>
        <family val="2"/>
      </rPr>
      <t>(3)</t>
    </r>
  </si>
  <si>
    <t>Fuente: MHyF, DGDP</t>
  </si>
  <si>
    <t xml:space="preserve">Fuente MHyF, DGDP </t>
  </si>
  <si>
    <t>Fuente MHyF, DGDP</t>
  </si>
  <si>
    <t xml:space="preserve">PERFIL DE VENCIMIENTOS DEUDA PÚBLICA EN PESOS </t>
  </si>
  <si>
    <t>POR TIPO DE SERVICIO</t>
  </si>
  <si>
    <t xml:space="preserve">Fuente: MHyF, DGDP </t>
  </si>
  <si>
    <t>(3+4) x (A)= Deuda TOTAL medida en PESOS de Marzo de 2024</t>
  </si>
  <si>
    <t>(3) x (A) = Deuda TOTAL ADMINISTRACIÓN CENTRAL medida en PESOS de Marzo de 2024</t>
  </si>
  <si>
    <t xml:space="preserve"> (A) (IPC Marzo 2024) /(IPC Periodo)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</si>
</sst>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1">
    <numFmt numFmtId="43" formatCode="_-* #,##0.00_-;\-* #,##0.00_-;_-* &quot;-&quot;??_-;_-@_-"/>
    <numFmt numFmtId="164" formatCode="[$ARS]\ #,##0.00"/>
    <numFmt numFmtId="165" formatCode="[$USD]\ #,##0.00"/>
    <numFmt numFmtId="166" formatCode="_ * #,##0.00_ ;_ * \-#,##0.00_ ;_ * &quot;-&quot;??_ ;_ @_ "/>
    <numFmt numFmtId="167" formatCode="[$-409]mmm\-yy;@"/>
    <numFmt numFmtId="168" formatCode="0.0%"/>
    <numFmt numFmtId="169" formatCode="0.0000%"/>
    <numFmt numFmtId="170" formatCode="_ * #,##0_ ;_ * \-#,##0_ ;_ * &quot;-&quot;??_ ;_ @_ "/>
    <numFmt numFmtId="171" formatCode="0.000"/>
    <numFmt numFmtId="172" formatCode="#,##0.0"/>
    <numFmt numFmtId="173" formatCode="&quot;$&quot;#,##0.00"/>
    <numFmt numFmtId="174" formatCode="#,##0.0_ ;\-#,##0.0\ "/>
    <numFmt numFmtId="175" formatCode="#,##0.00_ ;\-#,##0.00\ "/>
    <numFmt numFmtId="176" formatCode="0.000%"/>
    <numFmt numFmtId="177" formatCode="_ * #,##0.0_ ;_ * \-#,##0.0_ ;_ * &quot;-&quot;??_ ;_ @_ "/>
    <numFmt numFmtId="178" formatCode="[$USD]\ #,##0.000000"/>
    <numFmt numFmtId="179" formatCode="_ * #,##0.00000000_ ;_ * \-#,##0.00000000_ ;_ * &quot;-&quot;??_ ;_ @_ "/>
    <numFmt numFmtId="180" formatCode="0.0"/>
    <numFmt numFmtId="181" formatCode="#,##0.00_ ;[Red]\-#,##0.00\ "/>
    <numFmt numFmtId="182" formatCode="mmmm\-yy"/>
    <numFmt numFmtId="183" formatCode="#,##0.000000000000000"/>
  </numFmts>
  <fonts count="58" x14ac:knownFonts="1">
    <font>
      <sz val="11"/>
      <color theme="1"/>
      <name val="Calibri"/>
      <family val="2"/>
      <scheme val="minor"/>
    </font>
    <font>
      <sz val="11"/>
      <color theme="1"/>
      <name val="Arial Narrow"/>
      <family val="2"/>
    </font>
    <font>
      <sz val="11"/>
      <color theme="1"/>
      <name val="Calibri"/>
      <family val="2"/>
      <scheme val="minor"/>
    </font>
    <font>
      <sz val="9"/>
      <color indexed="81"/>
      <name val="Tahoma"/>
      <family val="2"/>
    </font>
    <font>
      <sz val="11"/>
      <color theme="1"/>
      <name val="Arial Narrow"/>
      <family val="2"/>
    </font>
    <font>
      <sz val="12"/>
      <color theme="1"/>
      <name val="Arial Narrow"/>
      <family val="2"/>
    </font>
    <font>
      <b/>
      <sz val="12"/>
      <color theme="0"/>
      <name val="Arial Narrow"/>
      <family val="2"/>
    </font>
    <font>
      <sz val="12"/>
      <name val="Arial Narrow"/>
      <family val="2"/>
    </font>
    <font>
      <b/>
      <sz val="11"/>
      <color theme="0"/>
      <name val="Arial Narrow"/>
      <family val="2"/>
    </font>
    <font>
      <b/>
      <sz val="11"/>
      <color theme="1"/>
      <name val="Arial Narrow"/>
      <family val="2"/>
    </font>
    <font>
      <b/>
      <sz val="16"/>
      <color theme="1"/>
      <name val="Arial Narrow"/>
      <family val="2"/>
    </font>
    <font>
      <sz val="13"/>
      <color rgb="FF000099"/>
      <name val="Arial Narrow"/>
      <family val="2"/>
    </font>
    <font>
      <sz val="11"/>
      <name val="Arial Narrow"/>
      <family val="2"/>
    </font>
    <font>
      <b/>
      <sz val="11"/>
      <color theme="0"/>
      <name val="Calibri"/>
      <family val="2"/>
      <scheme val="minor"/>
    </font>
    <font>
      <sz val="11"/>
      <color theme="0"/>
      <name val="Calibri"/>
      <family val="2"/>
      <scheme val="minor"/>
    </font>
    <font>
      <sz val="11"/>
      <color theme="0"/>
      <name val="Arial Narrow"/>
      <family val="2"/>
    </font>
    <font>
      <b/>
      <sz val="11"/>
      <name val="Arial Narrow"/>
      <family val="2"/>
    </font>
    <font>
      <sz val="9"/>
      <color theme="1"/>
      <name val="Arial Narrow"/>
      <family val="2"/>
    </font>
    <font>
      <sz val="10"/>
      <name val="Arial Narrow"/>
      <family val="2"/>
    </font>
    <font>
      <b/>
      <sz val="10"/>
      <color theme="0"/>
      <name val="Arial Narrow"/>
      <family val="2"/>
    </font>
    <font>
      <b/>
      <sz val="10"/>
      <name val="Arial Narrow"/>
      <family val="2"/>
    </font>
    <font>
      <b/>
      <sz val="12"/>
      <color theme="1"/>
      <name val="Arial Narrow"/>
      <family val="2"/>
    </font>
    <font>
      <sz val="10"/>
      <color theme="1"/>
      <name val="Arial Narrow"/>
      <family val="2"/>
    </font>
    <font>
      <sz val="5"/>
      <color theme="0"/>
      <name val="Calibri"/>
      <family val="2"/>
      <scheme val="minor"/>
    </font>
    <font>
      <b/>
      <sz val="11"/>
      <color theme="1"/>
      <name val="Calibri"/>
      <family val="2"/>
      <scheme val="minor"/>
    </font>
    <font>
      <sz val="11"/>
      <color rgb="FF000000"/>
      <name val="Calibri"/>
      <family val="2"/>
      <scheme val="minor"/>
    </font>
    <font>
      <b/>
      <sz val="10"/>
      <color theme="1"/>
      <name val="Arial Narrow"/>
      <family val="2"/>
    </font>
    <font>
      <sz val="11"/>
      <color rgb="FFFF0000"/>
      <name val="Arial Narrow"/>
      <family val="2"/>
    </font>
    <font>
      <vertAlign val="superscript"/>
      <sz val="11"/>
      <name val="Arial Narrow"/>
      <family val="2"/>
    </font>
    <font>
      <b/>
      <vertAlign val="superscript"/>
      <sz val="12"/>
      <color theme="0"/>
      <name val="Arial Narrow"/>
      <family val="2"/>
    </font>
    <font>
      <b/>
      <vertAlign val="superscript"/>
      <sz val="11"/>
      <color theme="0"/>
      <name val="Arial Narrow"/>
      <family val="2"/>
    </font>
    <font>
      <sz val="11"/>
      <color rgb="FFFF0000"/>
      <name val="Calibri"/>
      <family val="2"/>
      <scheme val="minor"/>
    </font>
    <font>
      <sz val="11"/>
      <color rgb="FF000099"/>
      <name val="Calibri"/>
      <family val="2"/>
      <scheme val="minor"/>
    </font>
    <font>
      <b/>
      <sz val="9"/>
      <color rgb="FF000099"/>
      <name val="Arial Narrow"/>
      <family val="2"/>
    </font>
    <font>
      <vertAlign val="superscript"/>
      <sz val="9"/>
      <color theme="1"/>
      <name val="Arial Narrow"/>
      <family val="2"/>
    </font>
    <font>
      <b/>
      <sz val="9"/>
      <color theme="1"/>
      <name val="Arial Narrow"/>
      <family val="2"/>
    </font>
    <font>
      <b/>
      <sz val="11"/>
      <color rgb="FF000099"/>
      <name val="Calibri"/>
      <family val="2"/>
      <scheme val="minor"/>
    </font>
    <font>
      <b/>
      <sz val="11"/>
      <color rgb="FFFF0000"/>
      <name val="Arial Narrow"/>
      <family val="2"/>
    </font>
    <font>
      <sz val="12"/>
      <color theme="0"/>
      <name val="Arial Narrow"/>
      <family val="2"/>
    </font>
    <font>
      <sz val="12"/>
      <color theme="1"/>
      <name val="Calibri"/>
      <family val="2"/>
      <scheme val="minor"/>
    </font>
    <font>
      <vertAlign val="superscript"/>
      <sz val="12"/>
      <color theme="1"/>
      <name val="Arial Narrow"/>
      <family val="2"/>
    </font>
    <font>
      <b/>
      <sz val="8"/>
      <color indexed="30"/>
      <name val="Arial"/>
      <family val="2"/>
    </font>
    <font>
      <sz val="11"/>
      <color theme="5"/>
      <name val="Calibri"/>
      <family val="2"/>
      <scheme val="minor"/>
    </font>
    <font>
      <b/>
      <sz val="14"/>
      <color theme="1"/>
      <name val="Arial Narrow"/>
      <family val="2"/>
    </font>
    <font>
      <b/>
      <u/>
      <sz val="11"/>
      <color theme="1"/>
      <name val="Calibri"/>
      <family val="2"/>
      <scheme val="minor"/>
    </font>
    <font>
      <b/>
      <sz val="9"/>
      <color theme="0"/>
      <name val="Arial Narrow"/>
      <family val="2"/>
    </font>
    <font>
      <b/>
      <sz val="9"/>
      <color theme="0"/>
      <name val="Arial"/>
      <family val="2"/>
    </font>
    <font>
      <sz val="9"/>
      <color theme="0"/>
      <name val="Calibri"/>
      <family val="2"/>
      <scheme val="minor"/>
    </font>
    <font>
      <b/>
      <sz val="9"/>
      <name val="Arial"/>
      <family val="2"/>
    </font>
    <font>
      <sz val="9"/>
      <name val="Arial"/>
      <family val="2"/>
    </font>
    <font>
      <sz val="10"/>
      <color theme="1"/>
      <name val="Arial"/>
      <family val="2"/>
    </font>
    <font>
      <sz val="10"/>
      <color indexed="8"/>
      <name val="Arial"/>
      <family val="2"/>
    </font>
    <font>
      <b/>
      <sz val="16"/>
      <color theme="1"/>
      <name val="Calibri"/>
      <family val="2"/>
      <scheme val="minor"/>
    </font>
    <font>
      <b/>
      <sz val="14"/>
      <color rgb="FF000000"/>
      <name val="Arial Narrow"/>
      <family val="2"/>
    </font>
    <font>
      <b/>
      <sz val="9"/>
      <color indexed="81"/>
      <name val="Tahoma"/>
      <family val="2"/>
    </font>
    <font>
      <sz val="13"/>
      <color rgb="FF000F9F"/>
      <name val="Arial Narrow"/>
      <family val="2"/>
    </font>
    <font>
      <sz val="12"/>
      <color rgb="FF000F9F"/>
      <name val="Arial Narrow"/>
      <family val="2"/>
    </font>
    <font>
      <b/>
      <sz val="9"/>
      <color indexed="81"/>
      <name val="Tahoma"/>
      <charset val="1"/>
    </font>
  </fonts>
  <fills count="10">
    <fill>
      <patternFill patternType="none"/>
    </fill>
    <fill>
      <patternFill patternType="gray125"/>
    </fill>
    <fill>
      <patternFill patternType="solid">
        <fgColor theme="0"/>
        <bgColor indexed="64"/>
      </patternFill>
    </fill>
    <fill>
      <patternFill patternType="solid">
        <fgColor theme="3" tint="-0.249977111117893"/>
        <bgColor indexed="64"/>
      </patternFill>
    </fill>
    <fill>
      <patternFill patternType="solid">
        <fgColor theme="8" tint="-0.249977111117893"/>
        <bgColor indexed="64"/>
      </patternFill>
    </fill>
    <fill>
      <patternFill patternType="solid">
        <fgColor rgb="FFFFFF00"/>
        <bgColor indexed="64"/>
      </patternFill>
    </fill>
    <fill>
      <patternFill patternType="solid">
        <fgColor rgb="FFFFFFFF"/>
        <bgColor indexed="64"/>
      </patternFill>
    </fill>
    <fill>
      <patternFill patternType="solid">
        <fgColor rgb="FF000F9F"/>
        <bgColor indexed="64"/>
      </patternFill>
    </fill>
    <fill>
      <patternFill patternType="solid">
        <fgColor rgb="FF3CB4E5"/>
        <bgColor indexed="64"/>
      </patternFill>
    </fill>
    <fill>
      <patternFill patternType="solid">
        <fgColor rgb="FFC8A977"/>
        <bgColor indexed="64"/>
      </patternFill>
    </fill>
  </fills>
  <borders count="25">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22"/>
      </left>
      <right style="thin">
        <color indexed="22"/>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6">
    <xf numFmtId="0" fontId="0" fillId="0" borderId="0"/>
    <xf numFmtId="166" fontId="2" fillId="0" borderId="0" applyFont="0" applyFill="0" applyBorder="0" applyAlignment="0" applyProtection="0"/>
    <xf numFmtId="9" fontId="2" fillId="0" borderId="0" applyFont="0" applyFill="0" applyBorder="0" applyAlignment="0" applyProtection="0"/>
    <xf numFmtId="43" fontId="2" fillId="0" borderId="0" applyFont="0" applyFill="0" applyBorder="0" applyAlignment="0" applyProtection="0"/>
    <xf numFmtId="0" fontId="50" fillId="0" borderId="0"/>
    <xf numFmtId="181" fontId="51" fillId="0" borderId="0" applyFont="0" applyFill="0" applyBorder="0" applyAlignment="0" applyProtection="0"/>
  </cellStyleXfs>
  <cellXfs count="275">
    <xf numFmtId="0" fontId="0" fillId="0" borderId="0" xfId="0"/>
    <xf numFmtId="0" fontId="4" fillId="0" borderId="0" xfId="0" applyFont="1"/>
    <xf numFmtId="164" fontId="5" fillId="0" borderId="0" xfId="0" applyNumberFormat="1" applyFont="1" applyAlignment="1">
      <alignment vertical="center"/>
    </xf>
    <xf numFmtId="0" fontId="4" fillId="0" borderId="0" xfId="0" applyFont="1" applyAlignment="1">
      <alignment vertical="center"/>
    </xf>
    <xf numFmtId="164" fontId="7" fillId="0" borderId="0" xfId="0" applyNumberFormat="1" applyFont="1" applyAlignment="1">
      <alignment vertical="center"/>
    </xf>
    <xf numFmtId="164" fontId="11" fillId="0" borderId="0" xfId="0" applyNumberFormat="1" applyFont="1" applyAlignment="1">
      <alignment vertical="center"/>
    </xf>
    <xf numFmtId="0" fontId="8" fillId="4" borderId="0" xfId="0" applyFont="1" applyFill="1" applyAlignment="1">
      <alignment horizontal="center"/>
    </xf>
    <xf numFmtId="43" fontId="4" fillId="0" borderId="0" xfId="0" applyNumberFormat="1" applyFont="1"/>
    <xf numFmtId="164" fontId="10" fillId="0" borderId="0" xfId="0" applyNumberFormat="1" applyFont="1" applyAlignment="1">
      <alignment horizontal="left" vertical="center"/>
    </xf>
    <xf numFmtId="164" fontId="12" fillId="0" borderId="2" xfId="0" applyNumberFormat="1" applyFont="1" applyBorder="1" applyAlignment="1">
      <alignment vertical="center"/>
    </xf>
    <xf numFmtId="164" fontId="12" fillId="0" borderId="2" xfId="0" applyNumberFormat="1" applyFont="1" applyBorder="1" applyAlignment="1">
      <alignment horizontal="center" vertical="center"/>
    </xf>
    <xf numFmtId="0" fontId="1" fillId="0" borderId="0" xfId="0" applyFont="1" applyAlignment="1">
      <alignment vertical="center"/>
    </xf>
    <xf numFmtId="165" fontId="12" fillId="0" borderId="2" xfId="0" applyNumberFormat="1" applyFont="1" applyBorder="1" applyAlignment="1">
      <alignment horizontal="center" vertical="center"/>
    </xf>
    <xf numFmtId="164" fontId="12" fillId="0" borderId="0" xfId="0" applyNumberFormat="1" applyFont="1" applyAlignment="1">
      <alignment vertical="center"/>
    </xf>
    <xf numFmtId="0" fontId="1" fillId="0" borderId="0" xfId="0" applyFont="1"/>
    <xf numFmtId="166" fontId="5" fillId="0" borderId="2" xfId="1" applyFont="1" applyFill="1" applyBorder="1" applyAlignment="1">
      <alignment vertical="center"/>
    </xf>
    <xf numFmtId="164" fontId="12" fillId="2" borderId="0" xfId="0" applyNumberFormat="1" applyFont="1" applyFill="1" applyAlignment="1">
      <alignment vertical="center"/>
    </xf>
    <xf numFmtId="166" fontId="1" fillId="0" borderId="0" xfId="1" applyFont="1" applyBorder="1" applyAlignment="1">
      <alignment horizontal="center"/>
    </xf>
    <xf numFmtId="0" fontId="15" fillId="0" borderId="0" xfId="0" applyFont="1"/>
    <xf numFmtId="0" fontId="14" fillId="0" borderId="0" xfId="0" applyFont="1" applyAlignment="1">
      <alignment horizontal="center" vertical="center"/>
    </xf>
    <xf numFmtId="43" fontId="0" fillId="0" borderId="0" xfId="0" applyNumberFormat="1"/>
    <xf numFmtId="167" fontId="12" fillId="2" borderId="2" xfId="0" applyNumberFormat="1" applyFont="1" applyFill="1" applyBorder="1" applyAlignment="1">
      <alignment horizontal="center" vertical="center"/>
    </xf>
    <xf numFmtId="3" fontId="12" fillId="0" borderId="2" xfId="0" applyNumberFormat="1" applyFont="1" applyBorder="1" applyAlignment="1">
      <alignment horizontal="center" vertical="center"/>
    </xf>
    <xf numFmtId="0" fontId="8" fillId="0" borderId="0" xfId="0" applyFont="1" applyAlignment="1">
      <alignment horizontal="center" vertical="center"/>
    </xf>
    <xf numFmtId="164" fontId="8" fillId="0" borderId="0" xfId="0" applyNumberFormat="1" applyFont="1" applyAlignment="1">
      <alignment vertical="center"/>
    </xf>
    <xf numFmtId="164" fontId="16" fillId="0" borderId="0" xfId="0" applyNumberFormat="1" applyFont="1" applyAlignment="1">
      <alignment vertical="center"/>
    </xf>
    <xf numFmtId="164" fontId="8" fillId="0" borderId="0" xfId="0" applyNumberFormat="1" applyFont="1" applyAlignment="1">
      <alignment horizontal="left" vertical="center" wrapText="1"/>
    </xf>
    <xf numFmtId="165" fontId="16" fillId="0" borderId="2" xfId="0" applyNumberFormat="1" applyFont="1" applyBorder="1" applyAlignment="1">
      <alignment horizontal="center" vertical="center"/>
    </xf>
    <xf numFmtId="0" fontId="17" fillId="0" borderId="0" xfId="0" applyFont="1" applyAlignment="1">
      <alignment horizontal="left"/>
    </xf>
    <xf numFmtId="164" fontId="18" fillId="0" borderId="2" xfId="0" applyNumberFormat="1" applyFont="1" applyBorder="1" applyAlignment="1">
      <alignment horizontal="center" vertical="center" wrapText="1"/>
    </xf>
    <xf numFmtId="10" fontId="18" fillId="0" borderId="2" xfId="2" applyNumberFormat="1" applyFont="1" applyFill="1" applyBorder="1" applyAlignment="1">
      <alignment horizontal="center" vertical="center" wrapText="1"/>
    </xf>
    <xf numFmtId="164" fontId="12" fillId="0" borderId="0" xfId="0" applyNumberFormat="1" applyFont="1" applyAlignment="1">
      <alignment horizontal="center" vertical="center"/>
    </xf>
    <xf numFmtId="166" fontId="17" fillId="0" borderId="0" xfId="1" applyFont="1" applyBorder="1" applyAlignment="1">
      <alignment horizontal="left"/>
    </xf>
    <xf numFmtId="166" fontId="1" fillId="0" borderId="0" xfId="1" applyFont="1" applyAlignment="1">
      <alignment vertical="center"/>
    </xf>
    <xf numFmtId="166" fontId="0" fillId="0" borderId="0" xfId="1" applyFont="1"/>
    <xf numFmtId="170" fontId="1" fillId="0" borderId="0" xfId="1" applyNumberFormat="1" applyFont="1" applyAlignment="1">
      <alignment vertical="center"/>
    </xf>
    <xf numFmtId="0" fontId="17" fillId="0" borderId="7" xfId="0" applyFont="1" applyBorder="1"/>
    <xf numFmtId="0" fontId="17" fillId="0" borderId="0" xfId="0" applyFont="1"/>
    <xf numFmtId="0" fontId="22" fillId="0" borderId="0" xfId="0" applyFont="1" applyAlignment="1">
      <alignment wrapText="1"/>
    </xf>
    <xf numFmtId="17" fontId="19" fillId="3" borderId="2" xfId="0" applyNumberFormat="1" applyFont="1" applyFill="1" applyBorder="1" applyAlignment="1">
      <alignment horizontal="center" vertical="center"/>
    </xf>
    <xf numFmtId="4" fontId="22" fillId="0" borderId="2" xfId="0" applyNumberFormat="1" applyFont="1" applyBorder="1" applyAlignment="1">
      <alignment horizontal="center" vertical="center"/>
    </xf>
    <xf numFmtId="171" fontId="22" fillId="0" borderId="2" xfId="0" applyNumberFormat="1" applyFont="1" applyBorder="1" applyAlignment="1">
      <alignment horizontal="center" vertical="center"/>
    </xf>
    <xf numFmtId="0" fontId="1" fillId="0" borderId="0" xfId="0" applyFont="1" applyAlignment="1">
      <alignment wrapText="1"/>
    </xf>
    <xf numFmtId="170" fontId="1" fillId="0" borderId="0" xfId="1" applyNumberFormat="1" applyFont="1"/>
    <xf numFmtId="166" fontId="1" fillId="0" borderId="0" xfId="1" applyFont="1" applyAlignment="1">
      <alignment wrapText="1"/>
    </xf>
    <xf numFmtId="0" fontId="1" fillId="0" borderId="0" xfId="0" applyFont="1" applyAlignment="1">
      <alignment horizontal="left"/>
    </xf>
    <xf numFmtId="0" fontId="21" fillId="0" borderId="0" xfId="0" applyFont="1" applyAlignment="1">
      <alignment horizontal="left" vertical="center" wrapText="1"/>
    </xf>
    <xf numFmtId="170" fontId="21" fillId="0" borderId="0" xfId="1" applyNumberFormat="1" applyFont="1" applyAlignment="1">
      <alignment horizontal="left" vertical="center" wrapText="1"/>
    </xf>
    <xf numFmtId="4" fontId="22" fillId="0" borderId="2" xfId="3" applyNumberFormat="1" applyFont="1" applyBorder="1" applyAlignment="1">
      <alignment horizontal="center" vertical="center"/>
    </xf>
    <xf numFmtId="0" fontId="19" fillId="3" borderId="2" xfId="0" applyFont="1" applyFill="1" applyBorder="1" applyAlignment="1">
      <alignment horizontal="center" vertical="center" wrapText="1"/>
    </xf>
    <xf numFmtId="0" fontId="8" fillId="3" borderId="2" xfId="0" applyFont="1" applyFill="1" applyBorder="1" applyAlignment="1">
      <alignment horizontal="center" vertical="center"/>
    </xf>
    <xf numFmtId="0" fontId="8" fillId="3" borderId="2" xfId="0" applyFont="1" applyFill="1" applyBorder="1" applyAlignment="1">
      <alignment horizontal="center" vertical="center" wrapText="1"/>
    </xf>
    <xf numFmtId="0" fontId="8" fillId="3" borderId="4" xfId="0" applyFont="1" applyFill="1" applyBorder="1" applyAlignment="1">
      <alignment horizontal="center" vertical="center" wrapText="1"/>
    </xf>
    <xf numFmtId="4" fontId="0" fillId="0" borderId="0" xfId="0" applyNumberFormat="1" applyAlignment="1">
      <alignment horizontal="center"/>
    </xf>
    <xf numFmtId="9" fontId="0" fillId="0" borderId="0" xfId="2" applyFont="1" applyAlignment="1">
      <alignment horizontal="center"/>
    </xf>
    <xf numFmtId="0" fontId="0" fillId="0" borderId="2" xfId="0" applyBorder="1" applyAlignment="1">
      <alignment horizontal="center"/>
    </xf>
    <xf numFmtId="0" fontId="0" fillId="0" borderId="2" xfId="0" applyBorder="1" applyAlignment="1">
      <alignment horizontal="center" vertical="center"/>
    </xf>
    <xf numFmtId="0" fontId="23" fillId="0" borderId="0" xfId="0" applyFont="1"/>
    <xf numFmtId="0" fontId="25" fillId="0" borderId="0" xfId="0" applyFont="1" applyAlignment="1">
      <alignment vertical="center"/>
    </xf>
    <xf numFmtId="0" fontId="13" fillId="0" borderId="0" xfId="0" applyFont="1"/>
    <xf numFmtId="173" fontId="17" fillId="0" borderId="0" xfId="0" applyNumberFormat="1" applyFont="1" applyAlignment="1">
      <alignment horizontal="left"/>
    </xf>
    <xf numFmtId="4" fontId="26" fillId="0" borderId="2" xfId="0" applyNumberFormat="1" applyFont="1" applyBorder="1" applyAlignment="1">
      <alignment horizontal="center" vertical="center"/>
    </xf>
    <xf numFmtId="169" fontId="1" fillId="0" borderId="0" xfId="2" applyNumberFormat="1" applyFont="1" applyAlignment="1">
      <alignment vertical="center"/>
    </xf>
    <xf numFmtId="166" fontId="1" fillId="0" borderId="0" xfId="1" applyFont="1"/>
    <xf numFmtId="166" fontId="4" fillId="0" borderId="0" xfId="1" applyFont="1"/>
    <xf numFmtId="171" fontId="9" fillId="0" borderId="2" xfId="0" applyNumberFormat="1" applyFont="1" applyBorder="1" applyAlignment="1">
      <alignment horizontal="center"/>
    </xf>
    <xf numFmtId="176" fontId="9" fillId="0" borderId="2" xfId="2" applyNumberFormat="1" applyFont="1" applyBorder="1" applyAlignment="1">
      <alignment horizontal="center"/>
    </xf>
    <xf numFmtId="0" fontId="27" fillId="0" borderId="0" xfId="0" applyFont="1"/>
    <xf numFmtId="4" fontId="1" fillId="0" borderId="0" xfId="0" applyNumberFormat="1" applyFont="1"/>
    <xf numFmtId="168" fontId="1" fillId="0" borderId="0" xfId="2" applyNumberFormat="1" applyFont="1"/>
    <xf numFmtId="10" fontId="1" fillId="0" borderId="0" xfId="0" applyNumberFormat="1" applyFont="1"/>
    <xf numFmtId="168" fontId="22" fillId="0" borderId="2" xfId="2" applyNumberFormat="1" applyFont="1" applyBorder="1" applyAlignment="1">
      <alignment horizontal="center" vertical="center"/>
    </xf>
    <xf numFmtId="168" fontId="22" fillId="0" borderId="2" xfId="2" applyNumberFormat="1" applyFont="1" applyFill="1" applyBorder="1" applyAlignment="1">
      <alignment horizontal="center" vertical="center"/>
    </xf>
    <xf numFmtId="172" fontId="1" fillId="0" borderId="2" xfId="1" applyNumberFormat="1" applyFont="1" applyBorder="1" applyAlignment="1">
      <alignment horizontal="center" vertical="center"/>
    </xf>
    <xf numFmtId="172" fontId="12" fillId="0" borderId="2" xfId="0" applyNumberFormat="1" applyFont="1" applyBorder="1" applyAlignment="1">
      <alignment horizontal="center" vertical="center"/>
    </xf>
    <xf numFmtId="172" fontId="1" fillId="0" borderId="0" xfId="1" applyNumberFormat="1" applyFont="1" applyBorder="1" applyAlignment="1">
      <alignment horizontal="center"/>
    </xf>
    <xf numFmtId="172" fontId="0" fillId="0" borderId="0" xfId="0" applyNumberFormat="1"/>
    <xf numFmtId="172" fontId="12" fillId="0" borderId="0" xfId="0" applyNumberFormat="1" applyFont="1" applyAlignment="1">
      <alignment horizontal="center" vertical="center"/>
    </xf>
    <xf numFmtId="3" fontId="1" fillId="0" borderId="2" xfId="0" applyNumberFormat="1" applyFont="1" applyBorder="1" applyAlignment="1">
      <alignment horizontal="center" vertical="center" wrapText="1"/>
    </xf>
    <xf numFmtId="168" fontId="9" fillId="0" borderId="2" xfId="2" applyNumberFormat="1" applyFont="1" applyFill="1" applyBorder="1" applyAlignment="1">
      <alignment horizontal="center" vertical="center" wrapText="1"/>
    </xf>
    <xf numFmtId="0" fontId="17" fillId="0" borderId="0" xfId="0" applyFont="1" applyAlignment="1">
      <alignment horizontal="left" vertical="center" wrapText="1"/>
    </xf>
    <xf numFmtId="172" fontId="31" fillId="0" borderId="2" xfId="0" applyNumberFormat="1" applyFont="1" applyBorder="1" applyAlignment="1">
      <alignment horizontal="center" vertical="center"/>
    </xf>
    <xf numFmtId="172" fontId="32" fillId="0" borderId="2" xfId="0" applyNumberFormat="1" applyFont="1" applyBorder="1" applyAlignment="1">
      <alignment horizontal="center" vertical="center"/>
    </xf>
    <xf numFmtId="168" fontId="32" fillId="0" borderId="2" xfId="2" applyNumberFormat="1" applyFont="1" applyBorder="1" applyAlignment="1">
      <alignment horizontal="center" vertical="center"/>
    </xf>
    <xf numFmtId="172" fontId="31" fillId="0" borderId="2" xfId="0" applyNumberFormat="1" applyFont="1" applyBorder="1" applyAlignment="1">
      <alignment horizontal="center"/>
    </xf>
    <xf numFmtId="172" fontId="32" fillId="0" borderId="2" xfId="0" applyNumberFormat="1" applyFont="1" applyBorder="1" applyAlignment="1">
      <alignment horizontal="center"/>
    </xf>
    <xf numFmtId="4" fontId="31" fillId="0" borderId="2" xfId="0" applyNumberFormat="1" applyFont="1" applyBorder="1" applyAlignment="1">
      <alignment horizontal="center"/>
    </xf>
    <xf numFmtId="175" fontId="32" fillId="0" borderId="2" xfId="0" applyNumberFormat="1" applyFont="1" applyBorder="1" applyAlignment="1">
      <alignment horizontal="center"/>
    </xf>
    <xf numFmtId="168" fontId="32" fillId="0" borderId="2" xfId="2" applyNumberFormat="1" applyFont="1" applyBorder="1" applyAlignment="1">
      <alignment horizontal="center"/>
    </xf>
    <xf numFmtId="175" fontId="32" fillId="0" borderId="2" xfId="1" applyNumberFormat="1" applyFont="1" applyBorder="1" applyAlignment="1">
      <alignment horizontal="center"/>
    </xf>
    <xf numFmtId="174" fontId="32" fillId="0" borderId="2" xfId="1" applyNumberFormat="1" applyFont="1" applyBorder="1" applyAlignment="1">
      <alignment horizontal="center"/>
    </xf>
    <xf numFmtId="166" fontId="33" fillId="0" borderId="0" xfId="1" applyFont="1" applyBorder="1" applyAlignment="1">
      <alignment horizontal="left"/>
    </xf>
    <xf numFmtId="0" fontId="33" fillId="0" borderId="0" xfId="0" applyFont="1" applyAlignment="1">
      <alignment horizontal="left"/>
    </xf>
    <xf numFmtId="0" fontId="31" fillId="0" borderId="0" xfId="0" applyFont="1" applyAlignment="1">
      <alignment horizontal="center" vertical="center"/>
    </xf>
    <xf numFmtId="166" fontId="35" fillId="0" borderId="7" xfId="1" applyFont="1" applyBorder="1" applyAlignment="1">
      <alignment horizontal="center"/>
    </xf>
    <xf numFmtId="172" fontId="22" fillId="0" borderId="2" xfId="0" applyNumberFormat="1" applyFont="1" applyBorder="1" applyAlignment="1">
      <alignment horizontal="center" vertical="center"/>
    </xf>
    <xf numFmtId="177" fontId="4" fillId="0" borderId="0" xfId="0" applyNumberFormat="1" applyFont="1"/>
    <xf numFmtId="0" fontId="36" fillId="0" borderId="0" xfId="0" applyFont="1"/>
    <xf numFmtId="166" fontId="36" fillId="0" borderId="0" xfId="1" applyFont="1"/>
    <xf numFmtId="164" fontId="37" fillId="0" borderId="0" xfId="0" applyNumberFormat="1" applyFont="1" applyAlignment="1">
      <alignment horizontal="left" vertical="center" wrapText="1"/>
    </xf>
    <xf numFmtId="0" fontId="0" fillId="0" borderId="0" xfId="0" applyAlignment="1">
      <alignment horizontal="center"/>
    </xf>
    <xf numFmtId="172" fontId="31" fillId="0" borderId="0" xfId="0" applyNumberFormat="1" applyFont="1" applyAlignment="1">
      <alignment horizontal="center" vertical="center"/>
    </xf>
    <xf numFmtId="172" fontId="32" fillId="0" borderId="0" xfId="0" applyNumberFormat="1" applyFont="1" applyAlignment="1">
      <alignment horizontal="center" vertical="center"/>
    </xf>
    <xf numFmtId="168" fontId="32" fillId="0" borderId="0" xfId="2" applyNumberFormat="1" applyFont="1" applyBorder="1" applyAlignment="1">
      <alignment horizontal="center" vertical="center"/>
    </xf>
    <xf numFmtId="172" fontId="31" fillId="0" borderId="0" xfId="0" applyNumberFormat="1" applyFont="1" applyAlignment="1">
      <alignment horizontal="center"/>
    </xf>
    <xf numFmtId="172" fontId="32" fillId="0" borderId="0" xfId="0" applyNumberFormat="1" applyFont="1" applyAlignment="1">
      <alignment horizontal="center"/>
    </xf>
    <xf numFmtId="166" fontId="35" fillId="0" borderId="0" xfId="1" applyFont="1" applyBorder="1" applyAlignment="1">
      <alignment horizontal="center"/>
    </xf>
    <xf numFmtId="172" fontId="1" fillId="0" borderId="0" xfId="1" applyNumberFormat="1" applyFont="1" applyFill="1" applyBorder="1" applyAlignment="1">
      <alignment horizontal="center" vertical="center"/>
    </xf>
    <xf numFmtId="172" fontId="9" fillId="0" borderId="0" xfId="1" applyNumberFormat="1" applyFont="1" applyFill="1" applyBorder="1" applyAlignment="1">
      <alignment horizontal="center" vertical="center"/>
    </xf>
    <xf numFmtId="172" fontId="13" fillId="0" borderId="0" xfId="1" applyNumberFormat="1" applyFont="1" applyFill="1" applyBorder="1" applyAlignment="1">
      <alignment horizontal="center" vertical="center"/>
    </xf>
    <xf numFmtId="0" fontId="13" fillId="0" borderId="0" xfId="0" applyFont="1" applyAlignment="1">
      <alignment horizontal="center" vertical="center"/>
    </xf>
    <xf numFmtId="0" fontId="13" fillId="0" borderId="0" xfId="0" applyFont="1" applyAlignment="1">
      <alignment horizontal="center" vertical="center" wrapText="1"/>
    </xf>
    <xf numFmtId="172" fontId="8" fillId="0" borderId="0" xfId="0" applyNumberFormat="1" applyFont="1" applyAlignment="1">
      <alignment horizontal="center" vertical="center"/>
    </xf>
    <xf numFmtId="4" fontId="0" fillId="0" borderId="0" xfId="0" applyNumberFormat="1"/>
    <xf numFmtId="166" fontId="0" fillId="0" borderId="0" xfId="1" applyFont="1" applyFill="1" applyBorder="1"/>
    <xf numFmtId="172" fontId="16" fillId="0" borderId="0" xfId="0" applyNumberFormat="1" applyFont="1" applyAlignment="1">
      <alignment horizontal="center" vertical="center"/>
    </xf>
    <xf numFmtId="179" fontId="17" fillId="0" borderId="0" xfId="1" applyNumberFormat="1" applyFont="1" applyBorder="1" applyAlignment="1">
      <alignment horizontal="left"/>
    </xf>
    <xf numFmtId="166" fontId="31" fillId="0" borderId="0" xfId="1" applyFont="1" applyAlignment="1">
      <alignment horizontal="center" vertical="center"/>
    </xf>
    <xf numFmtId="165" fontId="17" fillId="0" borderId="0" xfId="0" applyNumberFormat="1" applyFont="1" applyAlignment="1">
      <alignment horizontal="left"/>
    </xf>
    <xf numFmtId="172" fontId="23" fillId="0" borderId="0" xfId="0" applyNumberFormat="1" applyFont="1"/>
    <xf numFmtId="168" fontId="0" fillId="0" borderId="0" xfId="2" applyNumberFormat="1" applyFont="1"/>
    <xf numFmtId="177" fontId="0" fillId="0" borderId="0" xfId="1" applyNumberFormat="1" applyFont="1"/>
    <xf numFmtId="0" fontId="38" fillId="0" borderId="0" xfId="0" applyFont="1"/>
    <xf numFmtId="0" fontId="5" fillId="0" borderId="0" xfId="0" applyFont="1"/>
    <xf numFmtId="177" fontId="5" fillId="0" borderId="0" xfId="0" applyNumberFormat="1" applyFont="1"/>
    <xf numFmtId="164" fontId="7" fillId="0" borderId="2" xfId="0" applyNumberFormat="1" applyFont="1" applyBorder="1" applyAlignment="1">
      <alignment vertical="center"/>
    </xf>
    <xf numFmtId="43" fontId="5" fillId="0" borderId="0" xfId="0" applyNumberFormat="1" applyFont="1"/>
    <xf numFmtId="43" fontId="5" fillId="0" borderId="0" xfId="1" applyNumberFormat="1" applyFont="1" applyBorder="1" applyAlignment="1">
      <alignment horizontal="center"/>
    </xf>
    <xf numFmtId="0" fontId="39" fillId="0" borderId="0" xfId="0" applyFont="1"/>
    <xf numFmtId="0" fontId="5" fillId="0" borderId="0" xfId="0" applyFont="1" applyAlignment="1">
      <alignment horizontal="left" vertical="center" wrapText="1"/>
    </xf>
    <xf numFmtId="178" fontId="5" fillId="0" borderId="0" xfId="0" applyNumberFormat="1" applyFont="1"/>
    <xf numFmtId="164" fontId="7" fillId="2" borderId="0" xfId="0" applyNumberFormat="1" applyFont="1" applyFill="1" applyAlignment="1">
      <alignment vertical="center"/>
    </xf>
    <xf numFmtId="43" fontId="5" fillId="0" borderId="0" xfId="0" applyNumberFormat="1" applyFont="1" applyAlignment="1">
      <alignment vertical="center"/>
    </xf>
    <xf numFmtId="17" fontId="0" fillId="0" borderId="0" xfId="0" applyNumberFormat="1"/>
    <xf numFmtId="9" fontId="0" fillId="0" borderId="0" xfId="2" applyFont="1"/>
    <xf numFmtId="2" fontId="41" fillId="0" borderId="13" xfId="0" applyNumberFormat="1" applyFont="1" applyBorder="1" applyAlignment="1">
      <alignment horizontal="center"/>
    </xf>
    <xf numFmtId="4" fontId="41" fillId="0" borderId="13" xfId="0" applyNumberFormat="1" applyFont="1" applyBorder="1" applyAlignment="1">
      <alignment horizontal="center"/>
    </xf>
    <xf numFmtId="4" fontId="41" fillId="0" borderId="0" xfId="0" applyNumberFormat="1" applyFont="1" applyAlignment="1">
      <alignment horizontal="center"/>
    </xf>
    <xf numFmtId="2" fontId="0" fillId="0" borderId="0" xfId="0" applyNumberFormat="1"/>
    <xf numFmtId="172" fontId="42" fillId="0" borderId="2" xfId="0" applyNumberFormat="1" applyFont="1" applyBorder="1" applyAlignment="1">
      <alignment horizontal="center" vertical="center"/>
    </xf>
    <xf numFmtId="172" fontId="42" fillId="0" borderId="2" xfId="0" applyNumberFormat="1" applyFont="1" applyBorder="1" applyAlignment="1">
      <alignment horizontal="center"/>
    </xf>
    <xf numFmtId="180" fontId="0" fillId="0" borderId="0" xfId="0" applyNumberFormat="1"/>
    <xf numFmtId="165" fontId="10" fillId="0" borderId="0" xfId="0" applyNumberFormat="1" applyFont="1" applyAlignment="1">
      <alignment horizontal="left" vertical="center"/>
    </xf>
    <xf numFmtId="165" fontId="5" fillId="0" borderId="0" xfId="0" applyNumberFormat="1" applyFont="1" applyAlignment="1">
      <alignment vertical="center"/>
    </xf>
    <xf numFmtId="165" fontId="12" fillId="0" borderId="0" xfId="0" applyNumberFormat="1" applyFont="1" applyAlignment="1">
      <alignment vertical="center"/>
    </xf>
    <xf numFmtId="165" fontId="0" fillId="0" borderId="0" xfId="0" applyNumberFormat="1"/>
    <xf numFmtId="165" fontId="35" fillId="0" borderId="7" xfId="1" applyNumberFormat="1" applyFont="1" applyBorder="1" applyAlignment="1">
      <alignment horizontal="center"/>
    </xf>
    <xf numFmtId="165" fontId="17" fillId="0" borderId="0" xfId="0" applyNumberFormat="1" applyFont="1"/>
    <xf numFmtId="177" fontId="31" fillId="0" borderId="0" xfId="1" applyNumberFormat="1" applyFont="1" applyAlignment="1">
      <alignment horizontal="center" vertical="center"/>
    </xf>
    <xf numFmtId="177" fontId="32" fillId="0" borderId="0" xfId="1" applyNumberFormat="1" applyFont="1" applyAlignment="1">
      <alignment horizontal="center" vertical="center"/>
    </xf>
    <xf numFmtId="177" fontId="32" fillId="0" borderId="0" xfId="1" applyNumberFormat="1" applyFont="1" applyBorder="1" applyAlignment="1">
      <alignment horizontal="center" vertical="center"/>
    </xf>
    <xf numFmtId="9" fontId="1" fillId="0" borderId="0" xfId="2" applyFont="1"/>
    <xf numFmtId="0" fontId="44" fillId="0" borderId="0" xfId="0" applyFont="1"/>
    <xf numFmtId="0" fontId="48" fillId="0" borderId="18" xfId="0" applyFont="1" applyBorder="1"/>
    <xf numFmtId="181" fontId="48" fillId="0" borderId="2" xfId="0" applyNumberFormat="1" applyFont="1" applyBorder="1" applyAlignment="1">
      <alignment horizontal="right"/>
    </xf>
    <xf numFmtId="181" fontId="48" fillId="0" borderId="2" xfId="0" applyNumberFormat="1" applyFont="1" applyBorder="1"/>
    <xf numFmtId="0" fontId="49" fillId="0" borderId="2" xfId="0" applyFont="1" applyBorder="1" applyAlignment="1">
      <alignment horizontal="center"/>
    </xf>
    <xf numFmtId="182" fontId="49" fillId="0" borderId="2" xfId="0" applyNumberFormat="1" applyFont="1" applyBorder="1" applyAlignment="1">
      <alignment horizontal="center"/>
    </xf>
    <xf numFmtId="0" fontId="49" fillId="0" borderId="21" xfId="0" applyFont="1" applyBorder="1" applyAlignment="1">
      <alignment horizontal="center"/>
    </xf>
    <xf numFmtId="0" fontId="49" fillId="0" borderId="22" xfId="0" applyFont="1" applyBorder="1"/>
    <xf numFmtId="181" fontId="49" fillId="0" borderId="23" xfId="0" applyNumberFormat="1" applyFont="1" applyBorder="1"/>
    <xf numFmtId="4" fontId="49" fillId="0" borderId="23" xfId="0" applyNumberFormat="1" applyFont="1" applyBorder="1"/>
    <xf numFmtId="0" fontId="49" fillId="0" borderId="23" xfId="0" applyFont="1" applyBorder="1" applyAlignment="1">
      <alignment horizontal="center"/>
    </xf>
    <xf numFmtId="182" fontId="49" fillId="0" borderId="23" xfId="0" applyNumberFormat="1" applyFont="1" applyBorder="1" applyAlignment="1">
      <alignment horizontal="center"/>
    </xf>
    <xf numFmtId="1" fontId="49" fillId="0" borderId="23" xfId="0" applyNumberFormat="1" applyFont="1" applyBorder="1" applyAlignment="1">
      <alignment horizontal="center"/>
    </xf>
    <xf numFmtId="0" fontId="49" fillId="0" borderId="24" xfId="0" applyFont="1" applyBorder="1" applyAlignment="1">
      <alignment horizontal="center"/>
    </xf>
    <xf numFmtId="164" fontId="12" fillId="2" borderId="2" xfId="0" applyNumberFormat="1" applyFont="1" applyFill="1" applyBorder="1" applyAlignment="1">
      <alignment horizontal="center" vertical="center"/>
    </xf>
    <xf numFmtId="165" fontId="12" fillId="2" borderId="2" xfId="0" applyNumberFormat="1" applyFont="1" applyFill="1" applyBorder="1" applyAlignment="1">
      <alignment horizontal="center" vertical="center"/>
    </xf>
    <xf numFmtId="164" fontId="12" fillId="2" borderId="2" xfId="0" applyNumberFormat="1" applyFont="1" applyFill="1" applyBorder="1" applyAlignment="1">
      <alignment vertical="center"/>
    </xf>
    <xf numFmtId="166" fontId="5" fillId="2" borderId="2" xfId="1" applyFont="1" applyFill="1" applyBorder="1" applyAlignment="1">
      <alignment horizontal="center" vertical="center"/>
    </xf>
    <xf numFmtId="183" fontId="12" fillId="0" borderId="0" xfId="0" applyNumberFormat="1" applyFont="1" applyAlignment="1">
      <alignment horizontal="center" vertical="center"/>
    </xf>
    <xf numFmtId="166" fontId="5" fillId="2" borderId="2" xfId="1" applyFont="1" applyFill="1" applyBorder="1" applyAlignment="1">
      <alignment vertical="center"/>
    </xf>
    <xf numFmtId="9" fontId="1" fillId="0" borderId="0" xfId="0" applyNumberFormat="1" applyFont="1"/>
    <xf numFmtId="166" fontId="0" fillId="5" borderId="0" xfId="1" applyFont="1" applyFill="1"/>
    <xf numFmtId="0" fontId="0" fillId="5" borderId="0" xfId="0" applyFill="1"/>
    <xf numFmtId="0" fontId="52" fillId="0" borderId="0" xfId="0" applyFont="1"/>
    <xf numFmtId="0" fontId="53" fillId="0" borderId="0" xfId="0" applyFont="1" applyAlignment="1">
      <alignment horizontal="left" vertical="center" indent="1" readingOrder="1"/>
    </xf>
    <xf numFmtId="176" fontId="37" fillId="0" borderId="0" xfId="2" applyNumberFormat="1" applyFont="1" applyAlignment="1">
      <alignment horizontal="left" vertical="center" wrapText="1"/>
    </xf>
    <xf numFmtId="168" fontId="9" fillId="0" borderId="0" xfId="2" applyNumberFormat="1" applyFont="1" applyFill="1" applyBorder="1" applyAlignment="1">
      <alignment horizontal="left" vertical="center" wrapText="1"/>
    </xf>
    <xf numFmtId="167" fontId="12" fillId="0" borderId="2" xfId="0" applyNumberFormat="1" applyFont="1" applyBorder="1" applyAlignment="1">
      <alignment horizontal="center" vertical="center"/>
    </xf>
    <xf numFmtId="164" fontId="7" fillId="6" borderId="2" xfId="0" applyNumberFormat="1" applyFont="1" applyFill="1" applyBorder="1" applyAlignment="1">
      <alignment vertical="center"/>
    </xf>
    <xf numFmtId="164" fontId="55" fillId="0" borderId="0" xfId="0" applyNumberFormat="1" applyFont="1" applyAlignment="1">
      <alignment vertical="center"/>
    </xf>
    <xf numFmtId="0" fontId="8" fillId="7" borderId="2" xfId="0" applyFont="1" applyFill="1" applyBorder="1" applyAlignment="1">
      <alignment horizontal="center" vertical="center"/>
    </xf>
    <xf numFmtId="0" fontId="8" fillId="7" borderId="2" xfId="0" applyFont="1" applyFill="1" applyBorder="1" applyAlignment="1">
      <alignment horizontal="center" vertical="center" wrapText="1"/>
    </xf>
    <xf numFmtId="14" fontId="8" fillId="7" borderId="5" xfId="0" applyNumberFormat="1" applyFont="1" applyFill="1" applyBorder="1" applyAlignment="1">
      <alignment horizontal="center" vertical="center"/>
    </xf>
    <xf numFmtId="164" fontId="8" fillId="8" borderId="2" xfId="0" applyNumberFormat="1" applyFont="1" applyFill="1" applyBorder="1" applyAlignment="1">
      <alignment vertical="center"/>
    </xf>
    <xf numFmtId="165" fontId="8" fillId="8" borderId="2" xfId="0" applyNumberFormat="1" applyFont="1" applyFill="1" applyBorder="1" applyAlignment="1">
      <alignment horizontal="center" vertical="center"/>
    </xf>
    <xf numFmtId="10" fontId="8" fillId="8" borderId="2" xfId="2" applyNumberFormat="1" applyFont="1" applyFill="1" applyBorder="1" applyAlignment="1">
      <alignment horizontal="center" vertical="center"/>
    </xf>
    <xf numFmtId="164" fontId="19" fillId="8" borderId="2" xfId="0" applyNumberFormat="1" applyFont="1" applyFill="1" applyBorder="1" applyAlignment="1">
      <alignment horizontal="center" vertical="center" wrapText="1"/>
    </xf>
    <xf numFmtId="164" fontId="19" fillId="8" borderId="2" xfId="0" applyNumberFormat="1" applyFont="1" applyFill="1" applyBorder="1" applyAlignment="1">
      <alignment vertical="center" wrapText="1"/>
    </xf>
    <xf numFmtId="164" fontId="16" fillId="9" borderId="2" xfId="0" applyNumberFormat="1" applyFont="1" applyFill="1" applyBorder="1" applyAlignment="1">
      <alignment vertical="center"/>
    </xf>
    <xf numFmtId="165" fontId="9" fillId="9" borderId="2" xfId="0" applyNumberFormat="1" applyFont="1" applyFill="1" applyBorder="1" applyAlignment="1">
      <alignment horizontal="center" vertical="center"/>
    </xf>
    <xf numFmtId="164" fontId="20" fillId="9" borderId="2" xfId="0" applyNumberFormat="1" applyFont="1" applyFill="1" applyBorder="1" applyAlignment="1">
      <alignment horizontal="center" vertical="center" wrapText="1"/>
    </xf>
    <xf numFmtId="164" fontId="20" fillId="9" borderId="2" xfId="0" applyNumberFormat="1" applyFont="1" applyFill="1" applyBorder="1" applyAlignment="1">
      <alignment vertical="center" wrapText="1"/>
    </xf>
    <xf numFmtId="164" fontId="8" fillId="7" borderId="2" xfId="1" applyNumberFormat="1" applyFont="1" applyFill="1" applyBorder="1" applyAlignment="1">
      <alignment vertical="center"/>
    </xf>
    <xf numFmtId="0" fontId="13" fillId="7" borderId="2" xfId="0" applyFont="1" applyFill="1" applyBorder="1" applyAlignment="1">
      <alignment horizontal="center" vertical="center"/>
    </xf>
    <xf numFmtId="0" fontId="13" fillId="7" borderId="2" xfId="0" applyFont="1" applyFill="1" applyBorder="1" applyAlignment="1">
      <alignment horizontal="center" vertical="center" wrapText="1"/>
    </xf>
    <xf numFmtId="0" fontId="8" fillId="7" borderId="9" xfId="0" applyFont="1" applyFill="1" applyBorder="1" applyAlignment="1">
      <alignment horizontal="center" vertical="center"/>
    </xf>
    <xf numFmtId="172" fontId="8" fillId="8" borderId="2" xfId="0" applyNumberFormat="1" applyFont="1" applyFill="1" applyBorder="1" applyAlignment="1">
      <alignment horizontal="center" vertical="center"/>
    </xf>
    <xf numFmtId="172" fontId="13" fillId="8" borderId="2" xfId="1" applyNumberFormat="1" applyFont="1" applyFill="1" applyBorder="1" applyAlignment="1">
      <alignment horizontal="center" vertical="center"/>
    </xf>
    <xf numFmtId="172" fontId="9" fillId="9" borderId="2" xfId="1" applyNumberFormat="1" applyFont="1" applyFill="1" applyBorder="1" applyAlignment="1">
      <alignment horizontal="center" vertical="center"/>
    </xf>
    <xf numFmtId="172" fontId="16" fillId="9" borderId="2" xfId="0" applyNumberFormat="1" applyFont="1" applyFill="1" applyBorder="1" applyAlignment="1">
      <alignment horizontal="center" vertical="center"/>
    </xf>
    <xf numFmtId="164" fontId="56" fillId="0" borderId="0" xfId="0" applyNumberFormat="1" applyFont="1" applyAlignment="1">
      <alignment vertical="center"/>
    </xf>
    <xf numFmtId="166" fontId="6" fillId="8" borderId="0" xfId="0" applyNumberFormat="1" applyFont="1" applyFill="1" applyAlignment="1">
      <alignment horizontal="center" vertical="center"/>
    </xf>
    <xf numFmtId="0" fontId="6" fillId="7" borderId="0" xfId="0" applyFont="1" applyFill="1" applyAlignment="1">
      <alignment horizontal="center"/>
    </xf>
    <xf numFmtId="166" fontId="8" fillId="8" borderId="0" xfId="0" applyNumberFormat="1" applyFont="1" applyFill="1" applyAlignment="1">
      <alignment horizontal="center" vertical="center"/>
    </xf>
    <xf numFmtId="0" fontId="8" fillId="7" borderId="0" xfId="0" applyFont="1" applyFill="1" applyAlignment="1">
      <alignment horizontal="center"/>
    </xf>
    <xf numFmtId="17" fontId="19" fillId="8" borderId="2" xfId="0" applyNumberFormat="1" applyFont="1" applyFill="1" applyBorder="1" applyAlignment="1">
      <alignment horizontal="center" vertical="center"/>
    </xf>
    <xf numFmtId="0" fontId="19" fillId="7" borderId="2" xfId="0" applyFont="1" applyFill="1" applyBorder="1" applyAlignment="1">
      <alignment horizontal="left" vertical="center" wrapText="1"/>
    </xf>
    <xf numFmtId="4" fontId="22" fillId="9" borderId="2" xfId="0" applyNumberFormat="1" applyFont="1" applyFill="1" applyBorder="1" applyAlignment="1">
      <alignment horizontal="center" vertical="center"/>
    </xf>
    <xf numFmtId="10" fontId="22" fillId="9" borderId="2" xfId="2" applyNumberFormat="1" applyFont="1" applyFill="1" applyBorder="1" applyAlignment="1">
      <alignment horizontal="center" vertical="center"/>
    </xf>
    <xf numFmtId="0" fontId="8" fillId="8" borderId="2" xfId="0" applyFont="1" applyFill="1" applyBorder="1" applyAlignment="1">
      <alignment horizontal="center" vertical="center" wrapText="1"/>
    </xf>
    <xf numFmtId="177" fontId="0" fillId="8" borderId="0" xfId="1" applyNumberFormat="1" applyFont="1" applyFill="1" applyAlignment="1">
      <alignment horizontal="center"/>
    </xf>
    <xf numFmtId="177" fontId="31" fillId="8" borderId="0" xfId="1" applyNumberFormat="1" applyFont="1" applyFill="1" applyAlignment="1">
      <alignment horizontal="center" vertical="center"/>
    </xf>
    <xf numFmtId="172" fontId="31" fillId="8" borderId="0" xfId="0" applyNumberFormat="1" applyFont="1" applyFill="1" applyAlignment="1">
      <alignment horizontal="center"/>
    </xf>
    <xf numFmtId="0" fontId="53" fillId="0" borderId="0" xfId="0" applyFont="1" applyAlignment="1">
      <alignment horizontal="left" vertical="center" readingOrder="1"/>
    </xf>
    <xf numFmtId="0" fontId="56" fillId="0" borderId="0" xfId="0" applyFont="1" applyAlignment="1">
      <alignment horizontal="left" vertical="center" readingOrder="1"/>
    </xf>
    <xf numFmtId="0" fontId="56" fillId="0" borderId="0" xfId="0" applyFont="1" applyAlignment="1">
      <alignment horizontal="left" vertical="center" indent="1" readingOrder="1"/>
    </xf>
    <xf numFmtId="164" fontId="10" fillId="0" borderId="0" xfId="0" applyNumberFormat="1" applyFont="1" applyAlignment="1">
      <alignment horizontal="left" vertical="center"/>
    </xf>
    <xf numFmtId="164" fontId="8" fillId="8" borderId="8" xfId="0" applyNumberFormat="1" applyFont="1" applyFill="1" applyBorder="1" applyAlignment="1">
      <alignment horizontal="center" vertical="center" wrapText="1"/>
    </xf>
    <xf numFmtId="164" fontId="8" fillId="8" borderId="6" xfId="0" applyNumberFormat="1" applyFont="1" applyFill="1" applyBorder="1" applyAlignment="1">
      <alignment horizontal="center" vertical="center" wrapText="1"/>
    </xf>
    <xf numFmtId="164" fontId="8" fillId="8" borderId="10" xfId="0" applyNumberFormat="1" applyFont="1" applyFill="1" applyBorder="1" applyAlignment="1">
      <alignment horizontal="center" vertical="center" wrapText="1"/>
    </xf>
    <xf numFmtId="164" fontId="8" fillId="8" borderId="11" xfId="0" applyNumberFormat="1" applyFont="1" applyFill="1" applyBorder="1" applyAlignment="1">
      <alignment horizontal="center" vertical="center" wrapText="1"/>
    </xf>
    <xf numFmtId="164" fontId="8" fillId="8" borderId="0" xfId="0" applyNumberFormat="1" applyFont="1" applyFill="1" applyAlignment="1">
      <alignment horizontal="center" vertical="center" wrapText="1"/>
    </xf>
    <xf numFmtId="164" fontId="8" fillId="8" borderId="12" xfId="0" applyNumberFormat="1" applyFont="1" applyFill="1" applyBorder="1" applyAlignment="1">
      <alignment horizontal="center" vertical="center" wrapText="1"/>
    </xf>
    <xf numFmtId="0" fontId="17" fillId="0" borderId="0" xfId="0" applyFont="1" applyAlignment="1">
      <alignment horizontal="left"/>
    </xf>
    <xf numFmtId="0" fontId="8" fillId="7" borderId="2" xfId="0" applyFont="1" applyFill="1" applyBorder="1" applyAlignment="1">
      <alignment horizontal="center" vertical="center"/>
    </xf>
    <xf numFmtId="0" fontId="8" fillId="7" borderId="2" xfId="0" applyFont="1" applyFill="1" applyBorder="1" applyAlignment="1">
      <alignment horizontal="center" vertical="center" wrapText="1"/>
    </xf>
    <xf numFmtId="164" fontId="8" fillId="7" borderId="1" xfId="0" applyNumberFormat="1" applyFont="1" applyFill="1" applyBorder="1" applyAlignment="1">
      <alignment horizontal="center" vertical="center" wrapText="1"/>
    </xf>
    <xf numFmtId="164" fontId="8" fillId="7" borderId="3" xfId="0" applyNumberFormat="1" applyFont="1" applyFill="1" applyBorder="1" applyAlignment="1">
      <alignment horizontal="center" vertical="center" wrapText="1"/>
    </xf>
    <xf numFmtId="164" fontId="8" fillId="7" borderId="5" xfId="0" applyNumberFormat="1" applyFont="1" applyFill="1" applyBorder="1" applyAlignment="1">
      <alignment horizontal="center" vertical="center" wrapText="1"/>
    </xf>
    <xf numFmtId="0" fontId="8" fillId="7" borderId="1" xfId="0" applyFont="1" applyFill="1" applyBorder="1" applyAlignment="1">
      <alignment horizontal="center" vertical="center" wrapText="1"/>
    </xf>
    <xf numFmtId="0" fontId="8" fillId="7" borderId="3" xfId="0" applyFont="1" applyFill="1" applyBorder="1" applyAlignment="1">
      <alignment horizontal="center" vertical="center" wrapText="1"/>
    </xf>
    <xf numFmtId="165" fontId="8" fillId="7" borderId="1" xfId="0" applyNumberFormat="1" applyFont="1" applyFill="1" applyBorder="1" applyAlignment="1">
      <alignment horizontal="center" vertical="center" wrapText="1"/>
    </xf>
    <xf numFmtId="165" fontId="8" fillId="7" borderId="3" xfId="0" applyNumberFormat="1" applyFont="1" applyFill="1" applyBorder="1" applyAlignment="1">
      <alignment horizontal="center" vertical="center" wrapText="1"/>
    </xf>
    <xf numFmtId="164" fontId="21" fillId="0" borderId="0" xfId="0" applyNumberFormat="1" applyFont="1" applyAlignment="1">
      <alignment horizontal="left" vertical="center"/>
    </xf>
    <xf numFmtId="164" fontId="6" fillId="7" borderId="1" xfId="0" applyNumberFormat="1" applyFont="1" applyFill="1" applyBorder="1" applyAlignment="1">
      <alignment horizontal="center" vertical="center" wrapText="1"/>
    </xf>
    <xf numFmtId="164" fontId="6" fillId="7" borderId="3" xfId="0" applyNumberFormat="1" applyFont="1" applyFill="1" applyBorder="1" applyAlignment="1">
      <alignment horizontal="center" vertical="center" wrapText="1"/>
    </xf>
    <xf numFmtId="164" fontId="6" fillId="8" borderId="6" xfId="0" applyNumberFormat="1" applyFont="1" applyFill="1" applyBorder="1" applyAlignment="1">
      <alignment horizontal="center" vertical="center"/>
    </xf>
    <xf numFmtId="164" fontId="6" fillId="7" borderId="1" xfId="0" applyNumberFormat="1" applyFont="1" applyFill="1" applyBorder="1" applyAlignment="1">
      <alignment horizontal="center" vertical="center"/>
    </xf>
    <xf numFmtId="164" fontId="6" fillId="7" borderId="3" xfId="0" applyNumberFormat="1" applyFont="1" applyFill="1" applyBorder="1" applyAlignment="1">
      <alignment horizontal="center" vertical="center"/>
    </xf>
    <xf numFmtId="0" fontId="5" fillId="0" borderId="0" xfId="0" applyFont="1" applyAlignment="1">
      <alignment horizontal="left" vertical="center" wrapText="1"/>
    </xf>
    <xf numFmtId="0" fontId="6" fillId="8" borderId="0" xfId="0" applyFont="1" applyFill="1" applyAlignment="1">
      <alignment horizontal="center" vertical="center"/>
    </xf>
    <xf numFmtId="164" fontId="6" fillId="8" borderId="2" xfId="0" applyNumberFormat="1" applyFont="1" applyFill="1" applyBorder="1" applyAlignment="1">
      <alignment horizontal="center" vertical="center"/>
    </xf>
    <xf numFmtId="0" fontId="8" fillId="8" borderId="0" xfId="0" applyFont="1" applyFill="1" applyAlignment="1">
      <alignment horizontal="center" vertical="center"/>
    </xf>
    <xf numFmtId="0" fontId="17" fillId="0" borderId="0" xfId="0" applyFont="1" applyAlignment="1">
      <alignment horizontal="left" vertical="center" wrapText="1"/>
    </xf>
    <xf numFmtId="164" fontId="8" fillId="7" borderId="1" xfId="0" applyNumberFormat="1" applyFont="1" applyFill="1" applyBorder="1" applyAlignment="1">
      <alignment horizontal="center" vertical="center"/>
    </xf>
    <xf numFmtId="164" fontId="8" fillId="7" borderId="3"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xf>
    <xf numFmtId="164" fontId="6" fillId="4" borderId="3" xfId="0" applyNumberFormat="1" applyFont="1" applyFill="1" applyBorder="1" applyAlignment="1">
      <alignment horizontal="center" vertical="center"/>
    </xf>
    <xf numFmtId="164" fontId="6" fillId="4" borderId="1" xfId="0" applyNumberFormat="1" applyFont="1" applyFill="1" applyBorder="1" applyAlignment="1">
      <alignment horizontal="center" vertical="center" wrapText="1"/>
    </xf>
    <xf numFmtId="164" fontId="6" fillId="4" borderId="3" xfId="0" applyNumberFormat="1" applyFont="1" applyFill="1" applyBorder="1" applyAlignment="1">
      <alignment horizontal="center" vertical="center" wrapText="1"/>
    </xf>
    <xf numFmtId="164" fontId="8" fillId="4" borderId="1" xfId="0" applyNumberFormat="1" applyFont="1" applyFill="1" applyBorder="1" applyAlignment="1">
      <alignment horizontal="center" vertical="center" wrapText="1"/>
    </xf>
    <xf numFmtId="164" fontId="8" fillId="4" borderId="3" xfId="0" applyNumberFormat="1" applyFont="1" applyFill="1" applyBorder="1" applyAlignment="1">
      <alignment horizontal="center" vertical="center" wrapText="1"/>
    </xf>
    <xf numFmtId="0" fontId="24" fillId="0" borderId="0" xfId="0" applyFont="1" applyAlignment="1">
      <alignment horizontal="center" vertical="center"/>
    </xf>
    <xf numFmtId="0" fontId="8" fillId="3" borderId="2" xfId="0" applyFont="1" applyFill="1" applyBorder="1" applyAlignment="1">
      <alignment horizontal="center" vertical="center" wrapText="1"/>
    </xf>
    <xf numFmtId="0" fontId="8" fillId="8" borderId="2" xfId="0" applyFont="1" applyFill="1" applyBorder="1" applyAlignment="1">
      <alignment horizontal="center" vertical="center" wrapText="1"/>
    </xf>
    <xf numFmtId="0" fontId="9" fillId="0" borderId="2" xfId="0" applyFont="1" applyBorder="1" applyAlignment="1">
      <alignment horizontal="left" vertical="center" wrapText="1"/>
    </xf>
    <xf numFmtId="164" fontId="43" fillId="0" borderId="0" xfId="0" applyNumberFormat="1" applyFont="1" applyAlignment="1">
      <alignment horizontal="left" vertical="center"/>
    </xf>
    <xf numFmtId="0" fontId="45" fillId="7" borderId="14" xfId="0" applyFont="1" applyFill="1" applyBorder="1" applyAlignment="1">
      <alignment horizontal="center" vertical="center"/>
    </xf>
    <xf numFmtId="0" fontId="45" fillId="7" borderId="18" xfId="0" applyFont="1" applyFill="1" applyBorder="1" applyAlignment="1">
      <alignment horizontal="center" vertical="center"/>
    </xf>
    <xf numFmtId="0" fontId="46" fillId="7" borderId="15" xfId="0" applyFont="1" applyFill="1" applyBorder="1" applyAlignment="1">
      <alignment horizontal="center" vertical="center" wrapText="1"/>
    </xf>
    <xf numFmtId="0" fontId="46" fillId="7" borderId="2" xfId="0" applyFont="1" applyFill="1" applyBorder="1" applyAlignment="1">
      <alignment horizontal="center" vertical="center" wrapText="1"/>
    </xf>
    <xf numFmtId="0" fontId="46" fillId="7" borderId="16" xfId="0" applyFont="1" applyFill="1" applyBorder="1" applyAlignment="1">
      <alignment horizontal="center" vertical="center" wrapText="1"/>
    </xf>
    <xf numFmtId="0" fontId="47" fillId="7" borderId="3" xfId="0" applyFont="1" applyFill="1" applyBorder="1" applyAlignment="1">
      <alignment horizontal="center" vertical="center" wrapText="1"/>
    </xf>
    <xf numFmtId="0" fontId="47" fillId="7" borderId="5" xfId="0" applyFont="1" applyFill="1" applyBorder="1" applyAlignment="1">
      <alignment horizontal="center" vertical="center" wrapText="1"/>
    </xf>
    <xf numFmtId="0" fontId="46" fillId="7" borderId="3" xfId="0" applyFont="1" applyFill="1" applyBorder="1" applyAlignment="1">
      <alignment horizontal="center" vertical="center" wrapText="1"/>
    </xf>
    <xf numFmtId="0" fontId="46" fillId="7" borderId="5" xfId="0" applyFont="1" applyFill="1" applyBorder="1" applyAlignment="1">
      <alignment horizontal="center" vertical="center" wrapText="1"/>
    </xf>
    <xf numFmtId="0" fontId="47" fillId="7" borderId="16" xfId="0" applyFont="1" applyFill="1" applyBorder="1" applyAlignment="1">
      <alignment horizontal="center" vertical="center" wrapText="1"/>
    </xf>
    <xf numFmtId="0" fontId="47" fillId="7" borderId="17" xfId="0" applyFont="1" applyFill="1" applyBorder="1" applyAlignment="1">
      <alignment horizontal="center" vertical="center" wrapText="1"/>
    </xf>
    <xf numFmtId="0" fontId="46" fillId="7" borderId="1" xfId="0" applyFont="1" applyFill="1" applyBorder="1" applyAlignment="1">
      <alignment horizontal="center" vertical="center" wrapText="1"/>
    </xf>
    <xf numFmtId="0" fontId="46" fillId="7" borderId="19" xfId="0" applyFont="1" applyFill="1" applyBorder="1" applyAlignment="1">
      <alignment horizontal="center" vertical="center" wrapText="1"/>
    </xf>
    <xf numFmtId="0" fontId="47" fillId="7" borderId="20" xfId="0" applyFont="1" applyFill="1" applyBorder="1" applyAlignment="1">
      <alignment horizontal="center" vertical="center" wrapText="1"/>
    </xf>
    <xf numFmtId="0" fontId="21" fillId="0" borderId="0" xfId="0" applyFont="1" applyAlignment="1">
      <alignment horizontal="left" vertical="center" wrapText="1"/>
    </xf>
    <xf numFmtId="176" fontId="9" fillId="0" borderId="2" xfId="2" applyNumberFormat="1" applyFont="1" applyFill="1" applyBorder="1" applyAlignment="1">
      <alignment horizontal="center" vertical="center" wrapText="1"/>
    </xf>
  </cellXfs>
  <cellStyles count="6">
    <cellStyle name="Millares" xfId="1" builtinId="3"/>
    <cellStyle name="Millares 10" xfId="3" xr:uid="{00000000-0005-0000-0000-000001000000}"/>
    <cellStyle name="Millares 8" xfId="5" xr:uid="{00000000-0005-0000-0000-000002000000}"/>
    <cellStyle name="Normal" xfId="0" builtinId="0"/>
    <cellStyle name="Normal 3" xfId="4" xr:uid="{00000000-0005-0000-0000-000004000000}"/>
    <cellStyle name="Porcentaje" xfId="2" builtinId="5"/>
  </cellStyles>
  <dxfs count="0"/>
  <tableStyles count="0" defaultTableStyle="TableStyleMedium2" defaultPivotStyle="PivotStyleLight16"/>
  <colors>
    <mruColors>
      <color rgb="FF000F9F"/>
      <color rgb="FFC8A977"/>
      <color rgb="FF3CB4E5"/>
      <color rgb="FFFFFFFF"/>
      <color rgb="FFBC2400"/>
      <color rgb="FF000099"/>
      <color rgb="FF0B1C3A"/>
      <color rgb="FF375818"/>
      <color rgb="FF031434"/>
      <color rgb="FF910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9.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rgbClr val="3CB4E5"/>
            </a:solidFill>
            <a:ln w="9525" cap="flat" cmpd="sng" algn="ctr">
              <a:solidFill>
                <a:schemeClr val="accent1">
                  <a:shade val="95000"/>
                </a:schemeClr>
              </a:solidFill>
              <a:round/>
            </a:ln>
            <a:effectLst>
              <a:outerShdw blurRad="50800" dist="38100" dir="2700000" algn="tl" rotWithShape="0">
                <a:prstClr val="black">
                  <a:alpha val="40000"/>
                </a:prstClr>
              </a:outerShdw>
            </a:effectLst>
          </c:spPr>
          <c:invertIfNegative val="0"/>
          <c:dLbls>
            <c:dLbl>
              <c:idx val="0"/>
              <c:tx>
                <c:rich>
                  <a:bodyPr/>
                  <a:lstStyle/>
                  <a:p>
                    <a:fld id="{AD93BDBF-AB46-4D1C-BDAA-5642D92DCF0C}"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351C-4B65-8868-D98EA4DEDC88}"/>
                </c:ext>
              </c:extLst>
            </c:dLbl>
            <c:dLbl>
              <c:idx val="1"/>
              <c:tx>
                <c:rich>
                  <a:bodyPr/>
                  <a:lstStyle/>
                  <a:p>
                    <a:fld id="{7718B5C3-BD77-43D1-93A8-F6B2780BFE5B}"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351C-4B65-8868-D98EA4DEDC88}"/>
                </c:ext>
              </c:extLst>
            </c:dLbl>
            <c:dLbl>
              <c:idx val="2"/>
              <c:tx>
                <c:rich>
                  <a:bodyPr/>
                  <a:lstStyle/>
                  <a:p>
                    <a:fld id="{C676AB6E-0E80-44C2-A96A-AFD1B9FF284C}"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351C-4B65-8868-D98EA4DEDC88}"/>
                </c:ext>
              </c:extLst>
            </c:dLbl>
            <c:dLbl>
              <c:idx val="3"/>
              <c:tx>
                <c:rich>
                  <a:bodyPr/>
                  <a:lstStyle/>
                  <a:p>
                    <a:fld id="{5467AEC7-CE6F-4D9F-B038-03FAB0CDA49C}"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351C-4B65-8868-D98EA4DEDC88}"/>
                </c:ext>
              </c:extLst>
            </c:dLbl>
            <c:dLbl>
              <c:idx val="4"/>
              <c:tx>
                <c:rich>
                  <a:bodyPr/>
                  <a:lstStyle/>
                  <a:p>
                    <a:fld id="{AFBF61C7-DFC5-4CAF-BFA4-1A7F1E93679A}"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351C-4B65-8868-D98EA4DEDC88}"/>
                </c:ext>
              </c:extLst>
            </c:dLbl>
            <c:dLbl>
              <c:idx val="5"/>
              <c:tx>
                <c:rich>
                  <a:bodyPr/>
                  <a:lstStyle/>
                  <a:p>
                    <a:fld id="{59B44CEB-6D09-4C52-BCA0-BC0237A20CFD}"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351C-4B65-8868-D98EA4DEDC88}"/>
                </c:ext>
              </c:extLst>
            </c:dLbl>
            <c:dLbl>
              <c:idx val="6"/>
              <c:tx>
                <c:rich>
                  <a:bodyPr/>
                  <a:lstStyle/>
                  <a:p>
                    <a:fld id="{41630338-073E-4309-8335-A91080D7EC65}"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351C-4B65-8868-D98EA4DEDC88}"/>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1200" b="1" i="0" u="none" strike="noStrike" kern="1200" baseline="0">
                    <a:solidFill>
                      <a:srgbClr val="3CB4E5"/>
                    </a:solidFill>
                    <a:latin typeface="Arial Narrow" panose="020B0606020202030204" pitchFamily="34" charset="0"/>
                    <a:ea typeface="+mn-ea"/>
                    <a:cs typeface="+mn-cs"/>
                  </a:defRPr>
                </a:pPr>
                <a:endParaRPr lang="es-AR"/>
              </a:p>
            </c:txPr>
            <c:dLblPos val="outEnd"/>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a:solidFill>
                        <a:schemeClr val="tx1">
                          <a:lumMod val="35000"/>
                          <a:lumOff val="65000"/>
                        </a:schemeClr>
                      </a:solidFill>
                    </a:ln>
                    <a:effectLst/>
                  </c:spPr>
                </c15:leaderLines>
              </c:ext>
            </c:extLst>
          </c:dLbls>
          <c:cat>
            <c:strRef>
              <c:extLst>
                <c:ext xmlns:c15="http://schemas.microsoft.com/office/drawing/2012/chart" uri="{02D57815-91ED-43cb-92C2-25804820EDAC}">
                  <c15:fullRef>
                    <c15:sqref>'Base Graf'!$A$7:$A$14</c15:sqref>
                  </c15:fullRef>
                </c:ext>
              </c:extLst>
              <c:f>'Base Graf'!$A$8:$A$14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Graf'!$B$7:$B$14</c15:sqref>
                  </c15:fullRef>
                </c:ext>
              </c:extLst>
              <c:f>'Base Graf'!$B$8:$B$14</c:f>
              <c:numCache>
                <c:formatCode>#,##0.0</c:formatCode>
                <c:ptCount val="7"/>
                <c:pt idx="0">
                  <c:v>42629.947316785379</c:v>
                </c:pt>
                <c:pt idx="1">
                  <c:v>52471.76511541233</c:v>
                </c:pt>
                <c:pt idx="2">
                  <c:v>21508.421514320056</c:v>
                </c:pt>
                <c:pt idx="3">
                  <c:v>9832.0409610133393</c:v>
                </c:pt>
                <c:pt idx="4">
                  <c:v>1035.8269998430394</c:v>
                </c:pt>
                <c:pt idx="5">
                  <c:v>995.58043338443474</c:v>
                </c:pt>
                <c:pt idx="6">
                  <c:v>730.91341157012289</c:v>
                </c:pt>
              </c:numCache>
            </c:numRef>
          </c:val>
          <c:extLst>
            <c:ext xmlns:c15="http://schemas.microsoft.com/office/drawing/2012/chart" uri="{02D57815-91ED-43cb-92C2-25804820EDAC}">
              <c15:datalabelsRange>
                <c15:f>'Base Graf'!$BJ$58:$BJ$65</c15:f>
                <c15:dlblRangeCache>
                  <c:ptCount val="8"/>
                  <c:pt idx="0">
                    <c:v>57.379,1</c:v>
                  </c:pt>
                  <c:pt idx="1">
                    <c:v>42.629,9</c:v>
                  </c:pt>
                  <c:pt idx="2">
                    <c:v>52.471,8</c:v>
                  </c:pt>
                  <c:pt idx="3">
                    <c:v>21.508,4</c:v>
                  </c:pt>
                  <c:pt idx="4">
                    <c:v>9.832,0</c:v>
                  </c:pt>
                  <c:pt idx="5">
                    <c:v>1.035,8</c:v>
                  </c:pt>
                  <c:pt idx="6">
                    <c:v>995,6</c:v>
                  </c:pt>
                  <c:pt idx="7">
                    <c:v>730,9</c:v>
                  </c:pt>
                </c15:dlblRangeCache>
              </c15:datalabelsRange>
            </c:ext>
            <c:ext xmlns:c16="http://schemas.microsoft.com/office/drawing/2014/chart" uri="{C3380CC4-5D6E-409C-BE32-E72D297353CC}">
              <c16:uniqueId val="{00000000-878D-47D6-B4CE-04C99EEB5BB2}"/>
            </c:ext>
          </c:extLst>
        </c:ser>
        <c:dLbls>
          <c:showLegendKey val="0"/>
          <c:showVal val="0"/>
          <c:showCatName val="0"/>
          <c:showSerName val="0"/>
          <c:showPercent val="0"/>
          <c:showBubbleSize val="0"/>
        </c:dLbls>
        <c:gapWidth val="100"/>
        <c:overlap val="-24"/>
        <c:axId val="-303978256"/>
        <c:axId val="-303972272"/>
      </c:barChart>
      <c:catAx>
        <c:axId val="-30397825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303972272"/>
        <c:crosses val="autoZero"/>
        <c:auto val="1"/>
        <c:lblAlgn val="ctr"/>
        <c:lblOffset val="100"/>
        <c:noMultiLvlLbl val="0"/>
      </c:catAx>
      <c:valAx>
        <c:axId val="-303972272"/>
        <c:scaling>
          <c:orientation val="minMax"/>
        </c:scaling>
        <c:delete val="1"/>
        <c:axPos val="l"/>
        <c:numFmt formatCode="#,##0.0" sourceLinked="1"/>
        <c:majorTickMark val="none"/>
        <c:minorTickMark val="none"/>
        <c:tickLblPos val="nextTo"/>
        <c:crossAx val="-303978256"/>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rgbClr val="000F9F"/>
            </a:solidFill>
            <a:ln w="9525" cap="flat" cmpd="sng" algn="ctr">
              <a:solidFill>
                <a:schemeClr val="accent1">
                  <a:shade val="95000"/>
                </a:schemeClr>
              </a:solidFill>
              <a:round/>
            </a:ln>
            <a:effectLst>
              <a:outerShdw blurRad="50800" dist="38100" dir="2700000" algn="tl" rotWithShape="0">
                <a:prstClr val="black">
                  <a:alpha val="40000"/>
                </a:prstClr>
              </a:outerShdw>
            </a:effectLst>
          </c:spPr>
          <c:invertIfNegative val="0"/>
          <c:dLbls>
            <c:dLbl>
              <c:idx val="0"/>
              <c:tx>
                <c:rich>
                  <a:bodyPr/>
                  <a:lstStyle/>
                  <a:p>
                    <a:fld id="{26015E42-A3A6-4E70-A589-77FFB71D0DF0}"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0C0B-4228-9EEA-87911CF39C82}"/>
                </c:ext>
              </c:extLst>
            </c:dLbl>
            <c:dLbl>
              <c:idx val="1"/>
              <c:tx>
                <c:rich>
                  <a:bodyPr/>
                  <a:lstStyle/>
                  <a:p>
                    <a:fld id="{F4B58F5D-684C-4C25-8A99-A5A9436C7F75}"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0C0B-4228-9EEA-87911CF39C82}"/>
                </c:ext>
              </c:extLst>
            </c:dLbl>
            <c:dLbl>
              <c:idx val="2"/>
              <c:tx>
                <c:rich>
                  <a:bodyPr/>
                  <a:lstStyle/>
                  <a:p>
                    <a:fld id="{990B4ED8-2BD7-4789-B3C5-0607D30EF3BB}"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0C0B-4228-9EEA-87911CF39C82}"/>
                </c:ext>
              </c:extLst>
            </c:dLbl>
            <c:dLbl>
              <c:idx val="3"/>
              <c:tx>
                <c:rich>
                  <a:bodyPr/>
                  <a:lstStyle/>
                  <a:p>
                    <a:fld id="{9141B571-75C1-4988-BB1C-42D4D037B4E3}"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0C0B-4228-9EEA-87911CF39C82}"/>
                </c:ext>
              </c:extLst>
            </c:dLbl>
            <c:dLbl>
              <c:idx val="4"/>
              <c:tx>
                <c:rich>
                  <a:bodyPr/>
                  <a:lstStyle/>
                  <a:p>
                    <a:fld id="{088800FE-5429-460F-881A-93AC6D6F71E4}"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0C0B-4228-9EEA-87911CF39C82}"/>
                </c:ext>
              </c:extLst>
            </c:dLbl>
            <c:dLbl>
              <c:idx val="5"/>
              <c:tx>
                <c:rich>
                  <a:bodyPr/>
                  <a:lstStyle/>
                  <a:p>
                    <a:fld id="{93D374F5-EB17-4AD3-AC7A-64557186ECB3}"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0C0B-4228-9EEA-87911CF39C82}"/>
                </c:ext>
              </c:extLst>
            </c:dLbl>
            <c:dLbl>
              <c:idx val="6"/>
              <c:tx>
                <c:rich>
                  <a:bodyPr/>
                  <a:lstStyle/>
                  <a:p>
                    <a:fld id="{533D1917-A880-4C4C-BC57-D225BAED2A9F}" type="CELLRANGE">
                      <a:rPr lang="es-AR"/>
                      <a:pPr/>
                      <a:t>[CELLRANGE]</a:t>
                    </a:fld>
                    <a:endParaRPr lang="es-AR"/>
                  </a:p>
                </c:rich>
              </c:tx>
              <c:dLblPos val="outEnd"/>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0C0B-4228-9EEA-87911CF39C82}"/>
                </c:ext>
              </c:extLst>
            </c:dLbl>
            <c:numFmt formatCode="#,##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000F9F"/>
                    </a:solidFill>
                    <a:latin typeface="Arial Narrow" panose="020B0606020202030204" pitchFamily="34" charset="0"/>
                    <a:ea typeface="+mn-ea"/>
                    <a:cs typeface="+mn-cs"/>
                  </a:defRPr>
                </a:pPr>
                <a:endParaRPr lang="es-AR"/>
              </a:p>
            </c:txPr>
            <c:dLblPos val="outEnd"/>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a:solidFill>
                        <a:schemeClr val="tx1">
                          <a:lumMod val="35000"/>
                          <a:lumOff val="65000"/>
                        </a:schemeClr>
                      </a:solidFill>
                    </a:ln>
                    <a:effectLst/>
                  </c:spPr>
                </c15:leaderLines>
              </c:ext>
            </c:extLst>
          </c:dLbls>
          <c:cat>
            <c:strRef>
              <c:extLst>
                <c:ext xmlns:c15="http://schemas.microsoft.com/office/drawing/2012/chart" uri="{02D57815-91ED-43cb-92C2-25804820EDAC}">
                  <c15:fullRef>
                    <c15:sqref>'Base Graf'!$A$7:$A$14</c15:sqref>
                  </c15:fullRef>
                </c:ext>
              </c:extLst>
              <c:f>'Base Graf'!$A$8:$A$14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Graf'!$C$7:$C$14</c15:sqref>
                  </c15:fullRef>
                </c:ext>
              </c:extLst>
              <c:f>'Base Graf'!$C$8:$C$14</c:f>
              <c:numCache>
                <c:formatCode>#,##0.0</c:formatCode>
                <c:ptCount val="7"/>
                <c:pt idx="0">
                  <c:v>132.16979662288759</c:v>
                </c:pt>
                <c:pt idx="1">
                  <c:v>127.85515073334923</c:v>
                </c:pt>
                <c:pt idx="2">
                  <c:v>116.54703529642183</c:v>
                </c:pt>
                <c:pt idx="3">
                  <c:v>110.09615702411222</c:v>
                </c:pt>
                <c:pt idx="4">
                  <c:v>103.9386238913666</c:v>
                </c:pt>
                <c:pt idx="5">
                  <c:v>58.70748390817181</c:v>
                </c:pt>
                <c:pt idx="6">
                  <c:v>14.951644312445957</c:v>
                </c:pt>
              </c:numCache>
            </c:numRef>
          </c:val>
          <c:extLst>
            <c:ext xmlns:c15="http://schemas.microsoft.com/office/drawing/2012/chart" uri="{02D57815-91ED-43cb-92C2-25804820EDAC}">
              <c15:datalabelsRange>
                <c15:f>'Base Graf'!$BK$58:$BK$65</c15:f>
                <c15:dlblRangeCache>
                  <c:ptCount val="8"/>
                  <c:pt idx="0">
                    <c:v>130,1</c:v>
                  </c:pt>
                  <c:pt idx="1">
                    <c:v>132,2</c:v>
                  </c:pt>
                  <c:pt idx="2">
                    <c:v>127,9</c:v>
                  </c:pt>
                  <c:pt idx="3">
                    <c:v>116,5</c:v>
                  </c:pt>
                  <c:pt idx="4">
                    <c:v>110,1</c:v>
                  </c:pt>
                  <c:pt idx="5">
                    <c:v>103,9</c:v>
                  </c:pt>
                  <c:pt idx="6">
                    <c:v>58,7</c:v>
                  </c:pt>
                  <c:pt idx="7">
                    <c:v>15,0</c:v>
                  </c:pt>
                </c15:dlblRangeCache>
              </c15:datalabelsRange>
            </c:ext>
            <c:ext xmlns:c16="http://schemas.microsoft.com/office/drawing/2014/chart" uri="{C3380CC4-5D6E-409C-BE32-E72D297353CC}">
              <c16:uniqueId val="{00000000-BF89-4AD5-9BE4-C86A2A9F84E7}"/>
            </c:ext>
          </c:extLst>
        </c:ser>
        <c:dLbls>
          <c:showLegendKey val="0"/>
          <c:showVal val="0"/>
          <c:showCatName val="0"/>
          <c:showSerName val="0"/>
          <c:showPercent val="0"/>
          <c:showBubbleSize val="0"/>
        </c:dLbls>
        <c:gapWidth val="100"/>
        <c:overlap val="-24"/>
        <c:axId val="-303975536"/>
        <c:axId val="-303977712"/>
      </c:barChart>
      <c:catAx>
        <c:axId val="-30397553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303977712"/>
        <c:crosses val="autoZero"/>
        <c:auto val="1"/>
        <c:lblAlgn val="ctr"/>
        <c:lblOffset val="100"/>
        <c:noMultiLvlLbl val="0"/>
      </c:catAx>
      <c:valAx>
        <c:axId val="-303977712"/>
        <c:scaling>
          <c:orientation val="minMax"/>
        </c:scaling>
        <c:delete val="1"/>
        <c:axPos val="l"/>
        <c:numFmt formatCode="#,##0.0" sourceLinked="1"/>
        <c:majorTickMark val="none"/>
        <c:minorTickMark val="none"/>
        <c:tickLblPos val="nextTo"/>
        <c:crossAx val="-303975536"/>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6900501073729421E-2"/>
          <c:y val="8.0706934562532626E-2"/>
          <c:w val="0.93809951881014875"/>
          <c:h val="0.71862560839815826"/>
        </c:manualLayout>
      </c:layout>
      <c:barChart>
        <c:barDir val="col"/>
        <c:grouping val="stacked"/>
        <c:varyColors val="0"/>
        <c:ser>
          <c:idx val="0"/>
          <c:order val="0"/>
          <c:tx>
            <c:v>Capital</c:v>
          </c:tx>
          <c:spPr>
            <a:solidFill>
              <a:srgbClr val="000F9F"/>
            </a:solidFill>
            <a:ln>
              <a:noFill/>
            </a:ln>
            <a:effectLst>
              <a:outerShdw blurRad="50800" dist="38100" dir="2700000" algn="tl" rotWithShape="0">
                <a:prstClr val="black">
                  <a:alpha val="40000"/>
                </a:prstClr>
              </a:outerShdw>
            </a:effectLst>
          </c:spPr>
          <c:invertIfNegative val="0"/>
          <c:dLbls>
            <c:dLbl>
              <c:idx val="0"/>
              <c:tx>
                <c:rich>
                  <a:bodyPr/>
                  <a:lstStyle/>
                  <a:p>
                    <a:fld id="{70513252-18E5-4952-9396-740D905A50DC}" type="CELLRANGE">
                      <a:rPr lang="es-AR"/>
                      <a:pPr/>
                      <a:t>[CELLRANGE]</a:t>
                    </a:fld>
                    <a:endParaRPr lang="es-A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5005-4C07-9E4C-E647D2CBD2CC}"/>
                </c:ext>
              </c:extLst>
            </c:dLbl>
            <c:dLbl>
              <c:idx val="1"/>
              <c:tx>
                <c:rich>
                  <a:bodyPr/>
                  <a:lstStyle/>
                  <a:p>
                    <a:fld id="{8D9CA526-79C2-425F-97F2-B9AC9B4ADB45}" type="CELLRANGE">
                      <a:rPr lang="es-AR"/>
                      <a:pPr/>
                      <a:t>[CELLRANGE]</a:t>
                    </a:fld>
                    <a:endParaRPr lang="es-A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5005-4C07-9E4C-E647D2CBD2CC}"/>
                </c:ext>
              </c:extLst>
            </c:dLbl>
            <c:dLbl>
              <c:idx val="2"/>
              <c:tx>
                <c:rich>
                  <a:bodyPr/>
                  <a:lstStyle/>
                  <a:p>
                    <a:fld id="{3D54CD72-AF44-441F-9CEB-11E9B6297953}" type="CELLRANGE">
                      <a:rPr lang="es-AR"/>
                      <a:pPr/>
                      <a:t>[CELLRANGE]</a:t>
                    </a:fld>
                    <a:endParaRPr lang="es-AR"/>
                  </a:p>
                </c:rich>
              </c:tx>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5005-4C07-9E4C-E647D2CBD2CC}"/>
                </c:ext>
              </c:extLst>
            </c:dLbl>
            <c:dLbl>
              <c:idx val="3"/>
              <c:layout>
                <c:manualLayout>
                  <c:x val="-2.2833513124775259E-3"/>
                  <c:y val="-1.7845372344378753E-2"/>
                </c:manualLayout>
              </c:layout>
              <c:tx>
                <c:rich>
                  <a:bodyPr/>
                  <a:lstStyle/>
                  <a:p>
                    <a:fld id="{EA13F5D9-811D-47CA-AA2B-19ACCCFE3B0B}" type="CELLRANGE">
                      <a:rPr lang="en-US" sz="1050" b="1">
                        <a:solidFill>
                          <a:schemeClr val="bg1"/>
                        </a:solidFill>
                      </a:rPr>
                      <a:pPr/>
                      <a:t>[CELLRANGE]</a:t>
                    </a:fld>
                    <a:endParaRPr lang="es-AR"/>
                  </a:p>
                </c:rich>
              </c:tx>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4-5005-4C07-9E4C-E647D2CBD2CC}"/>
                </c:ext>
              </c:extLst>
            </c:dLbl>
            <c:dLbl>
              <c:idx val="4"/>
              <c:layout>
                <c:manualLayout>
                  <c:x val="4.5667026249549686E-3"/>
                  <c:y val="-5.0942639390292817E-2"/>
                </c:manualLayout>
              </c:layout>
              <c:tx>
                <c:rich>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fld id="{DC4E42C9-7B70-4392-ABBE-E9231FD06B88}" type="CELLRANGE">
                      <a:rPr lang="en-US" sz="1050" b="1"/>
                      <a:pPr>
                        <a:defRPr sz="1050" b="1">
                          <a:solidFill>
                            <a:srgbClr val="000099"/>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5-5005-4C07-9E4C-E647D2CBD2CC}"/>
                </c:ext>
              </c:extLst>
            </c:dLbl>
            <c:dLbl>
              <c:idx val="5"/>
              <c:layout>
                <c:manualLayout>
                  <c:x val="-2.2833513124776933E-3"/>
                  <c:y val="-5.0942639390292817E-2"/>
                </c:manualLayout>
              </c:layout>
              <c:tx>
                <c:rich>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fld id="{817E61FD-1E21-42BC-B428-04AC9861E5DA}" type="CELLRANGE">
                      <a:rPr lang="en-US" sz="1050" b="1"/>
                      <a:pPr>
                        <a:defRPr sz="1050" b="1">
                          <a:solidFill>
                            <a:srgbClr val="000099"/>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6-5005-4C07-9E4C-E647D2CBD2CC}"/>
                </c:ext>
              </c:extLst>
            </c:dLbl>
            <c:dLbl>
              <c:idx val="6"/>
              <c:layout>
                <c:manualLayout>
                  <c:x val="4.5667026249550519E-3"/>
                  <c:y val="-5.5187859339484044E-2"/>
                </c:manualLayout>
              </c:layout>
              <c:tx>
                <c:rich>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fld id="{8A99423F-E561-485C-A7C7-A3BA3DB7BBB6}" type="CELLRANGE">
                      <a:rPr lang="en-US" sz="1050" b="1"/>
                      <a:pPr>
                        <a:defRPr sz="1050" b="1">
                          <a:solidFill>
                            <a:srgbClr val="000099"/>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rgbClr val="000099"/>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7-5005-4C07-9E4C-E647D2CBD2CC}"/>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bg1"/>
                    </a:solidFill>
                    <a:latin typeface="+mn-lt"/>
                    <a:ea typeface="+mn-ea"/>
                    <a:cs typeface="+mn-cs"/>
                  </a:defRPr>
                </a:pPr>
                <a:endParaRPr lang="es-A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Graf'!$H$7:$H$14</c15:sqref>
                  </c15:fullRef>
                </c:ext>
              </c:extLst>
              <c:f>'Base Graf'!$H$8:$H$14</c:f>
              <c:numCache>
                <c:formatCode>#,##0.0</c:formatCode>
                <c:ptCount val="7"/>
                <c:pt idx="0">
                  <c:v>21301.059967912632</c:v>
                </c:pt>
                <c:pt idx="1">
                  <c:v>44693.671498872864</c:v>
                </c:pt>
                <c:pt idx="2">
                  <c:v>18926.189884189582</c:v>
                </c:pt>
                <c:pt idx="3">
                  <c:v>9521.7975521348017</c:v>
                </c:pt>
                <c:pt idx="4">
                  <c:v>874.51585332480226</c:v>
                </c:pt>
                <c:pt idx="5">
                  <c:v>874.51585332480226</c:v>
                </c:pt>
                <c:pt idx="6">
                  <c:v>668.67998926265784</c:v>
                </c:pt>
              </c:numCache>
            </c:numRef>
          </c:val>
          <c:extLst>
            <c:ext xmlns:c15="http://schemas.microsoft.com/office/drawing/2012/chart" uri="{02D57815-91ED-43cb-92C2-25804820EDAC}">
              <c15:datalabelsRange>
                <c15:f>'Base Graf'!$BI$95:$BI$102</c15:f>
                <c15:dlblRangeCache>
                  <c:ptCount val="8"/>
                  <c:pt idx="0">
                    <c:v>49,8%</c:v>
                  </c:pt>
                  <c:pt idx="1">
                    <c:v>50,0%</c:v>
                  </c:pt>
                  <c:pt idx="2">
                    <c:v>85,2%</c:v>
                  </c:pt>
                  <c:pt idx="3">
                    <c:v>88,0%</c:v>
                  </c:pt>
                  <c:pt idx="4">
                    <c:v>96,8%</c:v>
                  </c:pt>
                  <c:pt idx="5">
                    <c:v>84,4%</c:v>
                  </c:pt>
                  <c:pt idx="6">
                    <c:v>87,8%</c:v>
                  </c:pt>
                  <c:pt idx="7">
                    <c:v>91,5%</c:v>
                  </c:pt>
                </c15:dlblRangeCache>
              </c15:datalabelsRange>
            </c:ext>
            <c:ext xmlns:c16="http://schemas.microsoft.com/office/drawing/2014/chart" uri="{C3380CC4-5D6E-409C-BE32-E72D297353CC}">
              <c16:uniqueId val="{00000000-EC2A-4692-91BA-595E276D28C4}"/>
            </c:ext>
          </c:extLst>
        </c:ser>
        <c:ser>
          <c:idx val="1"/>
          <c:order val="1"/>
          <c:tx>
            <c:v>Interés</c:v>
          </c:tx>
          <c:spPr>
            <a:solidFill>
              <a:srgbClr val="3CB4E5"/>
            </a:solidFill>
            <a:ln>
              <a:noFill/>
            </a:ln>
            <a:effectLst>
              <a:outerShdw blurRad="50800" dist="38100" dir="2700000" algn="tl" rotWithShape="0">
                <a:prstClr val="black">
                  <a:alpha val="40000"/>
                </a:prstClr>
              </a:outerShdw>
            </a:effectLst>
          </c:spPr>
          <c:invertIfNegative val="0"/>
          <c:dLbls>
            <c:dLbl>
              <c:idx val="0"/>
              <c:tx>
                <c:rich>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fld id="{4B05629B-876C-45A3-944F-CDA547FBBF90}" type="CELLRANGE">
                      <a:rPr lang="es-AR"/>
                      <a:pPr>
                        <a:defRPr sz="1100" b="1">
                          <a:solidFill>
                            <a:schemeClr val="bg1"/>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5005-4C07-9E4C-E647D2CBD2CC}"/>
                </c:ext>
              </c:extLst>
            </c:dLbl>
            <c:dLbl>
              <c:idx val="1"/>
              <c:tx>
                <c:rich>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fld id="{BE40B0CB-3C9F-4C0C-99AC-D1549AE2E195}" type="CELLRANGE">
                      <a:rPr lang="es-AR"/>
                      <a:pPr>
                        <a:defRPr sz="1100" b="1">
                          <a:solidFill>
                            <a:schemeClr val="bg1"/>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5005-4C07-9E4C-E647D2CBD2CC}"/>
                </c:ext>
              </c:extLst>
            </c:dLbl>
            <c:dLbl>
              <c:idx val="2"/>
              <c:layout>
                <c:manualLayout>
                  <c:x val="-8.3721914294811089E-17"/>
                  <c:y val="-5.5187859339483891E-2"/>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00527FBD-A075-4485-88E8-809DF2173BBC}" type="CELLRANGE">
                      <a:rPr lang="en-US" sz="1100" b="1">
                        <a:solidFill>
                          <a:srgbClr val="3CB4E5"/>
                        </a:solidFill>
                      </a:rPr>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B-5005-4C07-9E4C-E647D2CBD2CC}"/>
                </c:ext>
              </c:extLst>
            </c:dLbl>
            <c:dLbl>
              <c:idx val="3"/>
              <c:layout>
                <c:manualLayout>
                  <c:x val="-4.5667026249550519E-3"/>
                  <c:y val="-6.4666350993607527E-2"/>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CD05F1A5-ED88-4514-A7AE-3D531F9E4393}" type="CELLRANGE">
                      <a:rPr lang="en-US" sz="1100" b="1">
                        <a:solidFill>
                          <a:srgbClr val="3CB4E5"/>
                        </a:solidFill>
                      </a:rPr>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C-5005-4C07-9E4C-E647D2CBD2CC}"/>
                </c:ext>
              </c:extLst>
            </c:dLbl>
            <c:dLbl>
              <c:idx val="4"/>
              <c:layout>
                <c:manualLayout>
                  <c:x val="6.8500539374324945E-3"/>
                  <c:y val="-0.11462093862815885"/>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73A429FC-4029-483F-8291-17E57C0C5D45}" type="CELLRANGE">
                      <a:rPr lang="en-US" sz="1100" b="1">
                        <a:solidFill>
                          <a:srgbClr val="3CB4E5"/>
                        </a:solidFill>
                      </a:rPr>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D-5005-4C07-9E4C-E647D2CBD2CC}"/>
                </c:ext>
              </c:extLst>
            </c:dLbl>
            <c:dLbl>
              <c:idx val="5"/>
              <c:layout>
                <c:manualLayout>
                  <c:x val="-6.8500539374325778E-3"/>
                  <c:y val="-0.11037571867896785"/>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72DED23D-5311-4DFA-8C96-E6130AADDAD2}" type="CELLRANGE">
                      <a:rPr lang="en-US" sz="1100" b="1">
                        <a:solidFill>
                          <a:srgbClr val="3CB4E5"/>
                        </a:solidFill>
                      </a:rPr>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E-5005-4C07-9E4C-E647D2CBD2CC}"/>
                </c:ext>
              </c:extLst>
            </c:dLbl>
            <c:dLbl>
              <c:idx val="6"/>
              <c:layout>
                <c:manualLayout>
                  <c:x val="-1.6744382858962218E-16"/>
                  <c:y val="-0.11462093862815885"/>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20AE6705-4DD5-40FA-B32C-A90BEB1EBE38}" type="CELLRANGE">
                      <a:rPr lang="en-US" sz="1100" b="1">
                        <a:solidFill>
                          <a:srgbClr val="3CB4E5"/>
                        </a:solidFill>
                      </a:rPr>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5005-4C07-9E4C-E647D2CBD2CC}"/>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lumMod val="75000"/>
                        <a:lumOff val="25000"/>
                      </a:schemeClr>
                    </a:solidFill>
                    <a:latin typeface="+mn-lt"/>
                    <a:ea typeface="+mn-ea"/>
                    <a:cs typeface="+mn-cs"/>
                  </a:defRPr>
                </a:pPr>
                <a:endParaRPr lang="es-AR"/>
              </a:p>
            </c:txP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Graf'!$K$7:$K$14</c15:sqref>
                  </c15:fullRef>
                </c:ext>
              </c:extLst>
              <c:f>'Base Graf'!$K$8:$K$14</c:f>
              <c:numCache>
                <c:formatCode>#,##0.0</c:formatCode>
                <c:ptCount val="7"/>
                <c:pt idx="0">
                  <c:v>21328.887348872748</c:v>
                </c:pt>
                <c:pt idx="1">
                  <c:v>7778.093616539466</c:v>
                </c:pt>
                <c:pt idx="2">
                  <c:v>2582.2316301304809</c:v>
                </c:pt>
                <c:pt idx="3">
                  <c:v>310.24340887853691</c:v>
                </c:pt>
                <c:pt idx="4">
                  <c:v>161.31114651823714</c:v>
                </c:pt>
                <c:pt idx="5">
                  <c:v>121.0645800596325</c:v>
                </c:pt>
                <c:pt idx="6">
                  <c:v>62.233422307465034</c:v>
                </c:pt>
              </c:numCache>
            </c:numRef>
          </c:val>
          <c:extLst>
            <c:ext xmlns:c15="http://schemas.microsoft.com/office/drawing/2012/chart" uri="{02D57815-91ED-43cb-92C2-25804820EDAC}">
              <c15:datalabelsRange>
                <c15:f>'Base Graf'!$BJ$95:$BJ$102</c15:f>
                <c15:dlblRangeCache>
                  <c:ptCount val="8"/>
                  <c:pt idx="0">
                    <c:v>50,2%</c:v>
                  </c:pt>
                  <c:pt idx="1">
                    <c:v>50,0%</c:v>
                  </c:pt>
                  <c:pt idx="2">
                    <c:v>14,8%</c:v>
                  </c:pt>
                  <c:pt idx="3">
                    <c:v>12,0%</c:v>
                  </c:pt>
                  <c:pt idx="4">
                    <c:v>3,2%</c:v>
                  </c:pt>
                  <c:pt idx="5">
                    <c:v>15,6%</c:v>
                  </c:pt>
                  <c:pt idx="6">
                    <c:v>12,2%</c:v>
                  </c:pt>
                  <c:pt idx="7">
                    <c:v>8,5%</c:v>
                  </c:pt>
                </c15:dlblRangeCache>
              </c15:datalabelsRange>
            </c:ext>
            <c:ext xmlns:c15="http://schemas.microsoft.com/office/drawing/2012/chart" uri="{02D57815-91ED-43cb-92C2-25804820EDAC}">
              <c15:categoryFilterExceptions>
                <c15:categoryFilterException>
                  <c15:sqref>'Base Graf'!$K$7</c15:sqref>
                  <c15:dLbl>
                    <c:idx val="-1"/>
                    <c:delete val="1"/>
                    <c:extLst>
                      <c:ext uri="{CE6537A1-D6FC-4f65-9D91-7224C49458BB}"/>
                      <c:ext xmlns:c16="http://schemas.microsoft.com/office/drawing/2014/chart" uri="{C3380CC4-5D6E-409C-BE32-E72D297353CC}">
                        <c16:uniqueId val="{00000000-E6FD-48CA-AD10-8217070113CC}"/>
                      </c:ext>
                    </c:extLst>
                  </c15:dLbl>
                </c15:categoryFilterException>
              </c15:categoryFilterExceptions>
            </c:ext>
            <c:ext xmlns:c16="http://schemas.microsoft.com/office/drawing/2014/chart" uri="{C3380CC4-5D6E-409C-BE32-E72D297353CC}">
              <c16:uniqueId val="{00000001-EC2A-4692-91BA-595E276D28C4}"/>
            </c:ext>
          </c:extLst>
        </c:ser>
        <c:dLbls>
          <c:showLegendKey val="0"/>
          <c:showVal val="0"/>
          <c:showCatName val="0"/>
          <c:showSerName val="0"/>
          <c:showPercent val="0"/>
          <c:showBubbleSize val="0"/>
        </c:dLbls>
        <c:gapWidth val="50"/>
        <c:overlap val="100"/>
        <c:axId val="-303976080"/>
        <c:axId val="-303974448"/>
      </c:barChart>
      <c:lineChart>
        <c:grouping val="standard"/>
        <c:varyColors val="0"/>
        <c:ser>
          <c:idx val="2"/>
          <c:order val="2"/>
          <c:spPr>
            <a:ln w="28575" cap="rnd">
              <a:solidFill>
                <a:srgbClr val="FFFFFF">
                  <a:alpha val="0"/>
                </a:srgbClr>
              </a:solidFill>
              <a:round/>
            </a:ln>
            <a:effectLst/>
          </c:spPr>
          <c:marker>
            <c:symbol val="none"/>
          </c:marker>
          <c:dLbls>
            <c:dLbl>
              <c:idx val="0"/>
              <c:tx>
                <c:rich>
                  <a:bodyPr/>
                  <a:lstStyle/>
                  <a:p>
                    <a:fld id="{4A3C955D-AAB7-40A9-94AE-A0F366921879}"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1-5005-4C07-9E4C-E647D2CBD2CC}"/>
                </c:ext>
              </c:extLst>
            </c:dLbl>
            <c:dLbl>
              <c:idx val="1"/>
              <c:tx>
                <c:rich>
                  <a:bodyPr/>
                  <a:lstStyle/>
                  <a:p>
                    <a:fld id="{F0E6E5C0-F9EB-4A0E-947E-49D2B73755CD}"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2-5005-4C07-9E4C-E647D2CBD2CC}"/>
                </c:ext>
              </c:extLst>
            </c:dLbl>
            <c:dLbl>
              <c:idx val="2"/>
              <c:layout>
                <c:manualLayout>
                  <c:x val="-5.2876663070837909E-2"/>
                  <c:y val="-0.13793789276641263"/>
                </c:manualLayout>
              </c:layout>
              <c:tx>
                <c:rich>
                  <a:bodyPr/>
                  <a:lstStyle/>
                  <a:p>
                    <a:fld id="{722EE70F-911A-439E-A4E7-ABFE2F54FE15}"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3-5005-4C07-9E4C-E647D2CBD2CC}"/>
                </c:ext>
              </c:extLst>
            </c:dLbl>
            <c:dLbl>
              <c:idx val="3"/>
              <c:layout>
                <c:manualLayout>
                  <c:x val="-5.05933117583603E-2"/>
                  <c:y val="-0.18039009225832331"/>
                </c:manualLayout>
              </c:layout>
              <c:tx>
                <c:rich>
                  <a:bodyPr/>
                  <a:lstStyle/>
                  <a:p>
                    <a:fld id="{E39C71C2-B43B-4B3E-8AE2-B5E3BD5B8A43}"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4-5005-4C07-9E4C-E647D2CBD2CC}"/>
                </c:ext>
              </c:extLst>
            </c:dLbl>
            <c:dLbl>
              <c:idx val="4"/>
              <c:layout>
                <c:manualLayout>
                  <c:x val="-5.9726717008270487E-2"/>
                  <c:y val="-0.18463531220751436"/>
                </c:manualLayout>
              </c:layout>
              <c:tx>
                <c:rich>
                  <a:bodyPr/>
                  <a:lstStyle/>
                  <a:p>
                    <a:fld id="{1DB086A2-2BA3-4A34-B185-EA9F4A613344}"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5-5005-4C07-9E4C-E647D2CBD2CC}"/>
                </c:ext>
              </c:extLst>
            </c:dLbl>
            <c:dLbl>
              <c:idx val="5"/>
              <c:layout>
                <c:manualLayout>
                  <c:x val="-5.1929162171880622E-2"/>
                  <c:y val="-0.18888053215670553"/>
                </c:manualLayout>
              </c:layout>
              <c:tx>
                <c:rich>
                  <a:bodyPr/>
                  <a:lstStyle/>
                  <a:p>
                    <a:fld id="{DF134EA1-E444-4370-BF6D-E146AEEC949F}"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6-5005-4C07-9E4C-E647D2CBD2CC}"/>
                </c:ext>
              </c:extLst>
            </c:dLbl>
            <c:dLbl>
              <c:idx val="6"/>
              <c:layout>
                <c:manualLayout>
                  <c:x val="-5.4212513484358148E-2"/>
                  <c:y val="-0.2058614119534698"/>
                </c:manualLayout>
              </c:layout>
              <c:tx>
                <c:rich>
                  <a:bodyPr/>
                  <a:lstStyle/>
                  <a:p>
                    <a:fld id="{AD86D787-B944-4472-A96D-03F18D198813}"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7-5005-4C07-9E4C-E647D2CBD2CC}"/>
                </c:ext>
              </c:extLst>
            </c:dLbl>
            <c:spPr>
              <a:noFill/>
              <a:ln>
                <a:noFill/>
              </a:ln>
              <a:effectLst/>
            </c:spPr>
            <c:txPr>
              <a:bodyPr rot="0" spcFirstLastPara="1" vertOverflow="ellipsis" vert="horz" wrap="square" lIns="38100" tIns="19050" rIns="38100" bIns="19050" anchor="ctr" anchorCtr="1">
                <a:spAutoFit/>
              </a:bodyPr>
              <a:lstStyle/>
              <a:p>
                <a:pPr>
                  <a:defRPr sz="1050" b="1" i="0" u="none" strike="noStrike" kern="1200" baseline="0">
                    <a:solidFill>
                      <a:schemeClr val="tx1"/>
                    </a:solidFill>
                    <a:latin typeface="+mn-lt"/>
                    <a:ea typeface="+mn-ea"/>
                    <a:cs typeface="+mn-cs"/>
                  </a:defRPr>
                </a:pPr>
                <a:endParaRPr lang="es-A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Graf'!$B$7:$B$14</c15:sqref>
                  </c15:fullRef>
                </c:ext>
              </c:extLst>
              <c:f>'Base Graf'!$B$8:$B$14</c:f>
              <c:numCache>
                <c:formatCode>#,##0.0</c:formatCode>
                <c:ptCount val="7"/>
                <c:pt idx="0">
                  <c:v>42629.947316785379</c:v>
                </c:pt>
                <c:pt idx="1">
                  <c:v>52471.76511541233</c:v>
                </c:pt>
                <c:pt idx="2">
                  <c:v>21508.421514320056</c:v>
                </c:pt>
                <c:pt idx="3">
                  <c:v>9832.0409610133393</c:v>
                </c:pt>
                <c:pt idx="4">
                  <c:v>1035.8269998430394</c:v>
                </c:pt>
                <c:pt idx="5">
                  <c:v>995.58043338443474</c:v>
                </c:pt>
                <c:pt idx="6">
                  <c:v>730.91341157012289</c:v>
                </c:pt>
              </c:numCache>
            </c:numRef>
          </c:val>
          <c:smooth val="0"/>
          <c:extLst>
            <c:ext xmlns:c15="http://schemas.microsoft.com/office/drawing/2012/chart" uri="{02D57815-91ED-43cb-92C2-25804820EDAC}">
              <c15:datalabelsRange>
                <c15:f>'Base Graf'!$BH$95:$BH$102</c15:f>
                <c15:dlblRangeCache>
                  <c:ptCount val="8"/>
                  <c:pt idx="0">
                    <c:v>57.379,1</c:v>
                  </c:pt>
                  <c:pt idx="1">
                    <c:v>42.629,9</c:v>
                  </c:pt>
                  <c:pt idx="2">
                    <c:v>52.471,8</c:v>
                  </c:pt>
                  <c:pt idx="3">
                    <c:v>21.508,4</c:v>
                  </c:pt>
                  <c:pt idx="4">
                    <c:v>9.832,0</c:v>
                  </c:pt>
                  <c:pt idx="5">
                    <c:v>1.035,8</c:v>
                  </c:pt>
                  <c:pt idx="6">
                    <c:v>995,6</c:v>
                  </c:pt>
                  <c:pt idx="7">
                    <c:v>730,9</c:v>
                  </c:pt>
                </c15:dlblRangeCache>
              </c15:datalabelsRange>
            </c:ext>
            <c:ext xmlns:c16="http://schemas.microsoft.com/office/drawing/2014/chart" uri="{C3380CC4-5D6E-409C-BE32-E72D297353CC}">
              <c16:uniqueId val="{00000010-EC2A-4692-91BA-595E276D28C4}"/>
            </c:ext>
          </c:extLst>
        </c:ser>
        <c:dLbls>
          <c:showLegendKey val="0"/>
          <c:showVal val="0"/>
          <c:showCatName val="0"/>
          <c:showSerName val="0"/>
          <c:showPercent val="0"/>
          <c:showBubbleSize val="0"/>
        </c:dLbls>
        <c:marker val="1"/>
        <c:smooth val="0"/>
        <c:axId val="-303976080"/>
        <c:axId val="-303974448"/>
      </c:lineChart>
      <c:catAx>
        <c:axId val="-30397608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74448"/>
        <c:crosses val="autoZero"/>
        <c:auto val="1"/>
        <c:lblAlgn val="ctr"/>
        <c:lblOffset val="100"/>
        <c:noMultiLvlLbl val="0"/>
      </c:catAx>
      <c:valAx>
        <c:axId val="-303974448"/>
        <c:scaling>
          <c:orientation val="minMax"/>
        </c:scaling>
        <c:delete val="1"/>
        <c:axPos val="l"/>
        <c:numFmt formatCode="#,##0.0" sourceLinked="1"/>
        <c:majorTickMark val="none"/>
        <c:minorTickMark val="none"/>
        <c:tickLblPos val="nextTo"/>
        <c:crossAx val="-303976080"/>
        <c:crosses val="autoZero"/>
        <c:crossBetween val="between"/>
      </c:valAx>
      <c:spPr>
        <a:noFill/>
        <a:ln w="25400">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3.690057533261417E-2"/>
          <c:y val="6.6712516516938269E-2"/>
          <c:w val="0.93809951881014875"/>
          <c:h val="0.68753578601594878"/>
        </c:manualLayout>
      </c:layout>
      <c:barChart>
        <c:barDir val="col"/>
        <c:grouping val="stacked"/>
        <c:varyColors val="0"/>
        <c:ser>
          <c:idx val="0"/>
          <c:order val="0"/>
          <c:tx>
            <c:v>Capital</c:v>
          </c:tx>
          <c:spPr>
            <a:solidFill>
              <a:srgbClr val="000F9F"/>
            </a:solidFill>
            <a:ln>
              <a:noFill/>
            </a:ln>
            <a:effectLst>
              <a:outerShdw blurRad="50800" dist="38100" dir="2700000" algn="tl" rotWithShape="0">
                <a:prstClr val="black">
                  <a:alpha val="40000"/>
                </a:prstClr>
              </a:outerShdw>
            </a:effectLst>
          </c:spPr>
          <c:invertIfNegative val="0"/>
          <c:dLbls>
            <c:dLbl>
              <c:idx val="0"/>
              <c:tx>
                <c:rich>
                  <a:bodyPr/>
                  <a:lstStyle/>
                  <a:p>
                    <a:fld id="{DE81D8AE-4827-445B-BE5C-7195C72EE0F3}"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F140-4B30-B6B5-CD5039A72F85}"/>
                </c:ext>
              </c:extLst>
            </c:dLbl>
            <c:dLbl>
              <c:idx val="1"/>
              <c:tx>
                <c:rich>
                  <a:bodyPr/>
                  <a:lstStyle/>
                  <a:p>
                    <a:fld id="{A5906E41-968D-4FA1-A7EC-88F14FBCDBC4}"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F140-4B30-B6B5-CD5039A72F85}"/>
                </c:ext>
              </c:extLst>
            </c:dLbl>
            <c:dLbl>
              <c:idx val="2"/>
              <c:tx>
                <c:rich>
                  <a:bodyPr/>
                  <a:lstStyle/>
                  <a:p>
                    <a:fld id="{93A3F4B1-DB21-48D4-A58B-98DC0E8C74EA}"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F140-4B30-B6B5-CD5039A72F85}"/>
                </c:ext>
              </c:extLst>
            </c:dLbl>
            <c:dLbl>
              <c:idx val="3"/>
              <c:tx>
                <c:rich>
                  <a:bodyPr/>
                  <a:lstStyle/>
                  <a:p>
                    <a:fld id="{677A66F5-932B-4384-8C87-D3525B5AC32F}"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F140-4B30-B6B5-CD5039A72F85}"/>
                </c:ext>
              </c:extLst>
            </c:dLbl>
            <c:dLbl>
              <c:idx val="4"/>
              <c:tx>
                <c:rich>
                  <a:bodyPr/>
                  <a:lstStyle/>
                  <a:p>
                    <a:fld id="{B748C15F-BBE3-4991-9510-C401C55FE124}"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F140-4B30-B6B5-CD5039A72F85}"/>
                </c:ext>
              </c:extLst>
            </c:dLbl>
            <c:dLbl>
              <c:idx val="5"/>
              <c:tx>
                <c:rich>
                  <a:bodyPr/>
                  <a:lstStyle/>
                  <a:p>
                    <a:fld id="{01B4B7F8-1A94-4652-B083-9B83AE11EB2F}"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F140-4B30-B6B5-CD5039A72F85}"/>
                </c:ext>
              </c:extLst>
            </c:dLbl>
            <c:dLbl>
              <c:idx val="6"/>
              <c:tx>
                <c:rich>
                  <a:bodyPr/>
                  <a:lstStyle/>
                  <a:p>
                    <a:fld id="{3C07D51E-4E98-455D-B3E2-B5A1CA4E6897}"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F140-4B30-B6B5-CD5039A72F85}"/>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AR"/>
              </a:p>
            </c:txPr>
            <c:dLblPos val="ct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Graf'!$I$7:$I$14</c15:sqref>
                  </c15:fullRef>
                </c:ext>
              </c:extLst>
              <c:f>'Base Graf'!$I$8:$I$14</c:f>
              <c:numCache>
                <c:formatCode>#,##0.0</c:formatCode>
                <c:ptCount val="7"/>
                <c:pt idx="0">
                  <c:v>96.034455665404352</c:v>
                </c:pt>
                <c:pt idx="1">
                  <c:v>97.735351165871137</c:v>
                </c:pt>
                <c:pt idx="2">
                  <c:v>93.145680712952554</c:v>
                </c:pt>
                <c:pt idx="3">
                  <c:v>93.145680712952554</c:v>
                </c:pt>
                <c:pt idx="4">
                  <c:v>93.145680712952554</c:v>
                </c:pt>
                <c:pt idx="5">
                  <c:v>53.297911482183324</c:v>
                </c:pt>
                <c:pt idx="6">
                  <c:v>12.903823886504258</c:v>
                </c:pt>
              </c:numCache>
            </c:numRef>
          </c:val>
          <c:extLst>
            <c:ext xmlns:c15="http://schemas.microsoft.com/office/drawing/2012/chart" uri="{02D57815-91ED-43cb-92C2-25804820EDAC}">
              <c15:datalabelsRange>
                <c15:f>'Base Graf'!$BP$114:$BP$121</c15:f>
                <c15:dlblRangeCache>
                  <c:ptCount val="8"/>
                  <c:pt idx="0">
                    <c:v>73,8%</c:v>
                  </c:pt>
                  <c:pt idx="1">
                    <c:v>72,7%</c:v>
                  </c:pt>
                  <c:pt idx="2">
                    <c:v>76,4%</c:v>
                  </c:pt>
                  <c:pt idx="3">
                    <c:v>79,9%</c:v>
                  </c:pt>
                  <c:pt idx="4">
                    <c:v>84,6%</c:v>
                  </c:pt>
                  <c:pt idx="5">
                    <c:v>89,6%</c:v>
                  </c:pt>
                  <c:pt idx="6">
                    <c:v>90,8%</c:v>
                  </c:pt>
                  <c:pt idx="7">
                    <c:v>86,3%</c:v>
                  </c:pt>
                </c15:dlblRangeCache>
              </c15:datalabelsRange>
            </c:ext>
            <c:ext xmlns:c16="http://schemas.microsoft.com/office/drawing/2014/chart" uri="{C3380CC4-5D6E-409C-BE32-E72D297353CC}">
              <c16:uniqueId val="{00000007-F070-4C4C-A8F3-25B5D6BC95A0}"/>
            </c:ext>
          </c:extLst>
        </c:ser>
        <c:ser>
          <c:idx val="1"/>
          <c:order val="1"/>
          <c:tx>
            <c:v>Interés</c:v>
          </c:tx>
          <c:spPr>
            <a:solidFill>
              <a:srgbClr val="3CB4E5"/>
            </a:solidFill>
            <a:ln>
              <a:noFill/>
            </a:ln>
            <a:effectLst>
              <a:outerShdw blurRad="50800" dist="38100" dir="2700000" algn="tl" rotWithShape="0">
                <a:prstClr val="black">
                  <a:alpha val="40000"/>
                </a:prstClr>
              </a:outerShdw>
            </a:effectLst>
          </c:spPr>
          <c:invertIfNegative val="0"/>
          <c:dLbls>
            <c:dLbl>
              <c:idx val="0"/>
              <c:tx>
                <c:rich>
                  <a:bodyPr/>
                  <a:lstStyle/>
                  <a:p>
                    <a:fld id="{1EB83BD6-177A-4C85-847E-AB091C066D57}"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9-F140-4B30-B6B5-CD5039A72F85}"/>
                </c:ext>
              </c:extLst>
            </c:dLbl>
            <c:dLbl>
              <c:idx val="1"/>
              <c:tx>
                <c:rich>
                  <a:bodyPr/>
                  <a:lstStyle/>
                  <a:p>
                    <a:fld id="{B02BD893-F4F8-4ED1-9F04-09E46EFD59FB}"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A-F140-4B30-B6B5-CD5039A72F85}"/>
                </c:ext>
              </c:extLst>
            </c:dLbl>
            <c:dLbl>
              <c:idx val="2"/>
              <c:tx>
                <c:rich>
                  <a:bodyPr/>
                  <a:lstStyle/>
                  <a:p>
                    <a:fld id="{CF667DA8-10D1-4DBE-BACA-F7CB66087FD0}"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B-F140-4B30-B6B5-CD5039A72F85}"/>
                </c:ext>
              </c:extLst>
            </c:dLbl>
            <c:dLbl>
              <c:idx val="3"/>
              <c:tx>
                <c:rich>
                  <a:bodyPr/>
                  <a:lstStyle/>
                  <a:p>
                    <a:fld id="{552953F1-30C9-46F0-8A45-4BC2573DA872}"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C-F140-4B30-B6B5-CD5039A72F85}"/>
                </c:ext>
              </c:extLst>
            </c:dLbl>
            <c:dLbl>
              <c:idx val="4"/>
              <c:tx>
                <c:rich>
                  <a:bodyPr/>
                  <a:lstStyle/>
                  <a:p>
                    <a:fld id="{CA8F19C2-6A9B-43A3-A603-728724B4E2C1}" type="CELLRANGE">
                      <a:rPr lang="es-AR"/>
                      <a:pPr/>
                      <a:t>[CELLRANGE]</a:t>
                    </a:fld>
                    <a:endParaRPr lang="es-AR"/>
                  </a:p>
                </c:rich>
              </c:tx>
              <c:dLblPos val="ctr"/>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D-F140-4B30-B6B5-CD5039A72F85}"/>
                </c:ext>
              </c:extLst>
            </c:dLbl>
            <c:dLbl>
              <c:idx val="5"/>
              <c:layout>
                <c:manualLayout>
                  <c:x val="-1.6744382858962218E-16"/>
                  <c:y val="-5.9433079288674959E-2"/>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23F822AC-3311-47ED-BBC7-7FC3BEF23E35}" type="CELLRANGE">
                      <a:rPr lang="en-US"/>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dLblPos val="ct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E-F140-4B30-B6B5-CD5039A72F85}"/>
                </c:ext>
              </c:extLst>
            </c:dLbl>
            <c:dLbl>
              <c:idx val="6"/>
              <c:layout>
                <c:manualLayout>
                  <c:x val="0"/>
                  <c:y val="-4.6697419441101673E-2"/>
                </c:manualLayout>
              </c:layout>
              <c:tx>
                <c:rich>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fld id="{BADC55BD-8BF6-453C-934A-406E0304BCA8}" type="CELLRANGE">
                      <a:rPr lang="en-US"/>
                      <a:pPr>
                        <a:defRPr sz="1100" b="1">
                          <a:solidFill>
                            <a:srgbClr val="3CB4E5"/>
                          </a:solidFill>
                        </a:defRPr>
                      </a:pPr>
                      <a:t>[CELLRANGE]</a:t>
                    </a:fld>
                    <a:endParaRPr lang="es-AR"/>
                  </a:p>
                </c:rich>
              </c:tx>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rgbClr val="3CB4E5"/>
                      </a:solidFill>
                      <a:latin typeface="+mn-lt"/>
                      <a:ea typeface="+mn-ea"/>
                      <a:cs typeface="+mn-cs"/>
                    </a:defRPr>
                  </a:pPr>
                  <a:endParaRPr lang="es-AR"/>
                </a:p>
              </c:txPr>
              <c:dLblPos val="ct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0F-F140-4B30-B6B5-CD5039A72F85}"/>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AR"/>
              </a:p>
            </c:txPr>
            <c:dLblPos val="ctr"/>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Graf'!$L$7:$L$14</c15:sqref>
                  </c15:fullRef>
                </c:ext>
              </c:extLst>
              <c:f>'Base Graf'!$L$8:$L$14</c:f>
              <c:numCache>
                <c:formatCode>#,##0.0</c:formatCode>
                <c:ptCount val="7"/>
                <c:pt idx="0">
                  <c:v>36.13534095748323</c:v>
                </c:pt>
                <c:pt idx="1">
                  <c:v>30.119799567478104</c:v>
                </c:pt>
                <c:pt idx="2">
                  <c:v>23.401354583469264</c:v>
                </c:pt>
                <c:pt idx="3">
                  <c:v>16.950476311159669</c:v>
                </c:pt>
                <c:pt idx="4">
                  <c:v>10.792943178414045</c:v>
                </c:pt>
                <c:pt idx="5">
                  <c:v>5.4095724259884843</c:v>
                </c:pt>
                <c:pt idx="6">
                  <c:v>2.0478204259416994</c:v>
                </c:pt>
              </c:numCache>
            </c:numRef>
          </c:val>
          <c:extLst>
            <c:ext xmlns:c15="http://schemas.microsoft.com/office/drawing/2012/chart" uri="{02D57815-91ED-43cb-92C2-25804820EDAC}">
              <c15:datalabelsRange>
                <c15:f>'Base Graf'!$BQ$114:$BQ$121</c15:f>
                <c15:dlblRangeCache>
                  <c:ptCount val="8"/>
                  <c:pt idx="0">
                    <c:v>26,2%</c:v>
                  </c:pt>
                  <c:pt idx="1">
                    <c:v>27,3%</c:v>
                  </c:pt>
                  <c:pt idx="2">
                    <c:v>23,6%</c:v>
                  </c:pt>
                  <c:pt idx="3">
                    <c:v>20,1%</c:v>
                  </c:pt>
                  <c:pt idx="4">
                    <c:v>15,4%</c:v>
                  </c:pt>
                  <c:pt idx="5">
                    <c:v>10,4%</c:v>
                  </c:pt>
                  <c:pt idx="6">
                    <c:v>9,2%</c:v>
                  </c:pt>
                  <c:pt idx="7">
                    <c:v>13,7%</c:v>
                  </c:pt>
                </c15:dlblRangeCache>
              </c15:datalabelsRange>
            </c:ext>
            <c:ext xmlns:c16="http://schemas.microsoft.com/office/drawing/2014/chart" uri="{C3380CC4-5D6E-409C-BE32-E72D297353CC}">
              <c16:uniqueId val="{0000000F-F070-4C4C-A8F3-25B5D6BC95A0}"/>
            </c:ext>
          </c:extLst>
        </c:ser>
        <c:dLbls>
          <c:dLblPos val="ctr"/>
          <c:showLegendKey val="0"/>
          <c:showVal val="1"/>
          <c:showCatName val="0"/>
          <c:showSerName val="0"/>
          <c:showPercent val="0"/>
          <c:showBubbleSize val="0"/>
        </c:dLbls>
        <c:gapWidth val="50"/>
        <c:overlap val="100"/>
        <c:axId val="-303972816"/>
        <c:axId val="-303973904"/>
      </c:barChart>
      <c:lineChart>
        <c:grouping val="standard"/>
        <c:varyColors val="0"/>
        <c:ser>
          <c:idx val="2"/>
          <c:order val="2"/>
          <c:spPr>
            <a:ln w="28575" cap="rnd">
              <a:solidFill>
                <a:schemeClr val="tx1">
                  <a:alpha val="0"/>
                </a:schemeClr>
              </a:solidFill>
              <a:round/>
            </a:ln>
            <a:effectLst/>
          </c:spPr>
          <c:marker>
            <c:symbol val="none"/>
          </c:marker>
          <c:dLbls>
            <c:dLbl>
              <c:idx val="0"/>
              <c:layout>
                <c:manualLayout>
                  <c:x val="-4.8087378640776696E-2"/>
                  <c:y val="-3.8642198154833496E-2"/>
                </c:manualLayout>
              </c:layout>
              <c:tx>
                <c:rich>
                  <a:bodyPr/>
                  <a:lstStyle/>
                  <a:p>
                    <a:fld id="{85EC22AC-0A9B-4BC9-A38D-D814D8352D43}"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1-F140-4B30-B6B5-CD5039A72F85}"/>
                </c:ext>
              </c:extLst>
            </c:dLbl>
            <c:dLbl>
              <c:idx val="1"/>
              <c:layout>
                <c:manualLayout>
                  <c:x val="-4.8087378640776744E-2"/>
                  <c:y val="-4.2887418104024605E-2"/>
                </c:manualLayout>
              </c:layout>
              <c:tx>
                <c:rich>
                  <a:bodyPr/>
                  <a:lstStyle/>
                  <a:p>
                    <a:fld id="{31D21081-4050-4A33-8139-160E380FF3B0}"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2-F140-4B30-B6B5-CD5039A72F85}"/>
                </c:ext>
              </c:extLst>
            </c:dLbl>
            <c:dLbl>
              <c:idx val="2"/>
              <c:layout>
                <c:manualLayout>
                  <c:x val="-4.8087378640776696E-2"/>
                  <c:y val="-4.2887418104024605E-2"/>
                </c:manualLayout>
              </c:layout>
              <c:tx>
                <c:rich>
                  <a:bodyPr/>
                  <a:lstStyle/>
                  <a:p>
                    <a:fld id="{E7A15399-0E30-4CFF-9949-8E432F2D8504}"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3-F140-4B30-B6B5-CD5039A72F85}"/>
                </c:ext>
              </c:extLst>
            </c:dLbl>
            <c:dLbl>
              <c:idx val="3"/>
              <c:tx>
                <c:rich>
                  <a:bodyPr/>
                  <a:lstStyle/>
                  <a:p>
                    <a:fld id="{7BCBB6BF-3F45-4983-A3B3-E97D9E74EAA2}"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4-F140-4B30-B6B5-CD5039A72F85}"/>
                </c:ext>
              </c:extLst>
            </c:dLbl>
            <c:dLbl>
              <c:idx val="4"/>
              <c:tx>
                <c:rich>
                  <a:bodyPr/>
                  <a:lstStyle/>
                  <a:p>
                    <a:fld id="{56367D27-26DD-443B-81EA-6081A3325096}"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15-F140-4B30-B6B5-CD5039A72F85}"/>
                </c:ext>
              </c:extLst>
            </c:dLbl>
            <c:dLbl>
              <c:idx val="5"/>
              <c:layout>
                <c:manualLayout>
                  <c:x val="-4.6865875584322189E-2"/>
                  <c:y val="-0.11088882537867963"/>
                </c:manualLayout>
              </c:layout>
              <c:tx>
                <c:rich>
                  <a:bodyPr/>
                  <a:lstStyle/>
                  <a:p>
                    <a:fld id="{A72DE67B-3996-4E3B-8189-FC0954AF1FD5}"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6-F140-4B30-B6B5-CD5039A72F85}"/>
                </c:ext>
              </c:extLst>
            </c:dLbl>
            <c:dLbl>
              <c:idx val="6"/>
              <c:layout>
                <c:manualLayout>
                  <c:x val="-4.6865875584322189E-2"/>
                  <c:y val="-9.8075257847986166E-2"/>
                </c:manualLayout>
              </c:layout>
              <c:tx>
                <c:rich>
                  <a:bodyPr/>
                  <a:lstStyle/>
                  <a:p>
                    <a:fld id="{C8B88C9C-BDD6-4A84-A2F4-65243ED015D9}" type="CELLRANGE">
                      <a:rPr lang="en-US"/>
                      <a:pPr/>
                      <a:t>[CELLRANGE]</a:t>
                    </a:fld>
                    <a:endParaRPr lang="es-AR"/>
                  </a:p>
                </c:rich>
              </c:tx>
              <c:dLblPos val="r"/>
              <c:showLegendKey val="0"/>
              <c:showVal val="0"/>
              <c:showCatName val="0"/>
              <c:showSerName val="0"/>
              <c:showPercent val="0"/>
              <c:showBubbleSize val="0"/>
              <c:extLst>
                <c:ext xmlns:c15="http://schemas.microsoft.com/office/drawing/2012/chart" uri="{CE6537A1-D6FC-4f65-9D91-7224C49458BB}">
                  <c15:dlblFieldTable/>
                  <c15:showDataLabelsRange val="1"/>
                </c:ext>
                <c:ext xmlns:c16="http://schemas.microsoft.com/office/drawing/2014/chart" uri="{C3380CC4-5D6E-409C-BE32-E72D297353CC}">
                  <c16:uniqueId val="{00000017-F140-4B30-B6B5-CD5039A72F85}"/>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mn-lt"/>
                    <a:ea typeface="+mn-ea"/>
                    <a:cs typeface="+mn-cs"/>
                  </a:defRPr>
                </a:pPr>
                <a:endParaRPr lang="es-A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0"/>
              </c:ext>
            </c:extLst>
          </c:dLbls>
          <c:cat>
            <c:strRef>
              <c:extLst>
                <c:ext xmlns:c15="http://schemas.microsoft.com/office/drawing/2012/chart" uri="{02D57815-91ED-43cb-92C2-25804820EDAC}">
                  <c15:fullRef>
                    <c15:sqref>'Base Graf'!$G$7:$G$14</c15:sqref>
                  </c15:fullRef>
                </c:ext>
              </c:extLst>
              <c:f>'Base Graf'!$G$8:$G$14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Graf'!$C$7:$C$14</c15:sqref>
                  </c15:fullRef>
                </c:ext>
              </c:extLst>
              <c:f>'Base Graf'!$C$8:$C$14</c:f>
              <c:numCache>
                <c:formatCode>#,##0.0</c:formatCode>
                <c:ptCount val="7"/>
                <c:pt idx="0">
                  <c:v>132.16979662288759</c:v>
                </c:pt>
                <c:pt idx="1">
                  <c:v>127.85515073334923</c:v>
                </c:pt>
                <c:pt idx="2">
                  <c:v>116.54703529642183</c:v>
                </c:pt>
                <c:pt idx="3">
                  <c:v>110.09615702411222</c:v>
                </c:pt>
                <c:pt idx="4">
                  <c:v>103.9386238913666</c:v>
                </c:pt>
                <c:pt idx="5">
                  <c:v>58.70748390817181</c:v>
                </c:pt>
                <c:pt idx="6">
                  <c:v>14.951644312445957</c:v>
                </c:pt>
              </c:numCache>
            </c:numRef>
          </c:val>
          <c:smooth val="0"/>
          <c:extLst>
            <c:ext xmlns:c15="http://schemas.microsoft.com/office/drawing/2012/chart" uri="{02D57815-91ED-43cb-92C2-25804820EDAC}">
              <c15:datalabelsRange>
                <c15:f>'Base Graf'!$BO$114:$BO$121</c15:f>
                <c15:dlblRangeCache>
                  <c:ptCount val="8"/>
                  <c:pt idx="0">
                    <c:v> 130,1 </c:v>
                  </c:pt>
                  <c:pt idx="1">
                    <c:v> 132,2 </c:v>
                  </c:pt>
                  <c:pt idx="2">
                    <c:v> 127,9 </c:v>
                  </c:pt>
                  <c:pt idx="3">
                    <c:v> 116,5 </c:v>
                  </c:pt>
                  <c:pt idx="4">
                    <c:v> 110,1 </c:v>
                  </c:pt>
                  <c:pt idx="5">
                    <c:v> 103,9 </c:v>
                  </c:pt>
                  <c:pt idx="6">
                    <c:v> 58,7 </c:v>
                  </c:pt>
                  <c:pt idx="7">
                    <c:v> 15,0 </c:v>
                  </c:pt>
                </c15:dlblRangeCache>
              </c15:datalabelsRange>
            </c:ext>
            <c:ext xmlns:c15="http://schemas.microsoft.com/office/drawing/2012/chart" uri="{02D57815-91ED-43cb-92C2-25804820EDAC}">
              <c15:categoryFilterExceptions>
                <c15:categoryFilterException>
                  <c15:sqref>'Base Graf'!$C$7</c15:sqref>
                  <c15:dLbl>
                    <c:idx val="-1"/>
                    <c:layout>
                      <c:manualLayout>
                        <c:x val="-4.808737864077671E-2"/>
                        <c:y val="-4.7132638053215672E-2"/>
                      </c:manualLayout>
                    </c:layout>
                    <c:dLblPos val="r"/>
                    <c:showLegendKey val="0"/>
                    <c:showVal val="0"/>
                    <c:showCatName val="0"/>
                    <c:showSerName val="0"/>
                    <c:showPercent val="0"/>
                    <c:showBubbleSize val="0"/>
                    <c:extLst>
                      <c:ext uri="{CE6537A1-D6FC-4f65-9D91-7224C49458BB}">
                        <c15:showDataLabelsRange val="1"/>
                      </c:ext>
                      <c:ext xmlns:c16="http://schemas.microsoft.com/office/drawing/2014/chart" uri="{C3380CC4-5D6E-409C-BE32-E72D297353CC}">
                        <c16:uniqueId val="{00000000-9FD1-46B9-A317-62C7260A8858}"/>
                      </c:ext>
                    </c:extLst>
                  </c15:dLbl>
                </c15:categoryFilterException>
              </c15:categoryFilterExceptions>
            </c:ext>
            <c:ext xmlns:c16="http://schemas.microsoft.com/office/drawing/2014/chart" uri="{C3380CC4-5D6E-409C-BE32-E72D297353CC}">
              <c16:uniqueId val="{00000017-F070-4C4C-A8F3-25B5D6BC95A0}"/>
            </c:ext>
          </c:extLst>
        </c:ser>
        <c:dLbls>
          <c:showLegendKey val="0"/>
          <c:showVal val="0"/>
          <c:showCatName val="0"/>
          <c:showSerName val="0"/>
          <c:showPercent val="0"/>
          <c:showBubbleSize val="0"/>
        </c:dLbls>
        <c:marker val="1"/>
        <c:smooth val="0"/>
        <c:axId val="-303972816"/>
        <c:axId val="-303973904"/>
      </c:lineChart>
      <c:catAx>
        <c:axId val="-303972816"/>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73904"/>
        <c:crosses val="autoZero"/>
        <c:auto val="1"/>
        <c:lblAlgn val="ctr"/>
        <c:lblOffset val="100"/>
        <c:noMultiLvlLbl val="0"/>
      </c:catAx>
      <c:valAx>
        <c:axId val="-303973904"/>
        <c:scaling>
          <c:orientation val="minMax"/>
        </c:scaling>
        <c:delete val="1"/>
        <c:axPos val="l"/>
        <c:numFmt formatCode="#,##0.0" sourceLinked="1"/>
        <c:majorTickMark val="none"/>
        <c:minorTickMark val="none"/>
        <c:tickLblPos val="nextTo"/>
        <c:crossAx val="-303972816"/>
        <c:crosses val="autoZero"/>
        <c:crossBetween val="between"/>
      </c:valAx>
      <c:spPr>
        <a:noFill/>
        <a:ln>
          <a:noFill/>
        </a:ln>
        <a:effectLst/>
      </c:spPr>
    </c:plotArea>
    <c:legend>
      <c:legendPos val="b"/>
      <c:legendEntry>
        <c:idx val="2"/>
        <c:delete val="1"/>
      </c:legendEntry>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20551959726717E-2"/>
          <c:y val="6.3374819121743808E-2"/>
          <c:w val="0.88282793959007555"/>
          <c:h val="0.6923258400790121"/>
        </c:manualLayout>
      </c:layout>
      <c:barChart>
        <c:barDir val="col"/>
        <c:grouping val="stacked"/>
        <c:varyColors val="0"/>
        <c:ser>
          <c:idx val="0"/>
          <c:order val="0"/>
          <c:tx>
            <c:strRef>
              <c:f>'Base Graf'!$AC$2</c:f>
              <c:strCache>
                <c:ptCount val="1"/>
                <c:pt idx="0">
                  <c:v>Gobierno Federal</c:v>
                </c:pt>
              </c:strCache>
            </c:strRef>
          </c:tx>
          <c:spPr>
            <a:solidFill>
              <a:srgbClr val="3CB4E5"/>
            </a:solidFill>
            <a:ln>
              <a:noFill/>
            </a:ln>
            <a:effectLst>
              <a:outerShdw blurRad="50800" dist="38100" dir="2700000" algn="tl" rotWithShape="0">
                <a:prstClr val="black">
                  <a:alpha val="40000"/>
                </a:prstClr>
              </a:outerShdw>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Graf'!$AC$7:$AC$14</c15:sqref>
                  </c15:fullRef>
                </c:ext>
              </c:extLst>
              <c:f>'Base Graf'!$AC$8:$AC$14</c:f>
              <c:numCache>
                <c:formatCode>#,##0.0</c:formatCode>
                <c:ptCount val="7"/>
                <c:pt idx="0">
                  <c:v>1535.5090114514501</c:v>
                </c:pt>
                <c:pt idx="1">
                  <c:v>314.4962934151099</c:v>
                </c:pt>
                <c:pt idx="2">
                  <c:v>155.04237825678263</c:v>
                </c:pt>
                <c:pt idx="3">
                  <c:v>103.98986000236546</c:v>
                </c:pt>
                <c:pt idx="4">
                  <c:v>103.13718434488226</c:v>
                </c:pt>
                <c:pt idx="5">
                  <c:v>103.02316711031008</c:v>
                </c:pt>
                <c:pt idx="6">
                  <c:v>98.782793046559405</c:v>
                </c:pt>
              </c:numCache>
            </c:numRef>
          </c:val>
          <c:extLst>
            <c:ext xmlns:c16="http://schemas.microsoft.com/office/drawing/2014/chart" uri="{C3380CC4-5D6E-409C-BE32-E72D297353CC}">
              <c16:uniqueId val="{00000000-5505-4797-A7FA-4210E1348C1E}"/>
            </c:ext>
          </c:extLst>
        </c:ser>
        <c:ser>
          <c:idx val="1"/>
          <c:order val="1"/>
          <c:tx>
            <c:strRef>
              <c:f>'Base Graf'!$AO$2</c:f>
              <c:strCache>
                <c:ptCount val="1"/>
                <c:pt idx="0">
                  <c:v>Tenedores de Bonos</c:v>
                </c:pt>
              </c:strCache>
            </c:strRef>
          </c:tx>
          <c:spPr>
            <a:solidFill>
              <a:srgbClr val="000F9F"/>
            </a:solidFill>
            <a:ln>
              <a:noFill/>
            </a:ln>
            <a:effectLst>
              <a:outerShdw blurRad="50800" dist="38100" dir="2700000" algn="tl" rotWithShape="0">
                <a:prstClr val="black">
                  <a:alpha val="40000"/>
                </a:prstClr>
              </a:outerShdw>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Graf'!$AO$7:$AO$14</c15:sqref>
                  </c15:fullRef>
                </c:ext>
              </c:extLst>
              <c:f>'Base Graf'!$AO$8:$AO$14</c:f>
              <c:numCache>
                <c:formatCode>#,##0.0</c:formatCode>
                <c:ptCount val="7"/>
                <c:pt idx="0">
                  <c:v>25603.250035325746</c:v>
                </c:pt>
                <c:pt idx="1">
                  <c:v>43130.468440041856</c:v>
                </c:pt>
                <c:pt idx="2">
                  <c:v>15618.549233651851</c:v>
                </c:pt>
                <c:pt idx="3">
                  <c:v>7874.9694718281589</c:v>
                </c:pt>
                <c:pt idx="4">
                  <c:v>932.68981549815715</c:v>
                </c:pt>
                <c:pt idx="5">
                  <c:v>892.55726627412469</c:v>
                </c:pt>
                <c:pt idx="6">
                  <c:v>632.1306185235635</c:v>
                </c:pt>
              </c:numCache>
            </c:numRef>
          </c:val>
          <c:extLst>
            <c:ext xmlns:c16="http://schemas.microsoft.com/office/drawing/2014/chart" uri="{C3380CC4-5D6E-409C-BE32-E72D297353CC}">
              <c16:uniqueId val="{00000001-5505-4797-A7FA-4210E1348C1E}"/>
            </c:ext>
          </c:extLst>
        </c:ser>
        <c:ser>
          <c:idx val="3"/>
          <c:order val="2"/>
          <c:tx>
            <c:strRef>
              <c:f>'Base Graf'!$AF$2</c:f>
              <c:strCache>
                <c:ptCount val="1"/>
                <c:pt idx="0">
                  <c:v>Banco de la Nación Argentina</c:v>
                </c:pt>
              </c:strCache>
            </c:strRef>
          </c:tx>
          <c:spPr>
            <a:solidFill>
              <a:srgbClr val="C8A977"/>
            </a:solidFill>
            <a:ln>
              <a:noFill/>
            </a:ln>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Graf'!$AF$7:$AF$14</c15:sqref>
                  </c15:fullRef>
                </c:ext>
              </c:extLst>
              <c:f>'Base Graf'!$AF$8:$AF$14</c:f>
              <c:numCache>
                <c:formatCode>#,##0.0</c:formatCode>
                <c:ptCount val="7"/>
                <c:pt idx="0">
                  <c:v>15491.188270008182</c:v>
                </c:pt>
                <c:pt idx="1">
                  <c:v>9026.8003819553614</c:v>
                </c:pt>
                <c:pt idx="2">
                  <c:v>5734.8299024114258</c:v>
                </c:pt>
                <c:pt idx="3">
                  <c:v>1853.0816291828144</c:v>
                </c:pt>
                <c:pt idx="4">
                  <c:v>0</c:v>
                </c:pt>
                <c:pt idx="5">
                  <c:v>0</c:v>
                </c:pt>
                <c:pt idx="6">
                  <c:v>0</c:v>
                </c:pt>
              </c:numCache>
            </c:numRef>
          </c:val>
          <c:extLst>
            <c:ext xmlns:c16="http://schemas.microsoft.com/office/drawing/2014/chart" uri="{C3380CC4-5D6E-409C-BE32-E72D297353CC}">
              <c16:uniqueId val="{00000004-E4F1-45B2-9D23-8998C5758ED0}"/>
            </c:ext>
          </c:extLst>
        </c:ser>
        <c:dLbls>
          <c:showLegendKey val="0"/>
          <c:showVal val="0"/>
          <c:showCatName val="0"/>
          <c:showSerName val="0"/>
          <c:showPercent val="0"/>
          <c:showBubbleSize val="0"/>
        </c:dLbls>
        <c:gapWidth val="50"/>
        <c:overlap val="100"/>
        <c:axId val="-303973360"/>
        <c:axId val="-303971728"/>
      </c:barChart>
      <c:lineChart>
        <c:grouping val="standard"/>
        <c:varyColors val="0"/>
        <c:ser>
          <c:idx val="2"/>
          <c:order val="3"/>
          <c:spPr>
            <a:ln w="28575" cap="rnd">
              <a:solidFill>
                <a:schemeClr val="bg1">
                  <a:lumMod val="85000"/>
                  <a:alpha val="0"/>
                </a:schemeClr>
              </a:solidFill>
              <a:round/>
            </a:ln>
            <a:effectLst/>
          </c:spPr>
          <c:marker>
            <c:symbol val="none"/>
          </c:marker>
          <c:dLbls>
            <c:numFmt formatCode="#,##0.00" sourceLinked="0"/>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tx1"/>
                    </a:solidFill>
                    <a:latin typeface="+mn-lt"/>
                    <a:ea typeface="+mn-ea"/>
                    <a:cs typeface="+mn-cs"/>
                  </a:defRPr>
                </a:pPr>
                <a:endParaRPr lang="es-AR"/>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Graf'!$B$7:$B$14</c15:sqref>
                  </c15:fullRef>
                </c:ext>
              </c:extLst>
              <c:f>'Base Graf'!$B$8:$B$14</c:f>
              <c:numCache>
                <c:formatCode>#,##0.0</c:formatCode>
                <c:ptCount val="7"/>
                <c:pt idx="0">
                  <c:v>42629.947316785379</c:v>
                </c:pt>
                <c:pt idx="1">
                  <c:v>52471.76511541233</c:v>
                </c:pt>
                <c:pt idx="2">
                  <c:v>21508.421514320056</c:v>
                </c:pt>
                <c:pt idx="3">
                  <c:v>9832.0409610133393</c:v>
                </c:pt>
                <c:pt idx="4">
                  <c:v>1035.8269998430394</c:v>
                </c:pt>
                <c:pt idx="5">
                  <c:v>995.58043338443474</c:v>
                </c:pt>
                <c:pt idx="6">
                  <c:v>730.91341157012289</c:v>
                </c:pt>
              </c:numCache>
            </c:numRef>
          </c:val>
          <c:smooth val="0"/>
          <c:extLst>
            <c:ext xmlns:c15="http://schemas.microsoft.com/office/drawing/2012/chart" uri="{02D57815-91ED-43cb-92C2-25804820EDAC}">
              <c15:categoryFilterExceptions>
                <c15:categoryFilterException>
                  <c15:sqref>'Base Graf'!$B$7</c15:sqref>
                  <c15:dLbl>
                    <c:idx val="-1"/>
                    <c:layout>
                      <c:manualLayout>
                        <c:x val="-6.5920352391226178E-2"/>
                        <c:y val="-3.4396978205642463E-2"/>
                      </c:manualLayout>
                    </c:layout>
                    <c:dLblPos val="r"/>
                    <c:showLegendKey val="0"/>
                    <c:showVal val="1"/>
                    <c:showCatName val="0"/>
                    <c:showSerName val="0"/>
                    <c:showPercent val="0"/>
                    <c:showBubbleSize val="0"/>
                    <c:extLst>
                      <c:ext uri="{CE6537A1-D6FC-4f65-9D91-7224C49458BB}"/>
                      <c:ext xmlns:c16="http://schemas.microsoft.com/office/drawing/2014/chart" uri="{C3380CC4-5D6E-409C-BE32-E72D297353CC}">
                        <c16:uniqueId val="{00000000-EB26-4936-8D7B-C3B2B5DA7541}"/>
                      </c:ext>
                    </c:extLst>
                  </c15:dLbl>
                </c15:categoryFilterException>
              </c15:categoryFilterExceptions>
            </c:ext>
            <c:ext xmlns:c16="http://schemas.microsoft.com/office/drawing/2014/chart" uri="{C3380CC4-5D6E-409C-BE32-E72D297353CC}">
              <c16:uniqueId val="{00000002-5505-4797-A7FA-4210E1348C1E}"/>
            </c:ext>
          </c:extLst>
        </c:ser>
        <c:dLbls>
          <c:showLegendKey val="0"/>
          <c:showVal val="0"/>
          <c:showCatName val="0"/>
          <c:showSerName val="0"/>
          <c:showPercent val="0"/>
          <c:showBubbleSize val="0"/>
        </c:dLbls>
        <c:marker val="1"/>
        <c:smooth val="0"/>
        <c:axId val="-303973360"/>
        <c:axId val="-303971728"/>
      </c:lineChart>
      <c:catAx>
        <c:axId val="-303973360"/>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71728"/>
        <c:crosses val="autoZero"/>
        <c:auto val="1"/>
        <c:lblAlgn val="ctr"/>
        <c:lblOffset val="100"/>
        <c:noMultiLvlLbl val="0"/>
      </c:catAx>
      <c:valAx>
        <c:axId val="-303971728"/>
        <c:scaling>
          <c:orientation val="minMax"/>
          <c:max val="60000"/>
          <c:min val="0"/>
        </c:scaling>
        <c:delete val="0"/>
        <c:axPos val="l"/>
        <c:majorGridlines>
          <c:spPr>
            <a:ln w="9525" cap="flat" cmpd="sng" algn="ctr">
              <a:no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303973360"/>
        <c:crosses val="autoZero"/>
        <c:crossBetween val="between"/>
        <c:majorUnit val="8000"/>
      </c:valAx>
      <c:spPr>
        <a:noFill/>
        <a:ln w="25400">
          <a:noFill/>
        </a:ln>
        <a:effectLst/>
      </c:spPr>
    </c:plotArea>
    <c:legend>
      <c:legendPos val="b"/>
      <c:legendEntry>
        <c:idx val="3"/>
        <c:delete val="1"/>
      </c:legendEntry>
      <c:layout>
        <c:manualLayout>
          <c:xMode val="edge"/>
          <c:yMode val="edge"/>
          <c:x val="2.8705861201006832E-2"/>
          <c:y val="0.89721587110576284"/>
          <c:w val="0.92660463861920173"/>
          <c:h val="7.3067589249899714E-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9.20551959726717E-2"/>
          <c:y val="6.2984700565587221E-2"/>
          <c:w val="0.88282793959007555"/>
          <c:h val="0.70969727614483258"/>
        </c:manualLayout>
      </c:layout>
      <c:barChart>
        <c:barDir val="col"/>
        <c:grouping val="stacked"/>
        <c:varyColors val="0"/>
        <c:ser>
          <c:idx val="0"/>
          <c:order val="0"/>
          <c:tx>
            <c:strRef>
              <c:f>'Base Graf'!$AP$2</c:f>
              <c:strCache>
                <c:ptCount val="1"/>
                <c:pt idx="0">
                  <c:v>Tenedores de Bonos</c:v>
                </c:pt>
              </c:strCache>
            </c:strRef>
          </c:tx>
          <c:spPr>
            <a:solidFill>
              <a:srgbClr val="000F9F"/>
            </a:solidFill>
            <a:ln>
              <a:noFill/>
            </a:ln>
            <a:effectLst>
              <a:outerShdw blurRad="50800" dist="38100" dir="2700000" algn="tl" rotWithShape="0">
                <a:prstClr val="black">
                  <a:alpha val="40000"/>
                </a:prstClr>
              </a:outerShdw>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Graf'!$AP$7:$AP$14</c15:sqref>
                  </c15:fullRef>
                </c:ext>
              </c:extLst>
              <c:f>'Base Graf'!$AP$8:$AP$14</c:f>
              <c:numCache>
                <c:formatCode>#,##0.0</c:formatCode>
                <c:ptCount val="7"/>
                <c:pt idx="0">
                  <c:v>103.75362913461539</c:v>
                </c:pt>
                <c:pt idx="1">
                  <c:v>99.171135673076932</c:v>
                </c:pt>
                <c:pt idx="2">
                  <c:v>94.58864221153847</c:v>
                </c:pt>
                <c:pt idx="3">
                  <c:v>90.006148750000008</c:v>
                </c:pt>
                <c:pt idx="4">
                  <c:v>85.423655288461546</c:v>
                </c:pt>
                <c:pt idx="5">
                  <c:v>40.993392596153853</c:v>
                </c:pt>
                <c:pt idx="6">
                  <c:v>0</c:v>
                </c:pt>
              </c:numCache>
            </c:numRef>
          </c:val>
          <c:extLst>
            <c:ext xmlns:c16="http://schemas.microsoft.com/office/drawing/2014/chart" uri="{C3380CC4-5D6E-409C-BE32-E72D297353CC}">
              <c16:uniqueId val="{00000000-608F-4513-AFD1-F65A68313CF8}"/>
            </c:ext>
          </c:extLst>
        </c:ser>
        <c:ser>
          <c:idx val="1"/>
          <c:order val="1"/>
          <c:tx>
            <c:strRef>
              <c:f>'Base Graf'!$AM$2</c:f>
              <c:strCache>
                <c:ptCount val="1"/>
                <c:pt idx="0">
                  <c:v>Organismos Multilaterales</c:v>
                </c:pt>
              </c:strCache>
            </c:strRef>
          </c:tx>
          <c:spPr>
            <a:solidFill>
              <a:srgbClr val="C8A977"/>
            </a:solidFill>
            <a:ln>
              <a:noFill/>
            </a:ln>
            <a:effectLst>
              <a:outerShdw blurRad="50800" dist="38100" dir="2700000" algn="tl" rotWithShape="0">
                <a:prstClr val="black">
                  <a:alpha val="40000"/>
                </a:prstClr>
              </a:outerShdw>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Graf'!$AM$7:$AM$14</c15:sqref>
                  </c15:fullRef>
                </c:ext>
              </c:extLst>
              <c:f>'Base Graf'!$AM$8:$AM$14</c:f>
              <c:numCache>
                <c:formatCode>#,##0.0</c:formatCode>
                <c:ptCount val="7"/>
                <c:pt idx="0">
                  <c:v>28.41616748827218</c:v>
                </c:pt>
                <c:pt idx="1">
                  <c:v>28.684015060272305</c:v>
                </c:pt>
                <c:pt idx="2">
                  <c:v>21.958393084883348</c:v>
                </c:pt>
                <c:pt idx="3">
                  <c:v>20.090008274112215</c:v>
                </c:pt>
                <c:pt idx="4">
                  <c:v>18.51496860290505</c:v>
                </c:pt>
                <c:pt idx="5">
                  <c:v>17.714091312017956</c:v>
                </c:pt>
                <c:pt idx="6">
                  <c:v>14.951644312445957</c:v>
                </c:pt>
              </c:numCache>
            </c:numRef>
          </c:val>
          <c:extLst>
            <c:ext xmlns:c16="http://schemas.microsoft.com/office/drawing/2014/chart" uri="{C3380CC4-5D6E-409C-BE32-E72D297353CC}">
              <c16:uniqueId val="{00000001-608F-4513-AFD1-F65A68313CF8}"/>
            </c:ext>
          </c:extLst>
        </c:ser>
        <c:ser>
          <c:idx val="2"/>
          <c:order val="2"/>
          <c:tx>
            <c:strRef>
              <c:f>'Base Graf'!$AJ$2</c:f>
              <c:strCache>
                <c:ptCount val="1"/>
                <c:pt idx="0">
                  <c:v>Bancos Nacionales e Internacionales</c:v>
                </c:pt>
              </c:strCache>
            </c:strRef>
          </c:tx>
          <c:spPr>
            <a:gradFill flip="none" rotWithShape="1">
              <a:gsLst>
                <a:gs pos="0">
                  <a:srgbClr val="C00000">
                    <a:shade val="30000"/>
                    <a:satMod val="115000"/>
                  </a:srgbClr>
                </a:gs>
                <a:gs pos="50000">
                  <a:srgbClr val="C00000">
                    <a:shade val="67500"/>
                    <a:satMod val="115000"/>
                  </a:srgbClr>
                </a:gs>
                <a:gs pos="100000">
                  <a:srgbClr val="C00000">
                    <a:shade val="100000"/>
                    <a:satMod val="115000"/>
                  </a:srgbClr>
                </a:gs>
              </a:gsLst>
              <a:path path="circle">
                <a:fillToRect l="100000" b="100000"/>
              </a:path>
              <a:tileRect t="-100000" r="-100000"/>
            </a:gradFill>
            <a:ln>
              <a:noFill/>
            </a:ln>
            <a:effectLst>
              <a:outerShdw blurRad="50800" dist="38100" dir="2700000" algn="tl" rotWithShape="0">
                <a:prstClr val="black">
                  <a:alpha val="40000"/>
                </a:prstClr>
              </a:outerShdw>
            </a:effectLst>
          </c:spPr>
          <c:invertIfNegative val="0"/>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Graf'!$AJ$6:$AJ$14</c15:sqref>
                  </c15:fullRef>
                </c:ext>
              </c:extLst>
              <c:f>'Base Graf'!$AJ$7:$AJ$13</c:f>
              <c:numCache>
                <c:formatCode>#,##0.0</c:formatCode>
                <c:ptCount val="7"/>
                <c:pt idx="0">
                  <c:v>0</c:v>
                </c:pt>
                <c:pt idx="1">
                  <c:v>0</c:v>
                </c:pt>
                <c:pt idx="2">
                  <c:v>0</c:v>
                </c:pt>
                <c:pt idx="3">
                  <c:v>0</c:v>
                </c:pt>
                <c:pt idx="4">
                  <c:v>0</c:v>
                </c:pt>
                <c:pt idx="5">
                  <c:v>0</c:v>
                </c:pt>
                <c:pt idx="6">
                  <c:v>0</c:v>
                </c:pt>
              </c:numCache>
            </c:numRef>
          </c:val>
          <c:extLst>
            <c:ext xmlns:c16="http://schemas.microsoft.com/office/drawing/2014/chart" uri="{C3380CC4-5D6E-409C-BE32-E72D297353CC}">
              <c16:uniqueId val="{00000009-608F-4513-AFD1-F65A68313CF8}"/>
            </c:ext>
          </c:extLst>
        </c:ser>
        <c:dLbls>
          <c:showLegendKey val="0"/>
          <c:showVal val="0"/>
          <c:showCatName val="0"/>
          <c:showSerName val="0"/>
          <c:showPercent val="0"/>
          <c:showBubbleSize val="0"/>
        </c:dLbls>
        <c:gapWidth val="50"/>
        <c:overlap val="100"/>
        <c:axId val="-303971184"/>
        <c:axId val="-533886400"/>
      </c:barChart>
      <c:lineChart>
        <c:grouping val="standard"/>
        <c:varyColors val="0"/>
        <c:ser>
          <c:idx val="3"/>
          <c:order val="3"/>
          <c:spPr>
            <a:ln w="28575" cap="rnd">
              <a:solidFill>
                <a:schemeClr val="tx1">
                  <a:alpha val="0"/>
                </a:schemeClr>
              </a:solidFill>
              <a:round/>
            </a:ln>
            <a:effectLst/>
          </c:spPr>
          <c:marker>
            <c:symbol val="none"/>
          </c:marker>
          <c:dLbls>
            <c:dLbl>
              <c:idx val="0"/>
              <c:tx>
                <c:rich>
                  <a:bodyPr/>
                  <a:lstStyle/>
                  <a:p>
                    <a:fld id="{8F3867AB-A56E-4343-80A2-D1302881B633}"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1-1DF0-4377-ADCD-7137CEFFECCD}"/>
                </c:ext>
              </c:extLst>
            </c:dLbl>
            <c:dLbl>
              <c:idx val="1"/>
              <c:tx>
                <c:rich>
                  <a:bodyPr/>
                  <a:lstStyle/>
                  <a:p>
                    <a:fld id="{45BCE290-D646-4380-AB11-C5FE8B745160}"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2-1DF0-4377-ADCD-7137CEFFECCD}"/>
                </c:ext>
              </c:extLst>
            </c:dLbl>
            <c:dLbl>
              <c:idx val="2"/>
              <c:tx>
                <c:rich>
                  <a:bodyPr/>
                  <a:lstStyle/>
                  <a:p>
                    <a:fld id="{A3817610-78A6-4BD1-9007-578419DB79AE}"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3-1DF0-4377-ADCD-7137CEFFECCD}"/>
                </c:ext>
              </c:extLst>
            </c:dLbl>
            <c:dLbl>
              <c:idx val="3"/>
              <c:tx>
                <c:rich>
                  <a:bodyPr/>
                  <a:lstStyle/>
                  <a:p>
                    <a:fld id="{25D8E3F9-5E88-48BC-A37C-E6ABBA3985BC}"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4-1DF0-4377-ADCD-7137CEFFECCD}"/>
                </c:ext>
              </c:extLst>
            </c:dLbl>
            <c:dLbl>
              <c:idx val="4"/>
              <c:tx>
                <c:rich>
                  <a:bodyPr/>
                  <a:lstStyle/>
                  <a:p>
                    <a:fld id="{F80F028E-BA96-4839-B3BC-0BDDFA3A01EF}"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5-1DF0-4377-ADCD-7137CEFFECCD}"/>
                </c:ext>
              </c:extLst>
            </c:dLbl>
            <c:dLbl>
              <c:idx val="5"/>
              <c:tx>
                <c:rich>
                  <a:bodyPr/>
                  <a:lstStyle/>
                  <a:p>
                    <a:fld id="{DF3F3BDC-43CE-45E8-AD9D-0AF38A01598C}"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6-1DF0-4377-ADCD-7137CEFFECCD}"/>
                </c:ext>
              </c:extLst>
            </c:dLbl>
            <c:dLbl>
              <c:idx val="6"/>
              <c:tx>
                <c:rich>
                  <a:bodyPr/>
                  <a:lstStyle/>
                  <a:p>
                    <a:fld id="{420BC9C8-13C2-4142-A9D7-59BFB91B0336}" type="CELLRANGE">
                      <a:rPr lang="es-AR"/>
                      <a:pPr/>
                      <a:t>[CELLRANGE]</a:t>
                    </a:fld>
                    <a:endParaRPr lang="es-AR"/>
                  </a:p>
                </c:rich>
              </c:tx>
              <c:dLblPos val="t"/>
              <c:showLegendKey val="0"/>
              <c:showVal val="0"/>
              <c:showCatName val="0"/>
              <c:showSerName val="0"/>
              <c:showPercent val="0"/>
              <c:showBubbleSize val="0"/>
              <c:extLst>
                <c:ext xmlns:c15="http://schemas.microsoft.com/office/drawing/2012/chart" uri="{CE6537A1-D6FC-4f65-9D91-7224C49458BB}">
                  <c15:dlblFieldTable/>
                  <c15:xForSave val="1"/>
                  <c15:showDataLabelsRange val="1"/>
                </c:ext>
                <c:ext xmlns:c16="http://schemas.microsoft.com/office/drawing/2014/chart" uri="{C3380CC4-5D6E-409C-BE32-E72D297353CC}">
                  <c16:uniqueId val="{00000007-1DF0-4377-ADCD-7137CEFFECCD}"/>
                </c:ext>
              </c:extLst>
            </c:dLbl>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ysClr val="windowText" lastClr="000000"/>
                    </a:solidFill>
                    <a:latin typeface="+mn-lt"/>
                    <a:ea typeface="+mn-ea"/>
                    <a:cs typeface="+mn-cs"/>
                  </a:defRPr>
                </a:pPr>
                <a:endParaRPr lang="es-AR"/>
              </a:p>
            </c:txPr>
            <c:dLblPos val="t"/>
            <c:showLegendKey val="0"/>
            <c:showVal val="0"/>
            <c:showCatName val="0"/>
            <c:showSerName val="0"/>
            <c:showPercent val="0"/>
            <c:showBubbleSize val="0"/>
            <c:showLeaderLines val="0"/>
            <c:extLst>
              <c:ext xmlns:c15="http://schemas.microsoft.com/office/drawing/2012/chart" uri="{CE6537A1-D6FC-4f65-9D91-7224C49458BB}">
                <c15:showDataLabelsRange val="1"/>
                <c15:showLeaderLines val="1"/>
                <c15:leaderLines>
                  <c:spPr>
                    <a:ln w="9525" cap="flat" cmpd="sng" algn="ctr">
                      <a:solidFill>
                        <a:schemeClr val="tx1">
                          <a:lumMod val="35000"/>
                          <a:lumOff val="65000"/>
                        </a:schemeClr>
                      </a:solidFill>
                      <a:round/>
                    </a:ln>
                    <a:effectLst/>
                  </c:spPr>
                </c15:leaderLines>
              </c:ext>
            </c:extLst>
          </c:dLbls>
          <c:cat>
            <c:strRef>
              <c:extLst>
                <c:ext xmlns:c15="http://schemas.microsoft.com/office/drawing/2012/chart" uri="{02D57815-91ED-43cb-92C2-25804820EDAC}">
                  <c15:fullRef>
                    <c15:sqref>'Base Graf'!$AB$7:$AB$14</c15:sqref>
                  </c15:fullRef>
                </c:ext>
              </c:extLst>
              <c:f>'Base Graf'!$AB$8:$AB$14</c:f>
              <c:strCache>
                <c:ptCount val="7"/>
                <c:pt idx="0">
                  <c:v>2024</c:v>
                </c:pt>
                <c:pt idx="1">
                  <c:v>2025</c:v>
                </c:pt>
                <c:pt idx="2">
                  <c:v>2026</c:v>
                </c:pt>
                <c:pt idx="3">
                  <c:v>2027</c:v>
                </c:pt>
                <c:pt idx="4">
                  <c:v>2028</c:v>
                </c:pt>
                <c:pt idx="5">
                  <c:v>2029</c:v>
                </c:pt>
                <c:pt idx="6">
                  <c:v>Prom Resto 2030-2050</c:v>
                </c:pt>
              </c:strCache>
            </c:strRef>
          </c:cat>
          <c:val>
            <c:numRef>
              <c:extLst>
                <c:ext xmlns:c15="http://schemas.microsoft.com/office/drawing/2012/chart" uri="{02D57815-91ED-43cb-92C2-25804820EDAC}">
                  <c15:fullRef>
                    <c15:sqref>'Base Graf'!$C$7:$C$14</c15:sqref>
                  </c15:fullRef>
                </c:ext>
              </c:extLst>
              <c:f>'Base Graf'!$C$8:$C$14</c:f>
              <c:numCache>
                <c:formatCode>#,##0.0</c:formatCode>
                <c:ptCount val="7"/>
                <c:pt idx="0">
                  <c:v>132.16979662288759</c:v>
                </c:pt>
                <c:pt idx="1">
                  <c:v>127.85515073334923</c:v>
                </c:pt>
                <c:pt idx="2">
                  <c:v>116.54703529642183</c:v>
                </c:pt>
                <c:pt idx="3">
                  <c:v>110.09615702411222</c:v>
                </c:pt>
                <c:pt idx="4">
                  <c:v>103.9386238913666</c:v>
                </c:pt>
                <c:pt idx="5">
                  <c:v>58.70748390817181</c:v>
                </c:pt>
                <c:pt idx="6">
                  <c:v>14.951644312445957</c:v>
                </c:pt>
              </c:numCache>
            </c:numRef>
          </c:val>
          <c:smooth val="0"/>
          <c:extLst>
            <c:ext xmlns:c15="http://schemas.microsoft.com/office/drawing/2012/chart" uri="{02D57815-91ED-43cb-92C2-25804820EDAC}">
              <c15:datalabelsRange>
                <c15:f>'Base Graf'!$BO$167:$BO$174</c15:f>
                <c15:dlblRangeCache>
                  <c:ptCount val="8"/>
                  <c:pt idx="0">
                    <c:v> 130,1 </c:v>
                  </c:pt>
                  <c:pt idx="1">
                    <c:v> 132,2 </c:v>
                  </c:pt>
                  <c:pt idx="2">
                    <c:v> 127,9 </c:v>
                  </c:pt>
                  <c:pt idx="3">
                    <c:v> 116,5 </c:v>
                  </c:pt>
                  <c:pt idx="4">
                    <c:v> 110,1 </c:v>
                  </c:pt>
                  <c:pt idx="5">
                    <c:v> 103,9 </c:v>
                  </c:pt>
                  <c:pt idx="6">
                    <c:v> 58,7 </c:v>
                  </c:pt>
                  <c:pt idx="7">
                    <c:v> 15,0 </c:v>
                  </c:pt>
                </c15:dlblRangeCache>
              </c15:datalabelsRange>
            </c:ext>
            <c:ext xmlns:c16="http://schemas.microsoft.com/office/drawing/2014/chart" uri="{C3380CC4-5D6E-409C-BE32-E72D297353CC}">
              <c16:uniqueId val="{0000000C-608F-4513-AFD1-F65A68313CF8}"/>
            </c:ext>
          </c:extLst>
        </c:ser>
        <c:dLbls>
          <c:showLegendKey val="0"/>
          <c:showVal val="0"/>
          <c:showCatName val="0"/>
          <c:showSerName val="0"/>
          <c:showPercent val="0"/>
          <c:showBubbleSize val="0"/>
        </c:dLbls>
        <c:marker val="1"/>
        <c:smooth val="0"/>
        <c:axId val="-303971184"/>
        <c:axId val="-533886400"/>
      </c:lineChart>
      <c:catAx>
        <c:axId val="-303971184"/>
        <c:scaling>
          <c:orientation val="minMax"/>
        </c:scaling>
        <c:delete val="0"/>
        <c:axPos val="b"/>
        <c:numFmt formatCode="General" sourceLinked="1"/>
        <c:majorTickMark val="none"/>
        <c:minorTickMark val="none"/>
        <c:tickLblPos val="nextTo"/>
        <c:spPr>
          <a:noFill/>
          <a:ln w="9525" cap="flat" cmpd="sng" algn="ctr">
            <a:solidFill>
              <a:schemeClr val="tx1"/>
            </a:solidFill>
            <a:round/>
          </a:ln>
          <a:effectLst/>
        </c:spPr>
        <c:txPr>
          <a:bodyPr rot="-60000000" spcFirstLastPara="1" vertOverflow="ellipsis" vert="horz" wrap="square" anchor="ctr" anchorCtr="1"/>
          <a:lstStyle/>
          <a:p>
            <a:pPr>
              <a:defRPr sz="1050" b="0" i="0" u="none" strike="noStrike" kern="1200" baseline="0">
                <a:solidFill>
                  <a:schemeClr val="tx1"/>
                </a:solidFill>
                <a:latin typeface="Arial Narrow" panose="020B0606020202030204" pitchFamily="34" charset="0"/>
                <a:ea typeface="+mn-ea"/>
                <a:cs typeface="+mn-cs"/>
              </a:defRPr>
            </a:pPr>
            <a:endParaRPr lang="es-AR"/>
          </a:p>
        </c:txPr>
        <c:crossAx val="-533886400"/>
        <c:crosses val="autoZero"/>
        <c:auto val="1"/>
        <c:lblAlgn val="ctr"/>
        <c:lblOffset val="100"/>
        <c:noMultiLvlLbl val="0"/>
      </c:catAx>
      <c:valAx>
        <c:axId val="-533886400"/>
        <c:scaling>
          <c:orientation val="minMax"/>
          <c:max val="150"/>
        </c:scaling>
        <c:delete val="0"/>
        <c:axPos val="l"/>
        <c:majorGridlines>
          <c:spPr>
            <a:ln w="9525" cap="flat" cmpd="sng" algn="ctr">
              <a:noFill/>
              <a:round/>
            </a:ln>
            <a:effectLst/>
          </c:spPr>
        </c:majorGridlines>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chemeClr val="tx1"/>
                </a:solidFill>
                <a:latin typeface="Arial Narrow" panose="020B0606020202030204" pitchFamily="34" charset="0"/>
                <a:ea typeface="+mn-ea"/>
                <a:cs typeface="+mn-cs"/>
              </a:defRPr>
            </a:pPr>
            <a:endParaRPr lang="es-AR"/>
          </a:p>
        </c:txPr>
        <c:crossAx val="-303971184"/>
        <c:crosses val="autoZero"/>
        <c:crossBetween val="between"/>
        <c:majorUnit val="50"/>
      </c:valAx>
      <c:spPr>
        <a:noFill/>
        <a:ln>
          <a:noFill/>
        </a:ln>
        <a:effectLst/>
      </c:spPr>
    </c:plotArea>
    <c:legend>
      <c:legendPos val="b"/>
      <c:legendEntry>
        <c:idx val="2"/>
        <c:delete val="1"/>
      </c:legendEntry>
      <c:legendEntry>
        <c:idx val="3"/>
        <c:delete val="1"/>
      </c:legendEntry>
      <c:layout>
        <c:manualLayout>
          <c:xMode val="edge"/>
          <c:yMode val="edge"/>
          <c:x val="4.9999999999999989E-2"/>
          <c:y val="0.92268719080090922"/>
          <c:w val="0.92373894282632152"/>
          <c:h val="7.3067589249899714E-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3CB4E5"/>
              </a:solidFill>
              <a:ln w="19050">
                <a:solidFill>
                  <a:schemeClr val="lt1"/>
                </a:solidFill>
              </a:ln>
              <a:effectLst/>
            </c:spPr>
            <c:extLst>
              <c:ext xmlns:c16="http://schemas.microsoft.com/office/drawing/2014/chart" uri="{C3380CC4-5D6E-409C-BE32-E72D297353CC}">
                <c16:uniqueId val="{00000002-35F0-4D06-A091-6FBFBCBFF391}"/>
              </c:ext>
            </c:extLst>
          </c:dPt>
          <c:dPt>
            <c:idx val="1"/>
            <c:bubble3D val="0"/>
            <c:spPr>
              <a:solidFill>
                <a:srgbClr val="000F9F"/>
              </a:solidFill>
              <a:ln w="19050">
                <a:solidFill>
                  <a:schemeClr val="lt1"/>
                </a:solidFill>
              </a:ln>
              <a:effectLst/>
            </c:spPr>
            <c:extLst>
              <c:ext xmlns:c16="http://schemas.microsoft.com/office/drawing/2014/chart" uri="{C3380CC4-5D6E-409C-BE32-E72D297353CC}">
                <c16:uniqueId val="{00000001-35F0-4D06-A091-6FBFBCBFF391}"/>
              </c:ext>
            </c:extLst>
          </c:dPt>
          <c:dPt>
            <c:idx val="2"/>
            <c:bubble3D val="0"/>
            <c:spPr>
              <a:solidFill>
                <a:schemeClr val="tx1">
                  <a:lumMod val="50000"/>
                  <a:lumOff val="50000"/>
                </a:schemeClr>
              </a:solidFill>
              <a:ln w="19050">
                <a:solidFill>
                  <a:schemeClr val="lt1"/>
                </a:solidFill>
              </a:ln>
              <a:effectLst/>
            </c:spPr>
            <c:extLst>
              <c:ext xmlns:c16="http://schemas.microsoft.com/office/drawing/2014/chart" uri="{C3380CC4-5D6E-409C-BE32-E72D297353CC}">
                <c16:uniqueId val="{00000004-35F0-4D06-A091-6FBFBCBFF391}"/>
              </c:ext>
            </c:extLst>
          </c:dPt>
          <c:dPt>
            <c:idx val="3"/>
            <c:bubble3D val="0"/>
            <c:spPr>
              <a:solidFill>
                <a:srgbClr val="C8A977"/>
              </a:solidFill>
              <a:ln w="19050">
                <a:solidFill>
                  <a:schemeClr val="lt1"/>
                </a:solidFill>
              </a:ln>
              <a:effectLst/>
            </c:spPr>
            <c:extLst>
              <c:ext xmlns:c16="http://schemas.microsoft.com/office/drawing/2014/chart" uri="{C3380CC4-5D6E-409C-BE32-E72D297353CC}">
                <c16:uniqueId val="{00000003-35F0-4D06-A091-6FBFBCBFF391}"/>
              </c:ext>
            </c:extLst>
          </c:dPt>
          <c:dLbls>
            <c:dLbl>
              <c:idx val="0"/>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rgbClr val="3CB4E5"/>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02-35F0-4D06-A091-6FBFBCBFF391}"/>
                </c:ext>
              </c:extLst>
            </c:dLbl>
            <c:dLbl>
              <c:idx val="1"/>
              <c:tx>
                <c:rich>
                  <a:bodyPr/>
                  <a:lstStyle/>
                  <a:p>
                    <a:fld id="{DC9A279B-B81F-4996-91C9-DBDB1969D33F}" type="PERCENTAGE">
                      <a:rPr lang="en-US" b="1">
                        <a:solidFill>
                          <a:srgbClr val="000F9F"/>
                        </a:solidFill>
                      </a:rPr>
                      <a:pPr/>
                      <a:t>[PORCENTAJE]</a:t>
                    </a:fld>
                    <a:endParaRPr lang="es-AR"/>
                  </a:p>
                </c:rich>
              </c:tx>
              <c:dLblPos val="outEnd"/>
              <c:showLegendKey val="0"/>
              <c:showVal val="0"/>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1-35F0-4D06-A091-6FBFBCBFF391}"/>
                </c:ext>
              </c:extLst>
            </c:dLbl>
            <c:dLbl>
              <c:idx val="2"/>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tx1">
                          <a:lumMod val="50000"/>
                          <a:lumOff val="50000"/>
                        </a:schemeClr>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04-35F0-4D06-A091-6FBFBCBFF391}"/>
                </c:ext>
              </c:extLst>
            </c:dLbl>
            <c:dLbl>
              <c:idx val="3"/>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rgbClr val="C8A977"/>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03-35F0-4D06-A091-6FBFBCBFF391}"/>
                </c:ext>
              </c:extLst>
            </c:dLbl>
            <c:spPr>
              <a:noFill/>
              <a:ln>
                <a:noFill/>
              </a:ln>
              <a:effectLst/>
            </c:spPr>
            <c:txPr>
              <a:bodyPr rot="0" spcFirstLastPara="1" vertOverflow="ellipsis" vert="horz" wrap="square" lIns="38100" tIns="19050" rIns="38100" bIns="19050" anchor="ctr" anchorCtr="1">
                <a:spAutoFit/>
              </a:bodyPr>
              <a:lstStyle/>
              <a:p>
                <a:pPr>
                  <a:defRPr sz="16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'Base Graf'!$BE$3:$BJ$3</c15:sqref>
                  </c15:fullRef>
                </c:ext>
              </c:extLst>
              <c:f>('Base Graf'!$BE$3,'Base Graf'!$BG$3:$BI$3)</c:f>
              <c:strCache>
                <c:ptCount val="4"/>
                <c:pt idx="0">
                  <c:v>FIJA $</c:v>
                </c:pt>
                <c:pt idx="1">
                  <c:v>FIJA USD</c:v>
                </c:pt>
                <c:pt idx="2">
                  <c:v>BADLAR</c:v>
                </c:pt>
                <c:pt idx="3">
                  <c:v>LIBOR</c:v>
                </c:pt>
              </c:strCache>
            </c:strRef>
          </c:cat>
          <c:val>
            <c:numRef>
              <c:extLst>
                <c:ext xmlns:c15="http://schemas.microsoft.com/office/drawing/2012/chart" uri="{02D57815-91ED-43cb-92C2-25804820EDAC}">
                  <c15:fullRef>
                    <c15:sqref>'Base Graf'!$BE$5:$BJ$5</c15:sqref>
                  </c15:fullRef>
                </c:ext>
              </c:extLst>
              <c:f>('Base Graf'!$BE$5,'Base Graf'!$BG$5:$BI$5)</c:f>
              <c:numCache>
                <c:formatCode>#,##0.0_ ;\-#,##0.0\ </c:formatCode>
                <c:ptCount val="4"/>
                <c:pt idx="0">
                  <c:v>77.992443620598948</c:v>
                </c:pt>
                <c:pt idx="1">
                  <c:v>398.47769231000001</c:v>
                </c:pt>
                <c:pt idx="2">
                  <c:v>30.274989195346905</c:v>
                </c:pt>
                <c:pt idx="3">
                  <c:v>197.34365702104236</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00-35F0-4D06-A091-6FBFBCBFF391}"/>
            </c:ext>
          </c:extLst>
        </c:ser>
        <c:dLbls>
          <c:showLegendKey val="0"/>
          <c:showVal val="0"/>
          <c:showCatName val="0"/>
          <c:showSerName val="0"/>
          <c:showPercent val="0"/>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rtl="0">
            <a:defRPr sz="1050" b="0" i="0" u="none" strike="noStrike" kern="1200" baseline="0">
              <a:solidFill>
                <a:schemeClr val="tx1"/>
              </a:solidFill>
              <a:latin typeface="+mn-lt"/>
              <a:ea typeface="+mn-ea"/>
              <a:cs typeface="+mn-cs"/>
            </a:defRPr>
          </a:pPr>
          <a:endParaRPr lang="es-AR"/>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dPt>
            <c:idx val="0"/>
            <c:bubble3D val="0"/>
            <c:spPr>
              <a:solidFill>
                <a:srgbClr val="3CB4E5"/>
              </a:solidFill>
              <a:ln w="19050">
                <a:solidFill>
                  <a:schemeClr val="lt1"/>
                </a:solidFill>
              </a:ln>
              <a:effectLst/>
            </c:spPr>
            <c:extLst>
              <c:ext xmlns:c16="http://schemas.microsoft.com/office/drawing/2014/chart" uri="{C3380CC4-5D6E-409C-BE32-E72D297353CC}">
                <c16:uniqueId val="{0000000B-20D2-485C-A575-426FF507F10E}"/>
              </c:ext>
            </c:extLst>
          </c:dPt>
          <c:dPt>
            <c:idx val="1"/>
            <c:bubble3D val="0"/>
            <c:spPr>
              <a:solidFill>
                <a:srgbClr val="000F9F"/>
              </a:solidFill>
              <a:ln w="19050">
                <a:solidFill>
                  <a:schemeClr val="lt1"/>
                </a:solidFill>
              </a:ln>
              <a:effectLst/>
            </c:spPr>
            <c:extLst>
              <c:ext xmlns:c16="http://schemas.microsoft.com/office/drawing/2014/chart" uri="{C3380CC4-5D6E-409C-BE32-E72D297353CC}">
                <c16:uniqueId val="{0000000D-20D2-485C-A575-426FF507F10E}"/>
              </c:ext>
            </c:extLst>
          </c:dPt>
          <c:dPt>
            <c:idx val="2"/>
            <c:bubble3D val="0"/>
            <c:spPr>
              <a:solidFill>
                <a:srgbClr val="C8A977"/>
              </a:solidFill>
              <a:ln w="19050">
                <a:solidFill>
                  <a:schemeClr val="lt1"/>
                </a:solidFill>
              </a:ln>
              <a:effectLst/>
            </c:spPr>
            <c:extLst>
              <c:ext xmlns:c16="http://schemas.microsoft.com/office/drawing/2014/chart" uri="{C3380CC4-5D6E-409C-BE32-E72D297353CC}">
                <c16:uniqueId val="{00000011-20D2-485C-A575-426FF507F10E}"/>
              </c:ext>
            </c:extLst>
          </c:dPt>
          <c:dLbls>
            <c:dLbl>
              <c:idx val="0"/>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rgbClr val="3CB4E5"/>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0B-20D2-485C-A575-426FF507F10E}"/>
                </c:ext>
              </c:extLst>
            </c:dLbl>
            <c:dLbl>
              <c:idx val="1"/>
              <c:tx>
                <c:rich>
                  <a:bodyPr/>
                  <a:lstStyle/>
                  <a:p>
                    <a:fld id="{DC9A279B-B81F-4996-91C9-DBDB1969D33F}" type="PERCENTAGE">
                      <a:rPr lang="en-US" b="1">
                        <a:solidFill>
                          <a:srgbClr val="000F9F"/>
                        </a:solidFill>
                      </a:rPr>
                      <a:pPr/>
                      <a:t>[PORCENTAJE]</a:t>
                    </a:fld>
                    <a:endParaRPr lang="es-AR"/>
                  </a:p>
                </c:rich>
              </c:tx>
              <c:dLblPos val="outEnd"/>
              <c:showLegendKey val="0"/>
              <c:showVal val="0"/>
              <c:showCatName val="0"/>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D-20D2-485C-A575-426FF507F10E}"/>
                </c:ext>
              </c:extLst>
            </c:dLbl>
            <c:dLbl>
              <c:idx val="2"/>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rgbClr val="C8A977"/>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11-20D2-485C-A575-426FF507F10E}"/>
                </c:ext>
              </c:extLst>
            </c:dLbl>
            <c:spPr>
              <a:noFill/>
              <a:ln>
                <a:noFill/>
              </a:ln>
              <a:effectLst/>
            </c:spPr>
            <c:txPr>
              <a:bodyPr rot="0" spcFirstLastPara="1" vertOverflow="ellipsis" vert="horz" wrap="square" lIns="38100" tIns="19050" rIns="38100" bIns="19050" anchor="ctr" anchorCtr="1">
                <a:spAutoFit/>
              </a:bodyPr>
              <a:lstStyle/>
              <a:p>
                <a:pPr>
                  <a:defRPr sz="1600" b="0" i="0" u="none" strike="noStrike" kern="1200" baseline="0">
                    <a:solidFill>
                      <a:schemeClr val="tx1">
                        <a:lumMod val="75000"/>
                        <a:lumOff val="25000"/>
                      </a:schemeClr>
                    </a:solidFill>
                    <a:latin typeface="+mn-lt"/>
                    <a:ea typeface="+mn-ea"/>
                    <a:cs typeface="+mn-cs"/>
                  </a:defRPr>
                </a:pPr>
                <a:endParaRPr lang="es-AR"/>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'Base Graf'!$AX$3:$AZ$3</c15:sqref>
                  </c15:fullRef>
                </c:ext>
              </c:extLst>
              <c:f>'Base Graf'!$AX$3:$AY$3</c:f>
              <c:strCache>
                <c:ptCount val="2"/>
                <c:pt idx="0">
                  <c:v>Pesos</c:v>
                </c:pt>
                <c:pt idx="1">
                  <c:v>USD</c:v>
                </c:pt>
              </c:strCache>
            </c:strRef>
          </c:cat>
          <c:val>
            <c:numRef>
              <c:extLst>
                <c:ext xmlns:c15="http://schemas.microsoft.com/office/drawing/2012/chart" uri="{02D57815-91ED-43cb-92C2-25804820EDAC}">
                  <c15:fullRef>
                    <c15:sqref>'Base Graf'!$AX$5:$AZ$5</c15:sqref>
                  </c15:fullRef>
                </c:ext>
              </c:extLst>
              <c:f>'Base Graf'!$AX$5:$AY$5</c:f>
              <c:numCache>
                <c:formatCode>#,##0.00</c:formatCode>
                <c:ptCount val="2"/>
                <c:pt idx="0">
                  <c:v>110.17074660698819</c:v>
                </c:pt>
                <c:pt idx="1">
                  <c:v>593.91803554000001</c:v>
                </c:pt>
              </c:numCache>
            </c:numRef>
          </c:val>
          <c:extLst>
            <c:ext xmlns:c15="http://schemas.microsoft.com/office/drawing/2012/chart" uri="{02D57815-91ED-43cb-92C2-25804820EDAC}">
              <c15:categoryFilterExceptions>
                <c15:categoryFilterException>
                  <c15:sqref>'Base Graf'!$AZ$5</c15:sqref>
                  <c15:spPr xmlns:c15="http://schemas.microsoft.com/office/drawing/2012/chart">
                    <a:solidFill>
                      <a:schemeClr val="tx1">
                        <a:lumMod val="50000"/>
                        <a:lumOff val="50000"/>
                      </a:schemeClr>
                    </a:solidFill>
                    <a:ln w="19050">
                      <a:solidFill>
                        <a:schemeClr val="lt1"/>
                      </a:solidFill>
                    </a:ln>
                    <a:effectLst/>
                  </c15:spPr>
                  <c15:bubble3D val="0"/>
                  <c15:dLbl>
                    <c:idx val="1"/>
                    <c:spPr>
                      <a:noFill/>
                      <a:ln>
                        <a:noFill/>
                      </a:ln>
                      <a:effectLst/>
                    </c:spPr>
                    <c:txPr>
                      <a:bodyPr rot="0" spcFirstLastPara="1" vertOverflow="ellipsis" vert="horz" wrap="square" lIns="38100" tIns="19050" rIns="38100" bIns="19050" anchor="ctr" anchorCtr="1">
                        <a:spAutoFit/>
                      </a:bodyPr>
                      <a:lstStyle/>
                      <a:p>
                        <a:pPr>
                          <a:defRPr sz="1600" b="1" i="0" u="none" strike="noStrike" kern="1200" baseline="0">
                            <a:solidFill>
                              <a:schemeClr val="tx1">
                                <a:lumMod val="50000"/>
                                <a:lumOff val="50000"/>
                              </a:schemeClr>
                            </a:solidFill>
                            <a:latin typeface="+mn-lt"/>
                            <a:ea typeface="+mn-ea"/>
                            <a:cs typeface="+mn-cs"/>
                          </a:defRPr>
                        </a:pPr>
                        <a:endParaRPr lang="es-AR"/>
                      </a:p>
                    </c:txPr>
                    <c:dLblPos val="outEnd"/>
                    <c:showLegendKey val="0"/>
                    <c:showVal val="0"/>
                    <c:showCatName val="0"/>
                    <c:showSerName val="0"/>
                    <c:showPercent val="1"/>
                    <c:showBubbleSize val="0"/>
                    <c:extLst>
                      <c:ext xmlns:c16="http://schemas.microsoft.com/office/drawing/2014/chart" uri="{C3380CC4-5D6E-409C-BE32-E72D297353CC}">
                        <c16:uniqueId val="{00000007-7FE0-4AC3-8EE0-45A9AE44FD45}"/>
                      </c:ext>
                    </c:extLst>
                  </c15:dLbl>
                </c15:categoryFilterException>
              </c15:categoryFilterExceptions>
            </c:ext>
            <c:ext xmlns:c16="http://schemas.microsoft.com/office/drawing/2014/chart" uri="{C3380CC4-5D6E-409C-BE32-E72D297353CC}">
              <c16:uniqueId val="{00000012-20D2-485C-A575-426FF507F10E}"/>
            </c:ext>
          </c:extLst>
        </c:ser>
        <c:dLbls>
          <c:showLegendKey val="0"/>
          <c:showVal val="0"/>
          <c:showCatName val="0"/>
          <c:showSerName val="0"/>
          <c:showPercent val="0"/>
          <c:showBubbleSize val="0"/>
          <c:showLeaderLines val="1"/>
        </c:dLbls>
        <c:firstSliceAng val="0"/>
      </c:pieChart>
    </c:plotArea>
    <c:legend>
      <c:legendPos val="b"/>
      <c:overlay val="0"/>
      <c:spPr>
        <a:noFill/>
        <a:ln>
          <a:noFill/>
        </a:ln>
        <a:effectLst/>
      </c:spPr>
      <c:txPr>
        <a:bodyPr rot="0" spcFirstLastPara="1" vertOverflow="ellipsis" vert="horz" wrap="square" anchor="ctr" anchorCtr="1"/>
        <a:lstStyle/>
        <a:p>
          <a:pPr rtl="0">
            <a:defRPr sz="1050" b="0" i="0" u="none" strike="noStrike" kern="1200" baseline="0">
              <a:solidFill>
                <a:schemeClr val="tx1"/>
              </a:solidFill>
              <a:latin typeface="+mn-lt"/>
              <a:ea typeface="+mn-ea"/>
              <a:cs typeface="+mn-cs"/>
            </a:defRPr>
          </a:pPr>
          <a:endParaRPr lang="es-AR"/>
        </a:p>
      </c:txPr>
    </c:legend>
    <c:plotVisOnly val="1"/>
    <c:dispBlanksAs val="gap"/>
    <c:showDLblsOverMax val="0"/>
    <c:extLst/>
  </c:chart>
  <c:spPr>
    <a:no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r>
              <a:rPr lang="es-AR" sz="1400" b="1" i="0" baseline="0">
                <a:solidFill>
                  <a:schemeClr val="tx1"/>
                </a:solidFill>
                <a:effectLst/>
                <a:latin typeface="Arial Narrow" panose="020B0606020202030204" pitchFamily="34" charset="0"/>
              </a:rPr>
              <a:t>DEUDA TOTAL ADMINISTRACIÓN CENTRAL MEDIDA EN TÉRMINOS REALES Y EN DÓLARES</a:t>
            </a:r>
            <a:endParaRPr lang="es-AR" sz="1400">
              <a:solidFill>
                <a:schemeClr val="tx1"/>
              </a:solidFill>
              <a:effectLst/>
              <a:latin typeface="Arial Narrow" panose="020B0606020202030204" pitchFamily="34" charset="0"/>
            </a:endParaRPr>
          </a:p>
          <a:p>
            <a:pPr algn="l">
              <a:defRPr/>
            </a:pPr>
            <a:r>
              <a:rPr lang="es-AR" sz="1200" b="0" i="0" baseline="0">
                <a:solidFill>
                  <a:srgbClr val="000F9F"/>
                </a:solidFill>
                <a:effectLst/>
                <a:latin typeface="Arial Narrow" panose="020B0606020202030204" pitchFamily="34" charset="0"/>
              </a:rPr>
              <a:t>Deuda en Millones de $ de Mar-24 (Eje Izq.) y en Millones de USD (Eje Der.)</a:t>
            </a:r>
            <a:endParaRPr lang="es-AR" sz="1200">
              <a:solidFill>
                <a:srgbClr val="000F9F"/>
              </a:solidFill>
              <a:effectLst/>
              <a:latin typeface="Arial Narrow" panose="020B0606020202030204" pitchFamily="34" charset="0"/>
            </a:endParaRPr>
          </a:p>
          <a:p>
            <a:pPr algn="l">
              <a:defRPr/>
            </a:pPr>
            <a:r>
              <a:rPr lang="es-AR" sz="1200" b="0" i="0" baseline="0">
                <a:solidFill>
                  <a:srgbClr val="000F9F"/>
                </a:solidFill>
                <a:effectLst/>
                <a:latin typeface="Arial Narrow" panose="020B0606020202030204" pitchFamily="34" charset="0"/>
              </a:rPr>
              <a:t>Fuente: DGDP, BCRA, DEIE</a:t>
            </a:r>
            <a:endParaRPr lang="es-AR" sz="1200">
              <a:solidFill>
                <a:srgbClr val="000F9F"/>
              </a:solidFill>
              <a:effectLst/>
              <a:latin typeface="Arial Narrow" panose="020B0606020202030204" pitchFamily="34" charset="0"/>
            </a:endParaRPr>
          </a:p>
        </c:rich>
      </c:tx>
      <c:layout>
        <c:manualLayout>
          <c:xMode val="edge"/>
          <c:yMode val="edge"/>
          <c:x val="1.2628787878787859E-2"/>
          <c:y val="2.5656565656565655E-2"/>
        </c:manualLayout>
      </c:layout>
      <c:overlay val="0"/>
      <c:spPr>
        <a:noFill/>
        <a:ln>
          <a:noFill/>
        </a:ln>
        <a:effectLst/>
      </c:spPr>
      <c:txPr>
        <a:bodyPr rot="0" spcFirstLastPara="1" vertOverflow="ellipsis" vert="horz" wrap="square" anchor="ctr" anchorCtr="1"/>
        <a:lstStyle/>
        <a:p>
          <a:pPr algn="l">
            <a:defRPr sz="1400" b="0" i="0" u="none" strike="noStrike" kern="1200" spc="0" baseline="0">
              <a:solidFill>
                <a:schemeClr val="tx1">
                  <a:lumMod val="65000"/>
                  <a:lumOff val="35000"/>
                </a:schemeClr>
              </a:solidFill>
              <a:latin typeface="+mn-lt"/>
              <a:ea typeface="+mn-ea"/>
              <a:cs typeface="+mn-cs"/>
            </a:defRPr>
          </a:pPr>
          <a:endParaRPr lang="es-AR"/>
        </a:p>
      </c:txPr>
    </c:title>
    <c:autoTitleDeleted val="0"/>
    <c:plotArea>
      <c:layout>
        <c:manualLayout>
          <c:layoutTarget val="inner"/>
          <c:xMode val="edge"/>
          <c:yMode val="edge"/>
          <c:x val="8.7803872053872037E-2"/>
          <c:y val="0.22714873737373736"/>
          <c:w val="0.83645896464646463"/>
          <c:h val="0.56070151515151512"/>
        </c:manualLayout>
      </c:layout>
      <c:lineChart>
        <c:grouping val="standard"/>
        <c:varyColors val="0"/>
        <c:ser>
          <c:idx val="0"/>
          <c:order val="0"/>
          <c:tx>
            <c:v>Deuda Total Adm Central en $ Mar-24</c:v>
          </c:tx>
          <c:spPr>
            <a:ln w="19050" cap="rnd">
              <a:solidFill>
                <a:srgbClr val="000F9F"/>
              </a:solidFill>
              <a:round/>
            </a:ln>
            <a:effectLst/>
          </c:spPr>
          <c:marker>
            <c:symbol val="none"/>
          </c:marker>
          <c:cat>
            <c:numRef>
              <c:f>'Evolución Deuda Total'!$B$4:$AP$4</c:f>
              <c:numCache>
                <c:formatCode>mmm\-yy</c:formatCode>
                <c:ptCount val="41"/>
                <c:pt idx="0">
                  <c:v>41729</c:v>
                </c:pt>
                <c:pt idx="1">
                  <c:v>41820</c:v>
                </c:pt>
                <c:pt idx="2">
                  <c:v>41912</c:v>
                </c:pt>
                <c:pt idx="3">
                  <c:v>42004</c:v>
                </c:pt>
                <c:pt idx="4">
                  <c:v>42094</c:v>
                </c:pt>
                <c:pt idx="5">
                  <c:v>42185</c:v>
                </c:pt>
                <c:pt idx="6">
                  <c:v>42277</c:v>
                </c:pt>
                <c:pt idx="7">
                  <c:v>42369</c:v>
                </c:pt>
                <c:pt idx="8">
                  <c:v>42460</c:v>
                </c:pt>
                <c:pt idx="9">
                  <c:v>42551</c:v>
                </c:pt>
                <c:pt idx="10">
                  <c:v>42643</c:v>
                </c:pt>
                <c:pt idx="11">
                  <c:v>42735</c:v>
                </c:pt>
                <c:pt idx="12">
                  <c:v>42825</c:v>
                </c:pt>
                <c:pt idx="13">
                  <c:v>42916</c:v>
                </c:pt>
                <c:pt idx="14">
                  <c:v>43008</c:v>
                </c:pt>
                <c:pt idx="15">
                  <c:v>43100</c:v>
                </c:pt>
                <c:pt idx="16">
                  <c:v>43190</c:v>
                </c:pt>
                <c:pt idx="17">
                  <c:v>43281</c:v>
                </c:pt>
                <c:pt idx="18">
                  <c:v>43373</c:v>
                </c:pt>
                <c:pt idx="19">
                  <c:v>43465</c:v>
                </c:pt>
                <c:pt idx="20">
                  <c:v>43555</c:v>
                </c:pt>
                <c:pt idx="21">
                  <c:v>43646</c:v>
                </c:pt>
                <c:pt idx="22">
                  <c:v>43738</c:v>
                </c:pt>
                <c:pt idx="23">
                  <c:v>43830</c:v>
                </c:pt>
                <c:pt idx="24">
                  <c:v>43921</c:v>
                </c:pt>
                <c:pt idx="25">
                  <c:v>44012</c:v>
                </c:pt>
                <c:pt idx="26">
                  <c:v>44104</c:v>
                </c:pt>
                <c:pt idx="27">
                  <c:v>44196</c:v>
                </c:pt>
                <c:pt idx="28">
                  <c:v>44286</c:v>
                </c:pt>
                <c:pt idx="29">
                  <c:v>44377</c:v>
                </c:pt>
                <c:pt idx="30">
                  <c:v>44469</c:v>
                </c:pt>
                <c:pt idx="31">
                  <c:v>44561</c:v>
                </c:pt>
                <c:pt idx="32">
                  <c:v>44651</c:v>
                </c:pt>
                <c:pt idx="33">
                  <c:v>44742</c:v>
                </c:pt>
                <c:pt idx="34">
                  <c:v>44834</c:v>
                </c:pt>
                <c:pt idx="35">
                  <c:v>44926</c:v>
                </c:pt>
                <c:pt idx="36">
                  <c:v>45016</c:v>
                </c:pt>
                <c:pt idx="37">
                  <c:v>45107</c:v>
                </c:pt>
                <c:pt idx="38">
                  <c:v>45199</c:v>
                </c:pt>
                <c:pt idx="39">
                  <c:v>45291</c:v>
                </c:pt>
                <c:pt idx="40">
                  <c:v>45382</c:v>
                </c:pt>
              </c:numCache>
            </c:numRef>
          </c:cat>
          <c:val>
            <c:numRef>
              <c:f>'Evolución Deuda Total'!$B$9:$AP$9</c:f>
              <c:numCache>
                <c:formatCode>#,##0.00</c:formatCode>
                <c:ptCount val="41"/>
                <c:pt idx="0">
                  <c:v>1094768.5953852411</c:v>
                </c:pt>
                <c:pt idx="1">
                  <c:v>1053828.8193177436</c:v>
                </c:pt>
                <c:pt idx="2">
                  <c:v>1012306.8939976258</c:v>
                </c:pt>
                <c:pt idx="3">
                  <c:v>1051883.0449506177</c:v>
                </c:pt>
                <c:pt idx="4">
                  <c:v>906655.99611070799</c:v>
                </c:pt>
                <c:pt idx="5">
                  <c:v>974930.87299209775</c:v>
                </c:pt>
                <c:pt idx="6">
                  <c:v>967925.66463371844</c:v>
                </c:pt>
                <c:pt idx="7">
                  <c:v>1434526.9660929972</c:v>
                </c:pt>
                <c:pt idx="8">
                  <c:v>1126032.0368702079</c:v>
                </c:pt>
                <c:pt idx="9">
                  <c:v>1476361.6311932947</c:v>
                </c:pt>
                <c:pt idx="10">
                  <c:v>1515581.6601632177</c:v>
                </c:pt>
                <c:pt idx="11">
                  <c:v>1542363.7593012324</c:v>
                </c:pt>
                <c:pt idx="12">
                  <c:v>1399499.7380331443</c:v>
                </c:pt>
                <c:pt idx="13">
                  <c:v>1657823.0713768806</c:v>
                </c:pt>
                <c:pt idx="14">
                  <c:v>1596809.3563673368</c:v>
                </c:pt>
                <c:pt idx="15">
                  <c:v>1546552.2937238789</c:v>
                </c:pt>
                <c:pt idx="16">
                  <c:v>1542310.9417413655</c:v>
                </c:pt>
                <c:pt idx="17">
                  <c:v>1664591.1009516115</c:v>
                </c:pt>
                <c:pt idx="18">
                  <c:v>1688263.5027796084</c:v>
                </c:pt>
                <c:pt idx="19">
                  <c:v>1565293.3880775685</c:v>
                </c:pt>
                <c:pt idx="20">
                  <c:v>1489624.7793442688</c:v>
                </c:pt>
                <c:pt idx="21">
                  <c:v>1464138.3596275414</c:v>
                </c:pt>
                <c:pt idx="22">
                  <c:v>1573252.934946873</c:v>
                </c:pt>
                <c:pt idx="23">
                  <c:v>1554243.3698054468</c:v>
                </c:pt>
                <c:pt idx="24">
                  <c:v>1407943.0072880238</c:v>
                </c:pt>
                <c:pt idx="25">
                  <c:v>1462464.9665180515</c:v>
                </c:pt>
                <c:pt idx="26">
                  <c:v>1463725.9921448631</c:v>
                </c:pt>
                <c:pt idx="27">
                  <c:v>1576715.1027854949</c:v>
                </c:pt>
                <c:pt idx="28">
                  <c:v>1351665.8153937554</c:v>
                </c:pt>
                <c:pt idx="29">
                  <c:v>1241309.3279271969</c:v>
                </c:pt>
                <c:pt idx="30">
                  <c:v>1234481.5527905612</c:v>
                </c:pt>
                <c:pt idx="31">
                  <c:v>1329239.5838344016</c:v>
                </c:pt>
                <c:pt idx="32">
                  <c:v>1046723.840592967</c:v>
                </c:pt>
                <c:pt idx="33">
                  <c:v>1003703.95772091</c:v>
                </c:pt>
                <c:pt idx="34">
                  <c:v>922667.75107368384</c:v>
                </c:pt>
                <c:pt idx="35">
                  <c:v>1059484.2164879716</c:v>
                </c:pt>
                <c:pt idx="36">
                  <c:v>775566.42859759124</c:v>
                </c:pt>
                <c:pt idx="37">
                  <c:v>763249.2190765593</c:v>
                </c:pt>
                <c:pt idx="38">
                  <c:v>764029.30974774109</c:v>
                </c:pt>
                <c:pt idx="39">
                  <c:v>946073.31989707437</c:v>
                </c:pt>
                <c:pt idx="40">
                  <c:v>664909.65798355173</c:v>
                </c:pt>
              </c:numCache>
            </c:numRef>
          </c:val>
          <c:smooth val="0"/>
          <c:extLst>
            <c:ext xmlns:c16="http://schemas.microsoft.com/office/drawing/2014/chart" uri="{C3380CC4-5D6E-409C-BE32-E72D297353CC}">
              <c16:uniqueId val="{00000000-E0DF-4B4F-8EAA-1F218C763922}"/>
            </c:ext>
          </c:extLst>
        </c:ser>
        <c:dLbls>
          <c:showLegendKey val="0"/>
          <c:showVal val="0"/>
          <c:showCatName val="0"/>
          <c:showSerName val="0"/>
          <c:showPercent val="0"/>
          <c:showBubbleSize val="0"/>
        </c:dLbls>
        <c:marker val="1"/>
        <c:smooth val="0"/>
        <c:axId val="-303967920"/>
        <c:axId val="-303969008"/>
      </c:lineChart>
      <c:lineChart>
        <c:grouping val="standard"/>
        <c:varyColors val="0"/>
        <c:ser>
          <c:idx val="1"/>
          <c:order val="1"/>
          <c:tx>
            <c:v>Deuda Total Adm Central en USD (Eje Der)</c:v>
          </c:tx>
          <c:spPr>
            <a:ln w="19050" cap="rnd">
              <a:solidFill>
                <a:srgbClr val="3CB4E5"/>
              </a:solidFill>
              <a:round/>
            </a:ln>
            <a:effectLst/>
          </c:spPr>
          <c:marker>
            <c:symbol val="none"/>
          </c:marker>
          <c:cat>
            <c:numRef>
              <c:f>'Evolución Deuda Total'!$B$4:$AP$4</c:f>
              <c:numCache>
                <c:formatCode>mmm\-yy</c:formatCode>
                <c:ptCount val="41"/>
                <c:pt idx="0">
                  <c:v>41729</c:v>
                </c:pt>
                <c:pt idx="1">
                  <c:v>41820</c:v>
                </c:pt>
                <c:pt idx="2">
                  <c:v>41912</c:v>
                </c:pt>
                <c:pt idx="3">
                  <c:v>42004</c:v>
                </c:pt>
                <c:pt idx="4">
                  <c:v>42094</c:v>
                </c:pt>
                <c:pt idx="5">
                  <c:v>42185</c:v>
                </c:pt>
                <c:pt idx="6">
                  <c:v>42277</c:v>
                </c:pt>
                <c:pt idx="7">
                  <c:v>42369</c:v>
                </c:pt>
                <c:pt idx="8">
                  <c:v>42460</c:v>
                </c:pt>
                <c:pt idx="9">
                  <c:v>42551</c:v>
                </c:pt>
                <c:pt idx="10">
                  <c:v>42643</c:v>
                </c:pt>
                <c:pt idx="11">
                  <c:v>42735</c:v>
                </c:pt>
                <c:pt idx="12">
                  <c:v>42825</c:v>
                </c:pt>
                <c:pt idx="13">
                  <c:v>42916</c:v>
                </c:pt>
                <c:pt idx="14">
                  <c:v>43008</c:v>
                </c:pt>
                <c:pt idx="15">
                  <c:v>43100</c:v>
                </c:pt>
                <c:pt idx="16">
                  <c:v>43190</c:v>
                </c:pt>
                <c:pt idx="17">
                  <c:v>43281</c:v>
                </c:pt>
                <c:pt idx="18">
                  <c:v>43373</c:v>
                </c:pt>
                <c:pt idx="19">
                  <c:v>43465</c:v>
                </c:pt>
                <c:pt idx="20">
                  <c:v>43555</c:v>
                </c:pt>
                <c:pt idx="21">
                  <c:v>43646</c:v>
                </c:pt>
                <c:pt idx="22">
                  <c:v>43738</c:v>
                </c:pt>
                <c:pt idx="23">
                  <c:v>43830</c:v>
                </c:pt>
                <c:pt idx="24">
                  <c:v>43921</c:v>
                </c:pt>
                <c:pt idx="25">
                  <c:v>44012</c:v>
                </c:pt>
                <c:pt idx="26">
                  <c:v>44104</c:v>
                </c:pt>
                <c:pt idx="27">
                  <c:v>44196</c:v>
                </c:pt>
                <c:pt idx="28">
                  <c:v>44286</c:v>
                </c:pt>
                <c:pt idx="29">
                  <c:v>44377</c:v>
                </c:pt>
                <c:pt idx="30">
                  <c:v>44469</c:v>
                </c:pt>
                <c:pt idx="31">
                  <c:v>44561</c:v>
                </c:pt>
                <c:pt idx="32">
                  <c:v>44651</c:v>
                </c:pt>
                <c:pt idx="33">
                  <c:v>44742</c:v>
                </c:pt>
                <c:pt idx="34">
                  <c:v>44834</c:v>
                </c:pt>
                <c:pt idx="35">
                  <c:v>44926</c:v>
                </c:pt>
                <c:pt idx="36">
                  <c:v>45016</c:v>
                </c:pt>
                <c:pt idx="37">
                  <c:v>45107</c:v>
                </c:pt>
                <c:pt idx="38">
                  <c:v>45199</c:v>
                </c:pt>
                <c:pt idx="39">
                  <c:v>45291</c:v>
                </c:pt>
                <c:pt idx="40">
                  <c:v>45382</c:v>
                </c:pt>
              </c:numCache>
            </c:numRef>
          </c:cat>
          <c:val>
            <c:numRef>
              <c:f>'Evolución Deuda Total'!$B$11:$AP$11</c:f>
              <c:numCache>
                <c:formatCode>#,##0.00</c:formatCode>
                <c:ptCount val="41"/>
                <c:pt idx="0">
                  <c:v>1198.0060980561311</c:v>
                </c:pt>
                <c:pt idx="1">
                  <c:v>1236.2989741438882</c:v>
                </c:pt>
                <c:pt idx="2">
                  <c:v>1214.2376852143709</c:v>
                </c:pt>
                <c:pt idx="3">
                  <c:v>1322.6856137114128</c:v>
                </c:pt>
                <c:pt idx="4">
                  <c:v>1161.440776354071</c:v>
                </c:pt>
                <c:pt idx="5">
                  <c:v>1284.3857329323723</c:v>
                </c:pt>
                <c:pt idx="6">
                  <c:v>1296.7956207809582</c:v>
                </c:pt>
                <c:pt idx="7">
                  <c:v>1487.2257882157555</c:v>
                </c:pt>
                <c:pt idx="8">
                  <c:v>1186.5068563914328</c:v>
                </c:pt>
                <c:pt idx="9">
                  <c:v>1686.5652731506366</c:v>
                </c:pt>
                <c:pt idx="10">
                  <c:v>1767.2638008660335</c:v>
                </c:pt>
                <c:pt idx="11">
                  <c:v>1820.5741236959532</c:v>
                </c:pt>
                <c:pt idx="12">
                  <c:v>1808.1787795455841</c:v>
                </c:pt>
                <c:pt idx="13">
                  <c:v>2091.8664489172725</c:v>
                </c:pt>
                <c:pt idx="14">
                  <c:v>2029.2965637817033</c:v>
                </c:pt>
                <c:pt idx="15">
                  <c:v>1923.8160416107323</c:v>
                </c:pt>
                <c:pt idx="16">
                  <c:v>1906.8874457626976</c:v>
                </c:pt>
                <c:pt idx="17">
                  <c:v>1561.8680580314178</c:v>
                </c:pt>
                <c:pt idx="18">
                  <c:v>1275.3649271383476</c:v>
                </c:pt>
                <c:pt idx="19">
                  <c:v>1427.4429920198836</c:v>
                </c:pt>
                <c:pt idx="20">
                  <c:v>1324.8426762725608</c:v>
                </c:pt>
                <c:pt idx="21">
                  <c:v>1456.06595329073</c:v>
                </c:pt>
                <c:pt idx="22">
                  <c:v>1298.7633279145018</c:v>
                </c:pt>
                <c:pt idx="23">
                  <c:v>1377.625793813218</c:v>
                </c:pt>
                <c:pt idx="24">
                  <c:v>1249.7074659407217</c:v>
                </c:pt>
                <c:pt idx="25">
                  <c:v>1250.6493763069705</c:v>
                </c:pt>
                <c:pt idx="26">
                  <c:v>1245.5093239823298</c:v>
                </c:pt>
                <c:pt idx="27">
                  <c:v>1353.1157961328599</c:v>
                </c:pt>
                <c:pt idx="28">
                  <c:v>1198.165322817955</c:v>
                </c:pt>
                <c:pt idx="29">
                  <c:v>1173.3892580683216</c:v>
                </c:pt>
                <c:pt idx="30">
                  <c:v>1236.2607775559195</c:v>
                </c:pt>
                <c:pt idx="31">
                  <c:v>1408.5738472361979</c:v>
                </c:pt>
                <c:pt idx="32">
                  <c:v>1192.0072095918158</c:v>
                </c:pt>
                <c:pt idx="33">
                  <c:v>1188.423046679211</c:v>
                </c:pt>
                <c:pt idx="34">
                  <c:v>1133.2682816595877</c:v>
                </c:pt>
                <c:pt idx="35">
                  <c:v>1268.388710513058</c:v>
                </c:pt>
                <c:pt idx="36">
                  <c:v>957.68267949680569</c:v>
                </c:pt>
                <c:pt idx="37">
                  <c:v>950.52011217489417</c:v>
                </c:pt>
                <c:pt idx="38">
                  <c:v>939.57982004744997</c:v>
                </c:pt>
                <c:pt idx="39">
                  <c:v>772.21285700382805</c:v>
                </c:pt>
                <c:pt idx="40">
                  <c:v>775.48018132088134</c:v>
                </c:pt>
              </c:numCache>
            </c:numRef>
          </c:val>
          <c:smooth val="0"/>
          <c:extLst>
            <c:ext xmlns:c16="http://schemas.microsoft.com/office/drawing/2014/chart" uri="{C3380CC4-5D6E-409C-BE32-E72D297353CC}">
              <c16:uniqueId val="{00000001-E0DF-4B4F-8EAA-1F218C763922}"/>
            </c:ext>
          </c:extLst>
        </c:ser>
        <c:dLbls>
          <c:showLegendKey val="0"/>
          <c:showVal val="0"/>
          <c:showCatName val="0"/>
          <c:showSerName val="0"/>
          <c:showPercent val="0"/>
          <c:showBubbleSize val="0"/>
        </c:dLbls>
        <c:marker val="1"/>
        <c:smooth val="0"/>
        <c:axId val="-303978800"/>
        <c:axId val="-303979888"/>
      </c:lineChart>
      <c:dateAx>
        <c:axId val="-303967920"/>
        <c:scaling>
          <c:orientation val="minMax"/>
        </c:scaling>
        <c:delete val="0"/>
        <c:axPos val="b"/>
        <c:numFmt formatCode="mmm\-yy" sourceLinked="1"/>
        <c:majorTickMark val="in"/>
        <c:minorTickMark val="none"/>
        <c:tickLblPos val="nextTo"/>
        <c:spPr>
          <a:noFill/>
          <a:ln w="9525" cap="flat" cmpd="sng" algn="ctr">
            <a:solidFill>
              <a:schemeClr val="tx1"/>
            </a:solidFill>
            <a:round/>
          </a:ln>
          <a:effectLst/>
        </c:spPr>
        <c:txPr>
          <a:bodyPr rot="-5400000" spcFirstLastPara="1" vertOverflow="ellipsis"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69008"/>
        <c:crosses val="autoZero"/>
        <c:auto val="1"/>
        <c:lblOffset val="100"/>
        <c:baseTimeUnit val="months"/>
        <c:majorUnit val="3"/>
        <c:majorTimeUnit val="months"/>
      </c:dateAx>
      <c:valAx>
        <c:axId val="-303969008"/>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AR" sz="1100" b="0">
                    <a:solidFill>
                      <a:schemeClr val="tx1"/>
                    </a:solidFill>
                    <a:latin typeface="Arial Narrow" panose="020B0606020202030204" pitchFamily="34" charset="0"/>
                  </a:rPr>
                  <a:t>Millones de Pesos</a:t>
                </a:r>
                <a:r>
                  <a:rPr lang="es-AR" sz="1100" b="0" baseline="0">
                    <a:solidFill>
                      <a:schemeClr val="tx1"/>
                    </a:solidFill>
                    <a:latin typeface="Arial Narrow" panose="020B0606020202030204" pitchFamily="34" charset="0"/>
                  </a:rPr>
                  <a:t> Mar 24</a:t>
                </a:r>
                <a:endParaRPr lang="es-AR" sz="1100" b="0">
                  <a:solidFill>
                    <a:schemeClr val="tx1"/>
                  </a:solidFill>
                  <a:latin typeface="Arial Narrow" panose="020B0606020202030204" pitchFamily="34" charset="0"/>
                </a:endParaRPr>
              </a:p>
            </c:rich>
          </c:tx>
          <c:layout>
            <c:manualLayout>
              <c:xMode val="edge"/>
              <c:yMode val="edge"/>
              <c:x val="7.1891835016835021E-3"/>
              <c:y val="0.31143510101010102"/>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67920"/>
        <c:crosses val="autoZero"/>
        <c:crossBetween val="between"/>
      </c:valAx>
      <c:valAx>
        <c:axId val="-303979888"/>
        <c:scaling>
          <c:orientation val="minMax"/>
          <c:max val="2500"/>
        </c:scaling>
        <c:delete val="0"/>
        <c:axPos val="r"/>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s-AR" sz="1100" b="0">
                    <a:solidFill>
                      <a:schemeClr val="tx1"/>
                    </a:solidFill>
                    <a:latin typeface="Arial Narrow" panose="020B0606020202030204" pitchFamily="34" charset="0"/>
                  </a:rPr>
                  <a:t>Millones de USD</a:t>
                </a:r>
              </a:p>
            </c:rich>
          </c:tx>
          <c:layout>
            <c:manualLayout>
              <c:xMode val="edge"/>
              <c:yMode val="edge"/>
              <c:x val="0.96926557239057243"/>
              <c:y val="0.34206262626262629"/>
            </c:manualLayout>
          </c:layout>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s-AR"/>
            </a:p>
          </c:txPr>
        </c:title>
        <c:numFmt formatCode="#,##0" sourceLinked="0"/>
        <c:majorTickMark val="out"/>
        <c:minorTickMark val="none"/>
        <c:tickLblPos val="nextTo"/>
        <c:spPr>
          <a:noFill/>
          <a:ln>
            <a:solidFill>
              <a:schemeClr val="tx1"/>
            </a:solidFill>
          </a:ln>
          <a:effectLst/>
        </c:spPr>
        <c:txPr>
          <a:bodyPr rot="-6000000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crossAx val="-303978800"/>
        <c:crosses val="max"/>
        <c:crossBetween val="between"/>
      </c:valAx>
      <c:dateAx>
        <c:axId val="-303978800"/>
        <c:scaling>
          <c:orientation val="minMax"/>
        </c:scaling>
        <c:delete val="1"/>
        <c:axPos val="b"/>
        <c:numFmt formatCode="mmm\-yy" sourceLinked="1"/>
        <c:majorTickMark val="out"/>
        <c:minorTickMark val="none"/>
        <c:tickLblPos val="nextTo"/>
        <c:crossAx val="-303979888"/>
        <c:crosses val="autoZero"/>
        <c:auto val="1"/>
        <c:lblOffset val="100"/>
        <c:baseTimeUnit val="months"/>
      </c:dateAx>
      <c:spPr>
        <a:noFill/>
        <a:ln>
          <a:noFill/>
        </a:ln>
        <a:effectLst/>
      </c:spPr>
    </c:plotArea>
    <c:legend>
      <c:legendPos val="b"/>
      <c:layout>
        <c:manualLayout>
          <c:xMode val="edge"/>
          <c:yMode val="edge"/>
          <c:x val="0.19972327441077445"/>
          <c:y val="0.92197045454545457"/>
          <c:w val="0.60589846380471379"/>
          <c:h val="5.8787121212121214E-2"/>
        </c:manualLayout>
      </c:layout>
      <c:overlay val="0"/>
      <c:spPr>
        <a:noFill/>
        <a:ln>
          <a:noFill/>
        </a:ln>
        <a:effectLst/>
      </c:spPr>
      <c:txPr>
        <a:bodyPr rot="0" spcFirstLastPara="1" vertOverflow="ellipsis" vert="horz" wrap="square" anchor="ctr" anchorCtr="1"/>
        <a:lstStyle/>
        <a:p>
          <a:pPr>
            <a:defRPr sz="1100" b="0" i="0" u="none" strike="noStrike" kern="1200" baseline="0">
              <a:solidFill>
                <a:schemeClr val="tx1"/>
              </a:solidFill>
              <a:latin typeface="Arial Narrow" panose="020B0606020202030204" pitchFamily="34" charset="0"/>
              <a:ea typeface="+mn-ea"/>
              <a:cs typeface="+mn-cs"/>
            </a:defRPr>
          </a:pPr>
          <a:endParaRPr lang="es-AR"/>
        </a:p>
      </c:txPr>
    </c:legend>
    <c:plotVisOnly val="1"/>
    <c:dispBlanksAs val="gap"/>
    <c:showDLblsOverMax val="0"/>
  </c:chart>
  <c:spPr>
    <a:solidFill>
      <a:schemeClr val="bg1"/>
    </a:solidFill>
    <a:ln w="9525" cap="flat" cmpd="sng" algn="ctr">
      <a:noFill/>
      <a:round/>
    </a:ln>
    <a:effectLst/>
  </c:spPr>
  <c:txPr>
    <a:bodyPr/>
    <a:lstStyle/>
    <a:p>
      <a:pPr>
        <a:defRPr/>
      </a:pPr>
      <a:endParaRPr lang="es-AR"/>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2.xml><?xml version="1.0" encoding="utf-8"?>
<cs:chartStyle xmlns:cs="http://schemas.microsoft.com/office/drawing/2012/chartStyle" xmlns:a="http://schemas.openxmlformats.org/drawingml/2006/main" id="206">
  <cs:axisTitle>
    <cs:lnRef idx="0"/>
    <cs:fillRef idx="0"/>
    <cs:effectRef idx="0"/>
    <cs:fontRef idx="minor">
      <a:schemeClr val="tx1">
        <a:lumMod val="50000"/>
        <a:lumOff val="50000"/>
      </a:schemeClr>
    </cs:fontRef>
    <cs:defRPr sz="900" kern="1200" cap="all"/>
  </cs:axisTitle>
  <cs:category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dk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50000"/>
        <a:lumOff val="50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
  <cs:dataPoint3D>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3D>
  <cs:dataPointLine>
    <cs:lnRef idx="0">
      <cs:styleClr val="auto"/>
    </cs:lnRef>
    <cs:fillRef idx="2">
      <cs:styleClr val="auto"/>
    </cs:fillRef>
    <cs:effectRef idx="1"/>
    <cs:fontRef idx="minor">
      <a:schemeClr val="dk1"/>
    </cs:fontRef>
    <cs:spPr>
      <a:ln w="15875" cap="rnd">
        <a:solidFill>
          <a:schemeClr val="phClr"/>
        </a:solidFill>
        <a:round/>
      </a:ln>
    </cs:spPr>
  </cs:dataPointLine>
  <cs:dataPointMarker>
    <cs:lnRef idx="0">
      <cs:styleClr val="auto"/>
    </cs:lnRef>
    <cs:fillRef idx="2">
      <cs:styleClr val="auto"/>
    </cs:fillRef>
    <cs:effectRef idx="1"/>
    <cs:fontRef idx="minor">
      <a:schemeClr val="dk1"/>
    </cs:fontRef>
    <cs:spPr>
      <a:ln w="9525" cap="flat" cmpd="sng" algn="ctr">
        <a:solidFill>
          <a:schemeClr val="phClr">
            <a:shade val="95000"/>
          </a:schemeClr>
        </a:solidFill>
        <a:round/>
      </a:ln>
    </cs:spPr>
  </cs:dataPointMarker>
  <cs:dataPointMarkerLayout symbol="circle" size="4"/>
  <cs:dataPointWireframe>
    <cs:lnRef idx="0">
      <cs:styleClr val="auto"/>
    </cs:lnRef>
    <cs:fillRef idx="2"/>
    <cs:effectRef idx="0"/>
    <cs:fontRef idx="minor">
      <a:schemeClr val="dk1"/>
    </cs:fontRef>
    <cs:spPr>
      <a:ln w="9525" cap="rnd">
        <a:solidFill>
          <a:schemeClr val="phClr"/>
        </a:solidFill>
        <a:round/>
      </a:ln>
    </cs:spPr>
  </cs:dataPointWireframe>
  <cs:dataTable>
    <cs:lnRef idx="0"/>
    <cs:fillRef idx="0"/>
    <cs:effectRef idx="0"/>
    <cs:fontRef idx="minor">
      <a:schemeClr val="tx1">
        <a:lumMod val="50000"/>
        <a:lumOff val="50000"/>
      </a:schemeClr>
    </cs:fontRef>
    <cs:spPr>
      <a:ln w="9525">
        <a:solidFill>
          <a:schemeClr val="tx1">
            <a:lumMod val="15000"/>
            <a:lumOff val="85000"/>
          </a:schemeClr>
        </a:solidFill>
      </a:ln>
    </cs:spPr>
    <cs:defRPr sz="900" kern="1200"/>
  </cs:dataTable>
  <cs:downBar>
    <cs:lnRef idx="0"/>
    <cs:fillRef idx="0"/>
    <cs:effectRef idx="0"/>
    <cs:fontRef idx="minor">
      <a:schemeClr val="dk1"/>
    </cs:fontRef>
    <cs:spPr>
      <a:solidFill>
        <a:schemeClr val="dk1">
          <a:lumMod val="75000"/>
          <a:lumOff val="25000"/>
        </a:schemeClr>
      </a:solidFill>
      <a:ln w="9525">
        <a:solidFill>
          <a:schemeClr val="tx1">
            <a:lumMod val="50000"/>
            <a:lumOff val="50000"/>
          </a:schemeClr>
        </a:solidFill>
      </a:ln>
    </cs:spPr>
  </cs:downBar>
  <cs:dropLine>
    <cs:lnRef idx="0"/>
    <cs:fillRef idx="0"/>
    <cs:effectRef idx="0"/>
    <cs:fontRef idx="minor">
      <a:schemeClr val="dk1"/>
    </cs:fontRef>
    <cs:spPr>
      <a:ln w="9525">
        <a:solidFill>
          <a:schemeClr val="tx1">
            <a:lumMod val="35000"/>
            <a:lumOff val="65000"/>
          </a:schemeClr>
        </a:solidFill>
        <a:prstDash val="dash"/>
      </a:ln>
    </cs:spPr>
  </cs:dropLine>
  <cs:errorBar>
    <cs:lnRef idx="0"/>
    <cs:fillRef idx="0"/>
    <cs:effectRef idx="0"/>
    <cs:fontRef idx="minor">
      <a:schemeClr val="dk1"/>
    </cs:fontRef>
    <cs:spPr>
      <a:ln w="9525">
        <a:solidFill>
          <a:schemeClr val="tx1">
            <a:lumMod val="50000"/>
            <a:lumOff val="50000"/>
          </a:schemeClr>
        </a:solidFill>
      </a:ln>
    </cs:spPr>
  </cs:errorBar>
  <cs:floor>
    <cs:lnRef idx="0"/>
    <cs:fillRef idx="0"/>
    <cs:effectRef idx="0"/>
    <cs:fontRef idx="minor">
      <a:schemeClr val="dk1"/>
    </cs:fontRef>
  </cs:floor>
  <cs:gridlineMajor>
    <cs:lnRef idx="0"/>
    <cs:fillRef idx="0"/>
    <cs:effectRef idx="0"/>
    <cs:fontRef idx="minor">
      <a:schemeClr val="dk1"/>
    </cs:fontRef>
    <cs:spPr>
      <a:ln w="9525" cap="flat" cmpd="sng" algn="ctr">
        <a:solidFill>
          <a:schemeClr val="tx1">
            <a:lumMod val="15000"/>
            <a:lumOff val="85000"/>
          </a:schemeClr>
        </a:solidFill>
        <a:round/>
      </a:ln>
    </cs:spPr>
  </cs:gridlineMajor>
  <cs:gridlineMinor>
    <cs:lnRef idx="0"/>
    <cs:fillRef idx="0"/>
    <cs:effectRef idx="0"/>
    <cs:fontRef idx="minor">
      <a:schemeClr val="dk1"/>
    </cs:fontRef>
    <cs:spPr>
      <a:ln>
        <a:solidFill>
          <a:schemeClr val="tx1">
            <a:lumMod val="5000"/>
            <a:lumOff val="95000"/>
          </a:schemeClr>
        </a:solidFill>
      </a:ln>
    </cs:spPr>
  </cs:gridlineMinor>
  <cs:hiLoLine>
    <cs:lnRef idx="0"/>
    <cs:fillRef idx="0"/>
    <cs:effectRef idx="0"/>
    <cs:fontRef idx="minor">
      <a:schemeClr val="dk1"/>
    </cs:fontRef>
    <cs:spPr>
      <a:ln w="9525">
        <a:solidFill>
          <a:schemeClr val="tx1">
            <a:lumMod val="50000"/>
            <a:lumOff val="50000"/>
          </a:schemeClr>
        </a:solidFill>
        <a:prstDash val="dash"/>
      </a:ln>
    </cs:spPr>
  </cs:hiLoLine>
  <cs:leaderLine>
    <cs:lnRef idx="0"/>
    <cs:fillRef idx="0"/>
    <cs:effectRef idx="0"/>
    <cs:fontRef idx="minor">
      <a:schemeClr val="dk1"/>
    </cs:fontRef>
    <cs:spPr>
      <a:ln w="9525">
        <a:solidFill>
          <a:schemeClr val="tx1">
            <a:lumMod val="35000"/>
            <a:lumOff val="65000"/>
          </a:schemeClr>
        </a:solidFill>
      </a:ln>
    </cs:spPr>
  </cs:leaderLine>
  <cs:legend>
    <cs:lnRef idx="0"/>
    <cs:fillRef idx="0"/>
    <cs:effectRef idx="0"/>
    <cs:fontRef idx="minor">
      <a:schemeClr val="tx1">
        <a:lumMod val="50000"/>
        <a:lumOff val="50000"/>
      </a:schemeClr>
    </cs:fontRef>
    <cs:defRPr sz="900" kern="1200"/>
  </cs:legend>
  <cs:plotArea mods="allowNoFillOverride allowNoLineOverride">
    <cs:lnRef idx="0"/>
    <cs:fillRef idx="0"/>
    <cs:effectRef idx="0"/>
    <cs:fontRef idx="minor">
      <a:schemeClr val="dk1"/>
    </cs:fontRef>
  </cs:plotArea>
  <cs:plotArea3D mods="allowNoFillOverride allowNoLineOverride">
    <cs:lnRef idx="0"/>
    <cs:fillRef idx="0"/>
    <cs:effectRef idx="0"/>
    <cs:fontRef idx="minor">
      <a:schemeClr val="dk1"/>
    </cs:fontRef>
  </cs:plotArea3D>
  <cs:seriesAxis>
    <cs:lnRef idx="0"/>
    <cs:fillRef idx="0"/>
    <cs:effectRef idx="0"/>
    <cs:fontRef idx="minor">
      <a:schemeClr val="tx1">
        <a:lumMod val="50000"/>
        <a:lumOff val="50000"/>
      </a:schemeClr>
    </cs:fontRef>
    <cs:spPr>
      <a:ln w="9525" cap="flat" cmpd="sng" algn="ctr">
        <a:solidFill>
          <a:schemeClr val="tx1">
            <a:lumMod val="15000"/>
            <a:lumOff val="85000"/>
          </a:schemeClr>
        </a:solidFill>
        <a:round/>
      </a:ln>
    </cs:spPr>
    <cs:defRPr sz="900" kern="1200"/>
  </cs:seriesAxis>
  <cs:seriesLine>
    <cs:lnRef idx="0"/>
    <cs:fillRef idx="0"/>
    <cs:effectRef idx="0"/>
    <cs:fontRef idx="minor">
      <a:schemeClr val="dk1"/>
    </cs:fontRef>
    <cs:spPr>
      <a:ln w="9525">
        <a:solidFill>
          <a:schemeClr val="tx1">
            <a:lumMod val="35000"/>
            <a:lumOff val="65000"/>
          </a:schemeClr>
        </a:solidFill>
        <a:prstDash val="dash"/>
      </a:ln>
    </cs:spPr>
  </cs:seriesLine>
  <cs:title>
    <cs:lnRef idx="0"/>
    <cs:fillRef idx="0"/>
    <cs:effectRef idx="0"/>
    <cs:fontRef idx="minor">
      <a:schemeClr val="tx1">
        <a:lumMod val="50000"/>
        <a:lumOff val="50000"/>
      </a:schemeClr>
    </cs:fontRef>
    <cs:defRPr sz="1400" kern="1200" cap="none" spc="20" baseline="0"/>
  </cs:title>
  <cs:trendline>
    <cs:lnRef idx="0">
      <cs:styleClr val="auto"/>
    </cs:lnRef>
    <cs:fillRef idx="2"/>
    <cs:effectRef idx="0"/>
    <cs:fontRef idx="minor">
      <a:schemeClr val="dk1"/>
    </cs:fontRef>
    <cs:spPr>
      <a:ln w="9525" cap="rnd">
        <a:solidFill>
          <a:schemeClr val="phClr"/>
        </a:solidFill>
      </a:ln>
    </cs:spPr>
  </cs:trendline>
  <cs:trendlineLabel>
    <cs:lnRef idx="0"/>
    <cs:fillRef idx="0"/>
    <cs:effectRef idx="0"/>
    <cs:fontRef idx="minor">
      <a:schemeClr val="tx1">
        <a:lumMod val="50000"/>
        <a:lumOff val="50000"/>
      </a:schemeClr>
    </cs:fontRef>
    <cs:defRPr sz="900" kern="1200"/>
  </cs:trendlineLabel>
  <cs:upBar>
    <cs:lnRef idx="0"/>
    <cs:fillRef idx="0"/>
    <cs:effectRef idx="0"/>
    <cs:fontRef idx="minor">
      <a:schemeClr val="dk1"/>
    </cs:fontRef>
    <cs:spPr>
      <a:solidFill>
        <a:schemeClr val="lt1"/>
      </a:solidFill>
      <a:ln w="9525">
        <a:solidFill>
          <a:schemeClr val="tx1">
            <a:lumMod val="50000"/>
            <a:lumOff val="50000"/>
          </a:schemeClr>
        </a:solidFill>
      </a:ln>
    </cs:spPr>
  </cs:upBar>
  <cs:valueAxis>
    <cs:lnRef idx="0"/>
    <cs:fillRef idx="0"/>
    <cs:effectRef idx="0"/>
    <cs:fontRef idx="minor">
      <a:schemeClr val="tx1">
        <a:lumMod val="50000"/>
        <a:lumOff val="50000"/>
      </a:schemeClr>
    </cs:fontRef>
    <cs:defRPr sz="900" kern="1200"/>
  </cs:valueAxis>
  <cs:wall>
    <cs:lnRef idx="0"/>
    <cs:fillRef idx="0"/>
    <cs:effectRef idx="0"/>
    <cs:fontRef idx="minor">
      <a:schemeClr val="dk1"/>
    </cs:fontRef>
  </cs:wall>
</cs:chartStyle>
</file>

<file path=xl/charts/style3.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trlProps/ctrlProp1.xml><?xml version="1.0" encoding="utf-8"?>
<formControlPr xmlns="http://schemas.microsoft.com/office/spreadsheetml/2009/9/main" objectType="Drop" dropStyle="combo" dx="16" fmlaLink="$K$6" fmlaRange="'Base Graf'!$BT$4:$BT$5" noThreeD="1" sel="1" val="0"/>
</file>

<file path=xl/ctrlProps/ctrlProp2.xml><?xml version="1.0" encoding="utf-8"?>
<formControlPr xmlns="http://schemas.microsoft.com/office/spreadsheetml/2009/9/main" objectType="Drop" dropStyle="combo" dx="16" fmlaLink="$K$25" fmlaRange="'Base Graf'!$BT$6:$BT$7" noThreeD="1" sel="1" val="0"/>
</file>

<file path=xl/ctrlProps/ctrlProp3.xml><?xml version="1.0" encoding="utf-8"?>
<formControlPr xmlns="http://schemas.microsoft.com/office/spreadsheetml/2009/9/main" objectType="Drop" dropStyle="combo" dx="16" fmlaLink="$K$44" fmlaRange="'Base Graf'!$BT$8:$BT$9" noThreeD="1" sel="2" val="0"/>
</file>

<file path=xl/ctrlProps/ctrlProp4.xml><?xml version="1.0" encoding="utf-8"?>
<formControlPr xmlns="http://schemas.microsoft.com/office/spreadsheetml/2009/9/main" objectType="Drop" dropStyle="combo" dx="16" fmlaLink="$K$64" fmlaRange="'Base Graf'!$BT$10:$BT$14" noThreeD="1" sel="2" val="0"/>
</file>

<file path=xl/drawings/_rels/drawing1.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 Id="rId4" Type="http://schemas.openxmlformats.org/officeDocument/2006/relationships/image" Target="../media/image5.emf"/></Relationships>
</file>

<file path=xl/drawings/_rels/drawing2.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image" Target="../media/image12.png"/><Relationship Id="rId7" Type="http://schemas.openxmlformats.org/officeDocument/2006/relationships/image" Target="../media/image16.png"/><Relationship Id="rId2" Type="http://schemas.openxmlformats.org/officeDocument/2006/relationships/image" Target="../media/image11.png"/><Relationship Id="rId1" Type="http://schemas.openxmlformats.org/officeDocument/2006/relationships/image" Target="../media/image10.png"/><Relationship Id="rId6" Type="http://schemas.openxmlformats.org/officeDocument/2006/relationships/image" Target="../media/image15.png"/><Relationship Id="rId5" Type="http://schemas.openxmlformats.org/officeDocument/2006/relationships/image" Target="../media/image14.png"/><Relationship Id="rId4" Type="http://schemas.openxmlformats.org/officeDocument/2006/relationships/image" Target="../media/image13.png"/></Relationships>
</file>

<file path=xl/drawings/_rels/drawing3.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5" Type="http://schemas.openxmlformats.org/officeDocument/2006/relationships/chart" Target="../charts/chart5.xml"/><Relationship Id="rId4" Type="http://schemas.openxmlformats.org/officeDocument/2006/relationships/chart" Target="../charts/chart4.xml"/></Relationships>
</file>

<file path=xl/drawings/_rels/drawing4.xml.rels><?xml version="1.0" encoding="UTF-8" standalone="yes"?>
<Relationships xmlns="http://schemas.openxmlformats.org/package/2006/relationships"><Relationship Id="rId1" Type="http://schemas.openxmlformats.org/officeDocument/2006/relationships/chart" Target="../charts/chart9.xml"/></Relationships>
</file>

<file path=xl/drawings/_rels/vmlDrawing1.vml.rels><?xml version="1.0" encoding="UTF-8" standalone="yes"?>
<Relationships xmlns="http://schemas.openxmlformats.org/package/2006/relationships"><Relationship Id="rId3" Type="http://schemas.openxmlformats.org/officeDocument/2006/relationships/image" Target="../media/image8.emf"/><Relationship Id="rId2" Type="http://schemas.openxmlformats.org/officeDocument/2006/relationships/image" Target="../media/image7.emf"/><Relationship Id="rId1" Type="http://schemas.openxmlformats.org/officeDocument/2006/relationships/image" Target="../media/image6.emf"/><Relationship Id="rId4" Type="http://schemas.openxmlformats.org/officeDocument/2006/relationships/image" Target="../media/image9.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752475</xdr:colOff>
          <xdr:row>4</xdr:row>
          <xdr:rowOff>9525</xdr:rowOff>
        </xdr:from>
        <xdr:to>
          <xdr:col>5</xdr:col>
          <xdr:colOff>581025</xdr:colOff>
          <xdr:row>5</xdr:row>
          <xdr:rowOff>180975</xdr:rowOff>
        </xdr:to>
        <xdr:sp macro="" textlink="">
          <xdr:nvSpPr>
            <xdr:cNvPr id="12289" name="Drop Down 1" hidden="1">
              <a:extLst>
                <a:ext uri="{63B3BB69-23CF-44E3-9099-C40C66FF867C}">
                  <a14:compatExt spid="_x0000_s12289"/>
                </a:ext>
                <a:ext uri="{FF2B5EF4-FFF2-40B4-BE49-F238E27FC236}">
                  <a16:creationId xmlns:a16="http://schemas.microsoft.com/office/drawing/2014/main" id="{00000000-0008-0000-0200-000001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2</xdr:row>
          <xdr:rowOff>133350</xdr:rowOff>
        </xdr:from>
        <xdr:to>
          <xdr:col>14</xdr:col>
          <xdr:colOff>504825</xdr:colOff>
          <xdr:row>19</xdr:row>
          <xdr:rowOff>142875</xdr:rowOff>
        </xdr:to>
        <xdr:pic>
          <xdr:nvPicPr>
            <xdr:cNvPr id="3" name="Imagen 2">
              <a:extLst>
                <a:ext uri="{FF2B5EF4-FFF2-40B4-BE49-F238E27FC236}">
                  <a16:creationId xmlns:a16="http://schemas.microsoft.com/office/drawing/2014/main" id="{00000000-0008-0000-0200-000003000000}"/>
                </a:ext>
              </a:extLst>
            </xdr:cNvPr>
            <xdr:cNvPicPr>
              <a:picLocks noChangeAspect="1" noChangeArrowheads="1"/>
              <a:extLst>
                <a:ext uri="{84589F7E-364E-4C9E-8A38-B11213B215E9}">
                  <a14:cameraTool cellRange="grafcomp" spid="_x0000_s54275"/>
                </a:ext>
              </a:extLst>
            </xdr:cNvPicPr>
          </xdr:nvPicPr>
          <xdr:blipFill>
            <a:blip xmlns:r="http://schemas.openxmlformats.org/officeDocument/2006/relationships" r:embed="rId1"/>
            <a:srcRect/>
            <a:stretch>
              <a:fillRect/>
            </a:stretch>
          </xdr:blipFill>
          <xdr:spPr bwMode="auto">
            <a:xfrm>
              <a:off x="5105400" y="5143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752475</xdr:colOff>
          <xdr:row>23</xdr:row>
          <xdr:rowOff>19050</xdr:rowOff>
        </xdr:from>
        <xdr:to>
          <xdr:col>5</xdr:col>
          <xdr:colOff>581025</xdr:colOff>
          <xdr:row>24</xdr:row>
          <xdr:rowOff>190500</xdr:rowOff>
        </xdr:to>
        <xdr:sp macro="" textlink="">
          <xdr:nvSpPr>
            <xdr:cNvPr id="12291" name="Drop Down 3" hidden="1">
              <a:extLst>
                <a:ext uri="{63B3BB69-23CF-44E3-9099-C40C66FF867C}">
                  <a14:compatExt spid="_x0000_s12291"/>
                </a:ext>
                <a:ext uri="{FF2B5EF4-FFF2-40B4-BE49-F238E27FC236}">
                  <a16:creationId xmlns:a16="http://schemas.microsoft.com/office/drawing/2014/main" id="{00000000-0008-0000-0200-000003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22</xdr:row>
          <xdr:rowOff>57150</xdr:rowOff>
        </xdr:from>
        <xdr:to>
          <xdr:col>14</xdr:col>
          <xdr:colOff>495300</xdr:colOff>
          <xdr:row>39</xdr:row>
          <xdr:rowOff>66675</xdr:rowOff>
        </xdr:to>
        <xdr:pic>
          <xdr:nvPicPr>
            <xdr:cNvPr id="5" name="Imagen 4">
              <a:extLst>
                <a:ext uri="{FF2B5EF4-FFF2-40B4-BE49-F238E27FC236}">
                  <a16:creationId xmlns:a16="http://schemas.microsoft.com/office/drawing/2014/main" id="{00000000-0008-0000-0200-000005000000}"/>
                </a:ext>
              </a:extLst>
            </xdr:cNvPr>
            <xdr:cNvPicPr>
              <a:picLocks noChangeAspect="1" noChangeArrowheads="1"/>
              <a:extLst>
                <a:ext uri="{84589F7E-364E-4C9E-8A38-B11213B215E9}">
                  <a14:cameraTool cellRange="grafvto" spid="_x0000_s54276"/>
                </a:ext>
              </a:extLst>
            </xdr:cNvPicPr>
          </xdr:nvPicPr>
          <xdr:blipFill>
            <a:blip xmlns:r="http://schemas.openxmlformats.org/officeDocument/2006/relationships" r:embed="rId2"/>
            <a:srcRect/>
            <a:stretch>
              <a:fillRect/>
            </a:stretch>
          </xdr:blipFill>
          <xdr:spPr bwMode="auto">
            <a:xfrm>
              <a:off x="6619875" y="42481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752475</xdr:colOff>
          <xdr:row>41</xdr:row>
          <xdr:rowOff>114300</xdr:rowOff>
        </xdr:from>
        <xdr:to>
          <xdr:col>5</xdr:col>
          <xdr:colOff>581025</xdr:colOff>
          <xdr:row>43</xdr:row>
          <xdr:rowOff>95250</xdr:rowOff>
        </xdr:to>
        <xdr:sp macro="" textlink="">
          <xdr:nvSpPr>
            <xdr:cNvPr id="12295" name="Drop Down 7" hidden="1">
              <a:extLst>
                <a:ext uri="{63B3BB69-23CF-44E3-9099-C40C66FF867C}">
                  <a14:compatExt spid="_x0000_s12295"/>
                </a:ext>
                <a:ext uri="{FF2B5EF4-FFF2-40B4-BE49-F238E27FC236}">
                  <a16:creationId xmlns:a16="http://schemas.microsoft.com/office/drawing/2014/main" id="{00000000-0008-0000-0200-000007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40</xdr:row>
          <xdr:rowOff>171450</xdr:rowOff>
        </xdr:from>
        <xdr:to>
          <xdr:col>14</xdr:col>
          <xdr:colOff>504825</xdr:colOff>
          <xdr:row>57</xdr:row>
          <xdr:rowOff>180975</xdr:rowOff>
        </xdr:to>
        <xdr:pic>
          <xdr:nvPicPr>
            <xdr:cNvPr id="8" name="Imagen 7">
              <a:extLst>
                <a:ext uri="{FF2B5EF4-FFF2-40B4-BE49-F238E27FC236}">
                  <a16:creationId xmlns:a16="http://schemas.microsoft.com/office/drawing/2014/main" id="{00000000-0008-0000-0200-000008000000}"/>
                </a:ext>
              </a:extLst>
            </xdr:cNvPr>
            <xdr:cNvPicPr>
              <a:picLocks noChangeAspect="1" noChangeArrowheads="1"/>
              <a:extLst>
                <a:ext uri="{84589F7E-364E-4C9E-8A38-B11213B215E9}">
                  <a14:cameraTool cellRange="grafserv" spid="_x0000_s54277"/>
                </a:ext>
              </a:extLst>
            </xdr:cNvPicPr>
          </xdr:nvPicPr>
          <xdr:blipFill>
            <a:blip xmlns:r="http://schemas.openxmlformats.org/officeDocument/2006/relationships" r:embed="rId3"/>
            <a:srcRect/>
            <a:stretch>
              <a:fillRect/>
            </a:stretch>
          </xdr:blipFill>
          <xdr:spPr bwMode="auto">
            <a:xfrm>
              <a:off x="6629400" y="779145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647700</xdr:colOff>
          <xdr:row>61</xdr:row>
          <xdr:rowOff>38100</xdr:rowOff>
        </xdr:from>
        <xdr:to>
          <xdr:col>5</xdr:col>
          <xdr:colOff>476250</xdr:colOff>
          <xdr:row>63</xdr:row>
          <xdr:rowOff>19050</xdr:rowOff>
        </xdr:to>
        <xdr:sp macro="" textlink="">
          <xdr:nvSpPr>
            <xdr:cNvPr id="12301" name="Drop Down 13" hidden="1">
              <a:extLst>
                <a:ext uri="{63B3BB69-23CF-44E3-9099-C40C66FF867C}">
                  <a14:compatExt spid="_x0000_s12301"/>
                </a:ext>
                <a:ext uri="{FF2B5EF4-FFF2-40B4-BE49-F238E27FC236}">
                  <a16:creationId xmlns:a16="http://schemas.microsoft.com/office/drawing/2014/main" id="{00000000-0008-0000-0200-00000D30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60</xdr:row>
          <xdr:rowOff>0</xdr:rowOff>
        </xdr:from>
        <xdr:to>
          <xdr:col>14</xdr:col>
          <xdr:colOff>495300</xdr:colOff>
          <xdr:row>77</xdr:row>
          <xdr:rowOff>9525</xdr:rowOff>
        </xdr:to>
        <xdr:pic>
          <xdr:nvPicPr>
            <xdr:cNvPr id="10" name="Imagen 9">
              <a:extLst>
                <a:ext uri="{FF2B5EF4-FFF2-40B4-BE49-F238E27FC236}">
                  <a16:creationId xmlns:a16="http://schemas.microsoft.com/office/drawing/2014/main" id="{00000000-0008-0000-0200-00000A000000}"/>
                </a:ext>
              </a:extLst>
            </xdr:cNvPr>
            <xdr:cNvPicPr>
              <a:picLocks noChangeAspect="1" noChangeArrowheads="1"/>
              <a:extLst>
                <a:ext uri="{84589F7E-364E-4C9E-8A38-B11213B215E9}">
                  <a14:cameraTool cellRange="grafacreedor" spid="_x0000_s54278"/>
                </a:ext>
              </a:extLst>
            </xdr:cNvPicPr>
          </xdr:nvPicPr>
          <xdr:blipFill>
            <a:blip xmlns:r="http://schemas.openxmlformats.org/officeDocument/2006/relationships" r:embed="rId4"/>
            <a:srcRect/>
            <a:stretch>
              <a:fillRect/>
            </a:stretch>
          </xdr:blipFill>
          <xdr:spPr bwMode="auto">
            <a:xfrm>
              <a:off x="6619875" y="11430000"/>
              <a:ext cx="6067425" cy="3248025"/>
            </a:xfrm>
            <a:prstGeom prst="rect">
              <a:avLst/>
            </a:prstGeom>
            <a:noFill/>
            <a:extLst>
              <a:ext uri="{909E8E84-426E-40DD-AFC4-6F175D3DCCD1}">
                <a14:hiddenFill>
                  <a:solidFill>
                    <a:srgbClr val="FFFFFF"/>
                  </a:solidFill>
                </a14:hiddenFill>
              </a:ext>
            </a:extLst>
          </xdr:spPr>
        </xdr:pic>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0</xdr:col>
      <xdr:colOff>0</xdr:colOff>
      <xdr:row>4</xdr:row>
      <xdr:rowOff>104776</xdr:rowOff>
    </xdr:from>
    <xdr:to>
      <xdr:col>6</xdr:col>
      <xdr:colOff>542925</xdr:colOff>
      <xdr:row>21</xdr:row>
      <xdr:rowOff>78956</xdr:rowOff>
    </xdr:to>
    <xdr:pic>
      <xdr:nvPicPr>
        <xdr:cNvPr id="3" name="Imagen 2">
          <a:extLst>
            <a:ext uri="{FF2B5EF4-FFF2-40B4-BE49-F238E27FC236}">
              <a16:creationId xmlns:a16="http://schemas.microsoft.com/office/drawing/2014/main" id="{00000000-0008-0000-0400-000003000000}"/>
            </a:ext>
          </a:extLst>
        </xdr:cNvPr>
        <xdr:cNvPicPr>
          <a:picLocks noChangeAspect="1"/>
        </xdr:cNvPicPr>
      </xdr:nvPicPr>
      <xdr:blipFill>
        <a:blip xmlns:r="http://schemas.openxmlformats.org/officeDocument/2006/relationships" r:embed="rId1"/>
        <a:stretch>
          <a:fillRect/>
        </a:stretch>
      </xdr:blipFill>
      <xdr:spPr>
        <a:xfrm>
          <a:off x="0" y="1066801"/>
          <a:ext cx="5114925" cy="3212680"/>
        </a:xfrm>
        <a:prstGeom prst="rect">
          <a:avLst/>
        </a:prstGeom>
      </xdr:spPr>
    </xdr:pic>
    <xdr:clientData/>
  </xdr:twoCellAnchor>
  <xdr:twoCellAnchor editAs="oneCell">
    <xdr:from>
      <xdr:col>7</xdr:col>
      <xdr:colOff>723900</xdr:colOff>
      <xdr:row>5</xdr:row>
      <xdr:rowOff>0</xdr:rowOff>
    </xdr:from>
    <xdr:to>
      <xdr:col>15</xdr:col>
      <xdr:colOff>619231</xdr:colOff>
      <xdr:row>20</xdr:row>
      <xdr:rowOff>171450</xdr:rowOff>
    </xdr:to>
    <xdr:pic>
      <xdr:nvPicPr>
        <xdr:cNvPr id="4" name="Imagen 3">
          <a:extLst>
            <a:ext uri="{FF2B5EF4-FFF2-40B4-BE49-F238E27FC236}">
              <a16:creationId xmlns:a16="http://schemas.microsoft.com/office/drawing/2014/main" id="{00000000-0008-0000-0400-000004000000}"/>
            </a:ext>
          </a:extLst>
        </xdr:cNvPr>
        <xdr:cNvPicPr>
          <a:picLocks noChangeAspect="1"/>
        </xdr:cNvPicPr>
      </xdr:nvPicPr>
      <xdr:blipFill>
        <a:blip xmlns:r="http://schemas.openxmlformats.org/officeDocument/2006/relationships" r:embed="rId2"/>
        <a:stretch>
          <a:fillRect/>
        </a:stretch>
      </xdr:blipFill>
      <xdr:spPr>
        <a:xfrm>
          <a:off x="6057900" y="1152525"/>
          <a:ext cx="5991331" cy="3028950"/>
        </a:xfrm>
        <a:prstGeom prst="rect">
          <a:avLst/>
        </a:prstGeom>
      </xdr:spPr>
    </xdr:pic>
    <xdr:clientData/>
  </xdr:twoCellAnchor>
  <xdr:twoCellAnchor editAs="oneCell">
    <xdr:from>
      <xdr:col>0</xdr:col>
      <xdr:colOff>0</xdr:colOff>
      <xdr:row>26</xdr:row>
      <xdr:rowOff>0</xdr:rowOff>
    </xdr:from>
    <xdr:to>
      <xdr:col>7</xdr:col>
      <xdr:colOff>226034</xdr:colOff>
      <xdr:row>42</xdr:row>
      <xdr:rowOff>264</xdr:rowOff>
    </xdr:to>
    <xdr:pic>
      <xdr:nvPicPr>
        <xdr:cNvPr id="12" name="Imagen 11">
          <a:extLst>
            <a:ext uri="{FF2B5EF4-FFF2-40B4-BE49-F238E27FC236}">
              <a16:creationId xmlns:a16="http://schemas.microsoft.com/office/drawing/2014/main" id="{00000000-0008-0000-0400-00000C000000}"/>
            </a:ext>
          </a:extLst>
        </xdr:cNvPr>
        <xdr:cNvPicPr>
          <a:picLocks noChangeAspect="1"/>
        </xdr:cNvPicPr>
      </xdr:nvPicPr>
      <xdr:blipFill>
        <a:blip xmlns:r="http://schemas.openxmlformats.org/officeDocument/2006/relationships" r:embed="rId3"/>
        <a:stretch>
          <a:fillRect/>
        </a:stretch>
      </xdr:blipFill>
      <xdr:spPr>
        <a:xfrm>
          <a:off x="0" y="5200650"/>
          <a:ext cx="5560034" cy="3048264"/>
        </a:xfrm>
        <a:prstGeom prst="rect">
          <a:avLst/>
        </a:prstGeom>
      </xdr:spPr>
    </xdr:pic>
    <xdr:clientData/>
  </xdr:twoCellAnchor>
  <xdr:twoCellAnchor editAs="oneCell">
    <xdr:from>
      <xdr:col>8</xdr:col>
      <xdr:colOff>0</xdr:colOff>
      <xdr:row>26</xdr:row>
      <xdr:rowOff>0</xdr:rowOff>
    </xdr:from>
    <xdr:to>
      <xdr:col>15</xdr:col>
      <xdr:colOff>226034</xdr:colOff>
      <xdr:row>42</xdr:row>
      <xdr:rowOff>264</xdr:rowOff>
    </xdr:to>
    <xdr:pic>
      <xdr:nvPicPr>
        <xdr:cNvPr id="19" name="Imagen 18">
          <a:extLst>
            <a:ext uri="{FF2B5EF4-FFF2-40B4-BE49-F238E27FC236}">
              <a16:creationId xmlns:a16="http://schemas.microsoft.com/office/drawing/2014/main" id="{00000000-0008-0000-0400-000013000000}"/>
            </a:ext>
          </a:extLst>
        </xdr:cNvPr>
        <xdr:cNvPicPr>
          <a:picLocks noChangeAspect="1"/>
        </xdr:cNvPicPr>
      </xdr:nvPicPr>
      <xdr:blipFill>
        <a:blip xmlns:r="http://schemas.openxmlformats.org/officeDocument/2006/relationships" r:embed="rId4"/>
        <a:stretch>
          <a:fillRect/>
        </a:stretch>
      </xdr:blipFill>
      <xdr:spPr>
        <a:xfrm>
          <a:off x="6096000" y="5200650"/>
          <a:ext cx="5560034" cy="3048264"/>
        </a:xfrm>
        <a:prstGeom prst="rect">
          <a:avLst/>
        </a:prstGeom>
      </xdr:spPr>
    </xdr:pic>
    <xdr:clientData/>
  </xdr:twoCellAnchor>
  <xdr:twoCellAnchor editAs="oneCell">
    <xdr:from>
      <xdr:col>0</xdr:col>
      <xdr:colOff>0</xdr:colOff>
      <xdr:row>46</xdr:row>
      <xdr:rowOff>0</xdr:rowOff>
    </xdr:from>
    <xdr:to>
      <xdr:col>7</xdr:col>
      <xdr:colOff>226034</xdr:colOff>
      <xdr:row>62</xdr:row>
      <xdr:rowOff>30747</xdr:rowOff>
    </xdr:to>
    <xdr:pic>
      <xdr:nvPicPr>
        <xdr:cNvPr id="20" name="Imagen 19">
          <a:extLst>
            <a:ext uri="{FF2B5EF4-FFF2-40B4-BE49-F238E27FC236}">
              <a16:creationId xmlns:a16="http://schemas.microsoft.com/office/drawing/2014/main" id="{00000000-0008-0000-0400-000014000000}"/>
            </a:ext>
          </a:extLst>
        </xdr:cNvPr>
        <xdr:cNvPicPr>
          <a:picLocks noChangeAspect="1"/>
        </xdr:cNvPicPr>
      </xdr:nvPicPr>
      <xdr:blipFill>
        <a:blip xmlns:r="http://schemas.openxmlformats.org/officeDocument/2006/relationships" r:embed="rId5"/>
        <a:stretch>
          <a:fillRect/>
        </a:stretch>
      </xdr:blipFill>
      <xdr:spPr>
        <a:xfrm>
          <a:off x="0" y="9058275"/>
          <a:ext cx="5560034" cy="3078747"/>
        </a:xfrm>
        <a:prstGeom prst="rect">
          <a:avLst/>
        </a:prstGeom>
      </xdr:spPr>
    </xdr:pic>
    <xdr:clientData/>
  </xdr:twoCellAnchor>
  <xdr:twoCellAnchor editAs="oneCell">
    <xdr:from>
      <xdr:col>8</xdr:col>
      <xdr:colOff>0</xdr:colOff>
      <xdr:row>46</xdr:row>
      <xdr:rowOff>0</xdr:rowOff>
    </xdr:from>
    <xdr:to>
      <xdr:col>15</xdr:col>
      <xdr:colOff>226034</xdr:colOff>
      <xdr:row>62</xdr:row>
      <xdr:rowOff>264</xdr:rowOff>
    </xdr:to>
    <xdr:pic>
      <xdr:nvPicPr>
        <xdr:cNvPr id="21" name="Imagen 20">
          <a:extLst>
            <a:ext uri="{FF2B5EF4-FFF2-40B4-BE49-F238E27FC236}">
              <a16:creationId xmlns:a16="http://schemas.microsoft.com/office/drawing/2014/main" id="{00000000-0008-0000-0400-000015000000}"/>
            </a:ext>
          </a:extLst>
        </xdr:cNvPr>
        <xdr:cNvPicPr>
          <a:picLocks noChangeAspect="1"/>
        </xdr:cNvPicPr>
      </xdr:nvPicPr>
      <xdr:blipFill>
        <a:blip xmlns:r="http://schemas.openxmlformats.org/officeDocument/2006/relationships" r:embed="rId6"/>
        <a:stretch>
          <a:fillRect/>
        </a:stretch>
      </xdr:blipFill>
      <xdr:spPr>
        <a:xfrm>
          <a:off x="6096000" y="9058275"/>
          <a:ext cx="5560034" cy="3048264"/>
        </a:xfrm>
        <a:prstGeom prst="rect">
          <a:avLst/>
        </a:prstGeom>
      </xdr:spPr>
    </xdr:pic>
    <xdr:clientData/>
  </xdr:twoCellAnchor>
  <xdr:twoCellAnchor editAs="oneCell">
    <xdr:from>
      <xdr:col>0</xdr:col>
      <xdr:colOff>0</xdr:colOff>
      <xdr:row>67</xdr:row>
      <xdr:rowOff>0</xdr:rowOff>
    </xdr:from>
    <xdr:to>
      <xdr:col>7</xdr:col>
      <xdr:colOff>232130</xdr:colOff>
      <xdr:row>83</xdr:row>
      <xdr:rowOff>264</xdr:rowOff>
    </xdr:to>
    <xdr:pic>
      <xdr:nvPicPr>
        <xdr:cNvPr id="22" name="Imagen 21">
          <a:extLst>
            <a:ext uri="{FF2B5EF4-FFF2-40B4-BE49-F238E27FC236}">
              <a16:creationId xmlns:a16="http://schemas.microsoft.com/office/drawing/2014/main" id="{00000000-0008-0000-0400-000016000000}"/>
            </a:ext>
          </a:extLst>
        </xdr:cNvPr>
        <xdr:cNvPicPr>
          <a:picLocks noChangeAspect="1"/>
        </xdr:cNvPicPr>
      </xdr:nvPicPr>
      <xdr:blipFill>
        <a:blip xmlns:r="http://schemas.openxmlformats.org/officeDocument/2006/relationships" r:embed="rId7"/>
        <a:stretch>
          <a:fillRect/>
        </a:stretch>
      </xdr:blipFill>
      <xdr:spPr>
        <a:xfrm>
          <a:off x="0" y="13106400"/>
          <a:ext cx="5566130" cy="3048264"/>
        </a:xfrm>
        <a:prstGeom prst="rect">
          <a:avLst/>
        </a:prstGeom>
      </xdr:spPr>
    </xdr:pic>
    <xdr:clientData/>
  </xdr:twoCellAnchor>
  <xdr:twoCellAnchor editAs="oneCell">
    <xdr:from>
      <xdr:col>8</xdr:col>
      <xdr:colOff>0</xdr:colOff>
      <xdr:row>67</xdr:row>
      <xdr:rowOff>0</xdr:rowOff>
    </xdr:from>
    <xdr:to>
      <xdr:col>15</xdr:col>
      <xdr:colOff>226034</xdr:colOff>
      <xdr:row>83</xdr:row>
      <xdr:rowOff>264</xdr:rowOff>
    </xdr:to>
    <xdr:pic>
      <xdr:nvPicPr>
        <xdr:cNvPr id="23" name="Imagen 22">
          <a:extLst>
            <a:ext uri="{FF2B5EF4-FFF2-40B4-BE49-F238E27FC236}">
              <a16:creationId xmlns:a16="http://schemas.microsoft.com/office/drawing/2014/main" id="{00000000-0008-0000-0400-000017000000}"/>
            </a:ext>
          </a:extLst>
        </xdr:cNvPr>
        <xdr:cNvPicPr>
          <a:picLocks noChangeAspect="1"/>
        </xdr:cNvPicPr>
      </xdr:nvPicPr>
      <xdr:blipFill>
        <a:blip xmlns:r="http://schemas.openxmlformats.org/officeDocument/2006/relationships" r:embed="rId8"/>
        <a:stretch>
          <a:fillRect/>
        </a:stretch>
      </xdr:blipFill>
      <xdr:spPr>
        <a:xfrm>
          <a:off x="6096000" y="13106400"/>
          <a:ext cx="5560034" cy="304826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65</xdr:col>
      <xdr:colOff>238125</xdr:colOff>
      <xdr:row>38</xdr:row>
      <xdr:rowOff>38099</xdr:rowOff>
    </xdr:from>
    <xdr:to>
      <xdr:col>65</xdr:col>
      <xdr:colOff>5800125</xdr:colOff>
      <xdr:row>53</xdr:row>
      <xdr:rowOff>172199</xdr:rowOff>
    </xdr:to>
    <xdr:graphicFrame macro="">
      <xdr:nvGraphicFramePr>
        <xdr:cNvPr id="4" name="Gráfico 3">
          <a:extLst>
            <a:ext uri="{FF2B5EF4-FFF2-40B4-BE49-F238E27FC236}">
              <a16:creationId xmlns:a16="http://schemas.microsoft.com/office/drawing/2014/main" id="{00000000-0008-0000-0500-000004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65</xdr:col>
      <xdr:colOff>238125</xdr:colOff>
      <xdr:row>56</xdr:row>
      <xdr:rowOff>66675</xdr:rowOff>
    </xdr:from>
    <xdr:to>
      <xdr:col>65</xdr:col>
      <xdr:colOff>5800125</xdr:colOff>
      <xdr:row>72</xdr:row>
      <xdr:rowOff>10275</xdr:rowOff>
    </xdr:to>
    <xdr:graphicFrame macro="">
      <xdr:nvGraphicFramePr>
        <xdr:cNvPr id="5" name="Gráfico 4">
          <a:extLst>
            <a:ext uri="{FF2B5EF4-FFF2-40B4-BE49-F238E27FC236}">
              <a16:creationId xmlns:a16="http://schemas.microsoft.com/office/drawing/2014/main" id="{00000000-0008-0000-05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65</xdr:col>
      <xdr:colOff>228600</xdr:colOff>
      <xdr:row>92</xdr:row>
      <xdr:rowOff>123825</xdr:rowOff>
    </xdr:from>
    <xdr:to>
      <xdr:col>65</xdr:col>
      <xdr:colOff>5790600</xdr:colOff>
      <xdr:row>108</xdr:row>
      <xdr:rowOff>67425</xdr:rowOff>
    </xdr:to>
    <xdr:graphicFrame macro="">
      <xdr:nvGraphicFramePr>
        <xdr:cNvPr id="13" name="Gráfico 12">
          <a:extLst>
            <a:ext uri="{FF2B5EF4-FFF2-40B4-BE49-F238E27FC236}">
              <a16:creationId xmlns:a16="http://schemas.microsoft.com/office/drawing/2014/main" id="{00000000-0008-0000-0500-00000D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65</xdr:col>
      <xdr:colOff>209550</xdr:colOff>
      <xdr:row>110</xdr:row>
      <xdr:rowOff>161925</xdr:rowOff>
    </xdr:from>
    <xdr:to>
      <xdr:col>65</xdr:col>
      <xdr:colOff>5771550</xdr:colOff>
      <xdr:row>126</xdr:row>
      <xdr:rowOff>105525</xdr:rowOff>
    </xdr:to>
    <xdr:graphicFrame macro="">
      <xdr:nvGraphicFramePr>
        <xdr:cNvPr id="14" name="Gráfico 13">
          <a:extLst>
            <a:ext uri="{FF2B5EF4-FFF2-40B4-BE49-F238E27FC236}">
              <a16:creationId xmlns:a16="http://schemas.microsoft.com/office/drawing/2014/main" id="{00000000-0008-0000-0500-00000E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65</xdr:col>
      <xdr:colOff>219075</xdr:colOff>
      <xdr:row>147</xdr:row>
      <xdr:rowOff>161925</xdr:rowOff>
    </xdr:from>
    <xdr:to>
      <xdr:col>65</xdr:col>
      <xdr:colOff>5781075</xdr:colOff>
      <xdr:row>163</xdr:row>
      <xdr:rowOff>105525</xdr:rowOff>
    </xdr:to>
    <xdr:graphicFrame macro="">
      <xdr:nvGraphicFramePr>
        <xdr:cNvPr id="7" name="Gráfico 6">
          <a:extLst>
            <a:ext uri="{FF2B5EF4-FFF2-40B4-BE49-F238E27FC236}">
              <a16:creationId xmlns:a16="http://schemas.microsoft.com/office/drawing/2014/main" id="{00000000-0008-0000-0500-000007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65</xdr:col>
      <xdr:colOff>209550</xdr:colOff>
      <xdr:row>166</xdr:row>
      <xdr:rowOff>104775</xdr:rowOff>
    </xdr:from>
    <xdr:to>
      <xdr:col>65</xdr:col>
      <xdr:colOff>5771550</xdr:colOff>
      <xdr:row>182</xdr:row>
      <xdr:rowOff>48375</xdr:rowOff>
    </xdr:to>
    <xdr:graphicFrame macro="">
      <xdr:nvGraphicFramePr>
        <xdr:cNvPr id="12" name="Gráfico 11">
          <a:extLst>
            <a:ext uri="{FF2B5EF4-FFF2-40B4-BE49-F238E27FC236}">
              <a16:creationId xmlns:a16="http://schemas.microsoft.com/office/drawing/2014/main" id="{00000000-0008-0000-05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65</xdr:col>
      <xdr:colOff>184897</xdr:colOff>
      <xdr:row>1</xdr:row>
      <xdr:rowOff>124384</xdr:rowOff>
    </xdr:from>
    <xdr:to>
      <xdr:col>66</xdr:col>
      <xdr:colOff>22412</xdr:colOff>
      <xdr:row>18</xdr:row>
      <xdr:rowOff>168088</xdr:rowOff>
    </xdr:to>
    <xdr:graphicFrame macro="">
      <xdr:nvGraphicFramePr>
        <xdr:cNvPr id="6" name="Gráfico 5">
          <a:extLst>
            <a:ext uri="{FF2B5EF4-FFF2-40B4-BE49-F238E27FC236}">
              <a16:creationId xmlns:a16="http://schemas.microsoft.com/office/drawing/2014/main" id="{00000000-0008-0000-0500-000006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65</xdr:col>
      <xdr:colOff>212912</xdr:colOff>
      <xdr:row>18</xdr:row>
      <xdr:rowOff>78441</xdr:rowOff>
    </xdr:from>
    <xdr:to>
      <xdr:col>66</xdr:col>
      <xdr:colOff>733986</xdr:colOff>
      <xdr:row>35</xdr:row>
      <xdr:rowOff>112059</xdr:rowOff>
    </xdr:to>
    <xdr:graphicFrame macro="">
      <xdr:nvGraphicFramePr>
        <xdr:cNvPr id="8" name="Gráfico 7">
          <a:extLst>
            <a:ext uri="{FF2B5EF4-FFF2-40B4-BE49-F238E27FC236}">
              <a16:creationId xmlns:a16="http://schemas.microsoft.com/office/drawing/2014/main" id="{00000000-0008-0000-05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304800</xdr:colOff>
      <xdr:row>18</xdr:row>
      <xdr:rowOff>119061</xdr:rowOff>
    </xdr:from>
    <xdr:to>
      <xdr:col>10</xdr:col>
      <xdr:colOff>121875</xdr:colOff>
      <xdr:row>37</xdr:row>
      <xdr:rowOff>92849</xdr:rowOff>
    </xdr:to>
    <xdr:graphicFrame macro="">
      <xdr:nvGraphicFramePr>
        <xdr:cNvPr id="3" name="Gráfico 2">
          <a:extLst>
            <a:ext uri="{FF2B5EF4-FFF2-40B4-BE49-F238E27FC236}">
              <a16:creationId xmlns:a16="http://schemas.microsoft.com/office/drawing/2014/main" id="{00000000-0008-0000-0800-000003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ncfp01\direccion\DNCFP\Recursos\Proyrena\Anual\2002\Alt4_Proy2002.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Fto. a partir del impuesto"/>
      <sheetName val="Datos"/>
      <sheetName val="COP FED"/>
      <sheetName val="B"/>
      <sheetName val="K"/>
      <sheetName val="X"/>
      <sheetName val="W"/>
      <sheetName val="H"/>
      <sheetName val="U"/>
      <sheetName val="E"/>
      <sheetName val="P"/>
      <sheetName val="Y"/>
      <sheetName val="L"/>
      <sheetName val="F"/>
      <sheetName val="M"/>
      <sheetName val="N"/>
      <sheetName val="Q"/>
      <sheetName val="R"/>
      <sheetName val="A"/>
      <sheetName val="J"/>
      <sheetName val="D"/>
      <sheetName val="Z"/>
      <sheetName val="S"/>
      <sheetName val="G"/>
      <sheetName val="T"/>
      <sheetName val="22 PCIAS"/>
      <sheetName val="V"/>
      <sheetName val="23PCIAS"/>
      <sheetName val="C"/>
      <sheetName val="24PCIAS"/>
      <sheetName val="PCIA_REG"/>
      <sheetName val="CONTROL"/>
      <sheetName val="DIFERENCIAS"/>
      <sheetName val="Tesoro Nacional"/>
      <sheetName val="SIJP"/>
      <sheetName val="Fondo ATN"/>
      <sheetName val="Coop. Eléct."/>
      <sheetName val="C.F.E.E."/>
      <sheetName val="Total"/>
      <sheetName val="DIF_COMPROMISO_PROY_REG_MES"/>
      <sheetName val="DIF_COMPROMISO_PROY_PCIA_REG"/>
      <sheetName val="COMP_AGREG_COMPROMISO_DIST"/>
      <sheetName val="Dif_R_PrEjec"/>
      <sheetName val="Fto_ a partir del impuesto"/>
      <sheetName val="Fto__a_partir_del_impuesto"/>
      <sheetName val="COP_FED"/>
      <sheetName val="22_PCIAS"/>
      <sheetName val="Tesoro_Nacional"/>
      <sheetName val="Fondo_ATN"/>
      <sheetName val="Coop__Eléct_"/>
      <sheetName val="C_F_E_E_"/>
      <sheetName val="Fto__a_partir_del_impuesto1"/>
      <sheetName val="Fto__a_partir_del_impuesto2"/>
      <sheetName val="COP_FED1"/>
      <sheetName val="22_PCIAS1"/>
      <sheetName val="Tesoro_Nacional1"/>
      <sheetName val="Fondo_ATN1"/>
      <sheetName val="Coop__Eléct_1"/>
      <sheetName val="C_F_E_E_1"/>
      <sheetName val="Fto__a_partir_del_impuesto3"/>
      <sheetName val="[Alt4_Proy2002.x䕬䍘䱅䔮"/>
      <sheetName val="Alt4_Proy2002"/>
      <sheetName val="Fto__a_partir_del_impuesto4"/>
      <sheetName val="COP_FED2"/>
      <sheetName val="22_PCIAS2"/>
      <sheetName val="Tesoro_Nacional2"/>
      <sheetName val="Fondo_ATN2"/>
      <sheetName val="Coop__Eléct_2"/>
      <sheetName val="C_F_E_E_2"/>
      <sheetName val="Fto__a_partir_del_impuesto5"/>
      <sheetName val="[Alt4_Proy2002_x䕬䍘䱅䔮"/>
      <sheetName val="Stock 30-06-19"/>
      <sheetName val="Stock 31-12-18"/>
    </sheetNames>
    <sheetDataSet>
      <sheetData sheetId="0" refreshError="1"/>
      <sheetData sheetId="1"/>
      <sheetData sheetId="2" refreshError="1">
        <row r="1">
          <cell r="A1" t="str">
            <v>DIRECCION NACIONAL DE</v>
          </cell>
        </row>
        <row r="2">
          <cell r="A2" t="str">
            <v>COORDINACION FISCAL</v>
          </cell>
        </row>
        <row r="3">
          <cell r="A3" t="str">
            <v>CON LAS PROVINCIAS</v>
          </cell>
        </row>
        <row r="5">
          <cell r="A5" t="str">
            <v xml:space="preserve">DISTRIBUCION DE RECURSOS COPARTICIPADOS </v>
          </cell>
        </row>
        <row r="6">
          <cell r="A6" t="str">
            <v>Excluye la vigencia del financiamiento del SIJP por $ 2154 millones (Ley 25082 Art. 3°)</v>
          </cell>
        </row>
        <row r="8">
          <cell r="A8" t="str">
            <v>AÑO 2002 (*)</v>
          </cell>
        </row>
        <row r="10">
          <cell r="A10" t="str">
            <v>- En miles de Pesos -</v>
          </cell>
        </row>
        <row r="15">
          <cell r="A15" t="str">
            <v>PROVINCIA</v>
          </cell>
          <cell r="B15" t="str">
            <v>ENERO</v>
          </cell>
          <cell r="C15" t="str">
            <v>FEBRERO</v>
          </cell>
          <cell r="D15" t="str">
            <v>MARZO</v>
          </cell>
          <cell r="E15" t="str">
            <v>ABRIL</v>
          </cell>
          <cell r="F15" t="str">
            <v>MAYO</v>
          </cell>
          <cell r="G15" t="str">
            <v>JUNIO</v>
          </cell>
          <cell r="H15" t="str">
            <v>JULIO</v>
          </cell>
          <cell r="I15" t="str">
            <v>AGOSTO</v>
          </cell>
          <cell r="J15" t="str">
            <v>SETIEMBRE</v>
          </cell>
          <cell r="K15" t="str">
            <v>OCTUBRE</v>
          </cell>
          <cell r="L15" t="str">
            <v>NOVIEMBRE</v>
          </cell>
          <cell r="M15" t="str">
            <v>DICIEMBRE</v>
          </cell>
          <cell r="N15" t="str">
            <v>TOTAL</v>
          </cell>
        </row>
        <row r="19">
          <cell r="A19" t="str">
            <v>BUENOS AIRES</v>
          </cell>
          <cell r="B19">
            <v>199118.5</v>
          </cell>
          <cell r="C19">
            <v>176756.6</v>
          </cell>
          <cell r="D19">
            <v>172078.8</v>
          </cell>
          <cell r="E19">
            <v>163054.20000000001</v>
          </cell>
          <cell r="F19">
            <v>186409.3</v>
          </cell>
          <cell r="G19">
            <v>210500.1</v>
          </cell>
          <cell r="H19">
            <v>177983.8</v>
          </cell>
          <cell r="I19">
            <v>184743.7</v>
          </cell>
          <cell r="J19">
            <v>181129.1</v>
          </cell>
          <cell r="K19">
            <v>192775.4</v>
          </cell>
          <cell r="L19">
            <v>198727.7</v>
          </cell>
          <cell r="M19">
            <v>198239.7</v>
          </cell>
          <cell r="N19">
            <v>2241516.9</v>
          </cell>
        </row>
        <row r="20">
          <cell r="A20" t="str">
            <v>CATAMARCA</v>
          </cell>
          <cell r="B20">
            <v>24974.400000000001</v>
          </cell>
          <cell r="C20">
            <v>22169.7</v>
          </cell>
          <cell r="D20">
            <v>21583</v>
          </cell>
          <cell r="E20">
            <v>20451.099999999999</v>
          </cell>
          <cell r="F20">
            <v>23380.400000000001</v>
          </cell>
          <cell r="G20">
            <v>26402</v>
          </cell>
          <cell r="H20">
            <v>22323.599999999999</v>
          </cell>
          <cell r="I20">
            <v>23171.5</v>
          </cell>
          <cell r="J20">
            <v>22718.1</v>
          </cell>
          <cell r="K20">
            <v>24178.799999999999</v>
          </cell>
          <cell r="L20">
            <v>24925.4</v>
          </cell>
          <cell r="M20">
            <v>24864.2</v>
          </cell>
          <cell r="N20">
            <v>281142.2</v>
          </cell>
        </row>
        <row r="21">
          <cell r="A21" t="str">
            <v>CORDOBA</v>
          </cell>
          <cell r="B21">
            <v>80512</v>
          </cell>
          <cell r="C21">
            <v>71470.100000000006</v>
          </cell>
          <cell r="D21">
            <v>69578.7</v>
          </cell>
          <cell r="E21">
            <v>65929.600000000006</v>
          </cell>
          <cell r="F21">
            <v>75373.100000000006</v>
          </cell>
          <cell r="G21">
            <v>85114</v>
          </cell>
          <cell r="H21">
            <v>71966.3</v>
          </cell>
          <cell r="I21">
            <v>74699.600000000006</v>
          </cell>
          <cell r="J21">
            <v>73238.100000000006</v>
          </cell>
          <cell r="K21">
            <v>77947.199999999997</v>
          </cell>
          <cell r="L21">
            <v>80353.899999999994</v>
          </cell>
          <cell r="M21">
            <v>80156.600000000006</v>
          </cell>
          <cell r="N21">
            <v>906339.2</v>
          </cell>
        </row>
        <row r="22">
          <cell r="A22" t="str">
            <v>CORRIENTES</v>
          </cell>
          <cell r="B22">
            <v>33706.699999999997</v>
          </cell>
          <cell r="C22">
            <v>29921.3</v>
          </cell>
          <cell r="D22">
            <v>29129.5</v>
          </cell>
          <cell r="E22">
            <v>27601.8</v>
          </cell>
          <cell r="F22">
            <v>31555.3</v>
          </cell>
          <cell r="G22">
            <v>35633.4</v>
          </cell>
          <cell r="H22">
            <v>30129.1</v>
          </cell>
          <cell r="I22">
            <v>31273.4</v>
          </cell>
          <cell r="J22">
            <v>30661.5</v>
          </cell>
          <cell r="K22">
            <v>32633</v>
          </cell>
          <cell r="L22">
            <v>33640.6</v>
          </cell>
          <cell r="M22">
            <v>33558</v>
          </cell>
          <cell r="N22">
            <v>379443.6</v>
          </cell>
        </row>
        <row r="23">
          <cell r="A23" t="str">
            <v>CHACO</v>
          </cell>
          <cell r="B23">
            <v>45233.4</v>
          </cell>
          <cell r="C23">
            <v>40153.5</v>
          </cell>
          <cell r="D23">
            <v>39090.800000000003</v>
          </cell>
          <cell r="E23">
            <v>37040.699999999997</v>
          </cell>
          <cell r="F23">
            <v>42346.3</v>
          </cell>
          <cell r="G23">
            <v>47818.9</v>
          </cell>
          <cell r="H23">
            <v>40432.300000000003</v>
          </cell>
          <cell r="I23">
            <v>41967.9</v>
          </cell>
          <cell r="J23">
            <v>41146.800000000003</v>
          </cell>
          <cell r="K23">
            <v>43792.4</v>
          </cell>
          <cell r="L23">
            <v>45144.6</v>
          </cell>
          <cell r="M23">
            <v>45033.8</v>
          </cell>
          <cell r="N23">
            <v>509201.4</v>
          </cell>
        </row>
        <row r="24">
          <cell r="A24" t="str">
            <v>CHUBUT</v>
          </cell>
          <cell r="B24">
            <v>14339.9</v>
          </cell>
          <cell r="C24">
            <v>12729.5</v>
          </cell>
          <cell r="D24">
            <v>12392.6</v>
          </cell>
          <cell r="E24">
            <v>11742.7</v>
          </cell>
          <cell r="F24">
            <v>13424.6</v>
          </cell>
          <cell r="G24">
            <v>15159.6</v>
          </cell>
          <cell r="H24">
            <v>12817.9</v>
          </cell>
          <cell r="I24">
            <v>13304.7</v>
          </cell>
          <cell r="J24">
            <v>13044.4</v>
          </cell>
          <cell r="K24">
            <v>13883.1</v>
          </cell>
          <cell r="L24">
            <v>14311.8</v>
          </cell>
          <cell r="M24">
            <v>14276.6</v>
          </cell>
          <cell r="N24">
            <v>161427.39999999997</v>
          </cell>
        </row>
        <row r="25">
          <cell r="A25" t="str">
            <v>ENTRE RIOS</v>
          </cell>
          <cell r="B25">
            <v>44272.800000000003</v>
          </cell>
          <cell r="C25">
            <v>39300.800000000003</v>
          </cell>
          <cell r="D25">
            <v>38260.699999999997</v>
          </cell>
          <cell r="E25">
            <v>36254.1</v>
          </cell>
          <cell r="F25">
            <v>41447</v>
          </cell>
          <cell r="G25">
            <v>46803.5</v>
          </cell>
          <cell r="H25">
            <v>39573.699999999997</v>
          </cell>
          <cell r="I25">
            <v>41076.699999999997</v>
          </cell>
          <cell r="J25">
            <v>40273</v>
          </cell>
          <cell r="K25">
            <v>42862.5</v>
          </cell>
          <cell r="L25">
            <v>44185.9</v>
          </cell>
          <cell r="M25">
            <v>44077.4</v>
          </cell>
          <cell r="N25">
            <v>498388.10000000003</v>
          </cell>
        </row>
        <row r="26">
          <cell r="A26" t="str">
            <v>FORMOSA</v>
          </cell>
          <cell r="B26">
            <v>33008.199999999997</v>
          </cell>
          <cell r="C26">
            <v>29301.200000000001</v>
          </cell>
          <cell r="D26">
            <v>28525.7</v>
          </cell>
          <cell r="E26">
            <v>27029.7</v>
          </cell>
          <cell r="F26">
            <v>30901.3</v>
          </cell>
          <cell r="G26">
            <v>34894.9</v>
          </cell>
          <cell r="H26">
            <v>29504.6</v>
          </cell>
          <cell r="I26">
            <v>30625.200000000001</v>
          </cell>
          <cell r="J26">
            <v>30026</v>
          </cell>
          <cell r="K26">
            <v>31956.7</v>
          </cell>
          <cell r="L26">
            <v>32943.4</v>
          </cell>
          <cell r="M26">
            <v>32862.5</v>
          </cell>
          <cell r="N26">
            <v>371579.4</v>
          </cell>
        </row>
        <row r="27">
          <cell r="A27" t="str">
            <v>JUJUY</v>
          </cell>
          <cell r="B27">
            <v>25760.3</v>
          </cell>
          <cell r="C27">
            <v>22867.3</v>
          </cell>
          <cell r="D27">
            <v>22262.2</v>
          </cell>
          <cell r="E27">
            <v>21094.6</v>
          </cell>
          <cell r="F27">
            <v>24116.1</v>
          </cell>
          <cell r="G27">
            <v>27232.799999999999</v>
          </cell>
          <cell r="H27">
            <v>23026.1</v>
          </cell>
          <cell r="I27">
            <v>23900.6</v>
          </cell>
          <cell r="J27">
            <v>23433</v>
          </cell>
          <cell r="K27">
            <v>24939.7</v>
          </cell>
          <cell r="L27">
            <v>25709.8</v>
          </cell>
          <cell r="M27">
            <v>25646.6</v>
          </cell>
          <cell r="N27">
            <v>289989.09999999998</v>
          </cell>
        </row>
        <row r="28">
          <cell r="A28" t="str">
            <v>LA PAMPA</v>
          </cell>
          <cell r="B28">
            <v>17028</v>
          </cell>
          <cell r="C28">
            <v>15115.7</v>
          </cell>
          <cell r="D28">
            <v>14715.7</v>
          </cell>
          <cell r="E28">
            <v>13943.9</v>
          </cell>
          <cell r="F28">
            <v>15941.2</v>
          </cell>
          <cell r="G28">
            <v>18001.3</v>
          </cell>
          <cell r="H28">
            <v>15220.6</v>
          </cell>
          <cell r="I28">
            <v>15798.7</v>
          </cell>
          <cell r="J28">
            <v>15489.6</v>
          </cell>
          <cell r="K28">
            <v>16485.599999999999</v>
          </cell>
          <cell r="L28">
            <v>16994.599999999999</v>
          </cell>
          <cell r="M28">
            <v>16952.900000000001</v>
          </cell>
          <cell r="N28">
            <v>191687.80000000002</v>
          </cell>
        </row>
        <row r="29">
          <cell r="A29" t="str">
            <v>LA RIOJA</v>
          </cell>
          <cell r="B29">
            <v>18774.5</v>
          </cell>
          <cell r="C29">
            <v>16666</v>
          </cell>
          <cell r="D29">
            <v>16225</v>
          </cell>
          <cell r="E29">
            <v>15374</v>
          </cell>
          <cell r="F29">
            <v>17576.2</v>
          </cell>
          <cell r="G29">
            <v>19847.599999999999</v>
          </cell>
          <cell r="H29">
            <v>16781.7</v>
          </cell>
          <cell r="I29">
            <v>17419.099999999999</v>
          </cell>
          <cell r="J29">
            <v>17078.3</v>
          </cell>
          <cell r="K29">
            <v>18176.400000000001</v>
          </cell>
          <cell r="L29">
            <v>18737.599999999999</v>
          </cell>
          <cell r="M29">
            <v>18691.599999999999</v>
          </cell>
          <cell r="N29">
            <v>211347.99999999997</v>
          </cell>
        </row>
        <row r="30">
          <cell r="A30" t="str">
            <v>MENDOZA</v>
          </cell>
          <cell r="B30">
            <v>37810.9</v>
          </cell>
          <cell r="C30">
            <v>33564.6</v>
          </cell>
          <cell r="D30">
            <v>32676.3</v>
          </cell>
          <cell r="E30">
            <v>30962.6</v>
          </cell>
          <cell r="F30">
            <v>35397.599999999999</v>
          </cell>
          <cell r="G30">
            <v>39972.199999999997</v>
          </cell>
          <cell r="H30">
            <v>33797.599999999999</v>
          </cell>
          <cell r="I30">
            <v>35081.300000000003</v>
          </cell>
          <cell r="J30">
            <v>34394.9</v>
          </cell>
          <cell r="K30">
            <v>36606.400000000001</v>
          </cell>
          <cell r="L30">
            <v>37736.699999999997</v>
          </cell>
          <cell r="M30">
            <v>37644.1</v>
          </cell>
          <cell r="N30">
            <v>425645.20000000007</v>
          </cell>
        </row>
        <row r="31">
          <cell r="A31" t="str">
            <v>MISIONES</v>
          </cell>
          <cell r="B31">
            <v>29951.8</v>
          </cell>
          <cell r="C31">
            <v>26588.1</v>
          </cell>
          <cell r="D31">
            <v>25884.5</v>
          </cell>
          <cell r="E31">
            <v>24527</v>
          </cell>
          <cell r="F31">
            <v>28040.1</v>
          </cell>
          <cell r="G31">
            <v>31663.9</v>
          </cell>
          <cell r="H31">
            <v>26772.7</v>
          </cell>
          <cell r="I31">
            <v>27789.599999999999</v>
          </cell>
          <cell r="J31">
            <v>27245.8</v>
          </cell>
          <cell r="K31">
            <v>28997.7</v>
          </cell>
          <cell r="L31">
            <v>29893.1</v>
          </cell>
          <cell r="M31">
            <v>29819.7</v>
          </cell>
          <cell r="N31">
            <v>337174</v>
          </cell>
        </row>
        <row r="32">
          <cell r="A32" t="str">
            <v>NEUQUEN</v>
          </cell>
          <cell r="B32">
            <v>15737.1</v>
          </cell>
          <cell r="C32">
            <v>13969.7</v>
          </cell>
          <cell r="D32">
            <v>13600</v>
          </cell>
          <cell r="E32">
            <v>12886.8</v>
          </cell>
          <cell r="F32">
            <v>14732.6</v>
          </cell>
          <cell r="G32">
            <v>16636.599999999999</v>
          </cell>
          <cell r="H32">
            <v>14066.7</v>
          </cell>
          <cell r="I32">
            <v>14601</v>
          </cell>
          <cell r="J32">
            <v>14315.3</v>
          </cell>
          <cell r="K32">
            <v>15235.8</v>
          </cell>
          <cell r="L32">
            <v>15706.2</v>
          </cell>
          <cell r="M32">
            <v>15667.6</v>
          </cell>
          <cell r="N32">
            <v>177155.40000000002</v>
          </cell>
        </row>
        <row r="33">
          <cell r="A33" t="str">
            <v>RIO NEGRO</v>
          </cell>
          <cell r="B33">
            <v>22878.7</v>
          </cell>
          <cell r="C33">
            <v>20309.3</v>
          </cell>
          <cell r="D33">
            <v>19771.8</v>
          </cell>
          <cell r="E33">
            <v>18734.900000000001</v>
          </cell>
          <cell r="F33">
            <v>21418.400000000001</v>
          </cell>
          <cell r="G33">
            <v>24186.400000000001</v>
          </cell>
          <cell r="H33">
            <v>20450.3</v>
          </cell>
          <cell r="I33">
            <v>21227</v>
          </cell>
          <cell r="J33">
            <v>20811.7</v>
          </cell>
          <cell r="K33">
            <v>22149.8</v>
          </cell>
          <cell r="L33">
            <v>22833.8</v>
          </cell>
          <cell r="M33">
            <v>22777.7</v>
          </cell>
          <cell r="N33">
            <v>257549.8</v>
          </cell>
        </row>
        <row r="34">
          <cell r="A34" t="str">
            <v>SALTA</v>
          </cell>
          <cell r="B34">
            <v>34754.6</v>
          </cell>
          <cell r="C34">
            <v>30851.5</v>
          </cell>
          <cell r="D34">
            <v>30035</v>
          </cell>
          <cell r="E34">
            <v>28459.9</v>
          </cell>
          <cell r="F34">
            <v>32536.3</v>
          </cell>
          <cell r="G34">
            <v>36741.199999999997</v>
          </cell>
          <cell r="H34">
            <v>31065.7</v>
          </cell>
          <cell r="I34">
            <v>32245.599999999999</v>
          </cell>
          <cell r="J34">
            <v>31614.7</v>
          </cell>
          <cell r="K34">
            <v>33647.5</v>
          </cell>
          <cell r="L34">
            <v>34686.400000000001</v>
          </cell>
          <cell r="M34">
            <v>34601.199999999997</v>
          </cell>
          <cell r="N34">
            <v>391239.60000000003</v>
          </cell>
        </row>
        <row r="35">
          <cell r="A35" t="str">
            <v>SAN JUAN</v>
          </cell>
          <cell r="B35">
            <v>30650.400000000001</v>
          </cell>
          <cell r="C35">
            <v>27208.2</v>
          </cell>
          <cell r="D35">
            <v>26488.2</v>
          </cell>
          <cell r="E35">
            <v>25099</v>
          </cell>
          <cell r="F35">
            <v>28694.1</v>
          </cell>
          <cell r="G35">
            <v>32402.400000000001</v>
          </cell>
          <cell r="H35">
            <v>27397.200000000001</v>
          </cell>
          <cell r="I35">
            <v>28437.7</v>
          </cell>
          <cell r="J35">
            <v>27881.3</v>
          </cell>
          <cell r="K35">
            <v>29674</v>
          </cell>
          <cell r="L35">
            <v>30590.3</v>
          </cell>
          <cell r="M35">
            <v>30515.200000000001</v>
          </cell>
          <cell r="N35">
            <v>345038</v>
          </cell>
        </row>
        <row r="36">
          <cell r="A36" t="str">
            <v>SAN LUIS</v>
          </cell>
          <cell r="B36">
            <v>20695.599999999999</v>
          </cell>
          <cell r="C36">
            <v>18371.400000000001</v>
          </cell>
          <cell r="D36">
            <v>17885.2</v>
          </cell>
          <cell r="E36">
            <v>16947.2</v>
          </cell>
          <cell r="F36">
            <v>19374.599999999999</v>
          </cell>
          <cell r="G36">
            <v>21878.6</v>
          </cell>
          <cell r="H36">
            <v>18498.900000000001</v>
          </cell>
          <cell r="I36">
            <v>19201.5</v>
          </cell>
          <cell r="J36">
            <v>18825.8</v>
          </cell>
          <cell r="K36">
            <v>20036.3</v>
          </cell>
          <cell r="L36">
            <v>20655</v>
          </cell>
          <cell r="M36">
            <v>20604.3</v>
          </cell>
          <cell r="N36">
            <v>232974.39999999997</v>
          </cell>
        </row>
        <row r="37">
          <cell r="A37" t="str">
            <v>SANTA CRUZ</v>
          </cell>
          <cell r="B37">
            <v>14339.9</v>
          </cell>
          <cell r="C37">
            <v>12729.5</v>
          </cell>
          <cell r="D37">
            <v>12392.6</v>
          </cell>
          <cell r="E37">
            <v>11742.7</v>
          </cell>
          <cell r="F37">
            <v>13424.6</v>
          </cell>
          <cell r="G37">
            <v>15159.6</v>
          </cell>
          <cell r="H37">
            <v>12817.9</v>
          </cell>
          <cell r="I37">
            <v>13304.7</v>
          </cell>
          <cell r="J37">
            <v>13044.4</v>
          </cell>
          <cell r="K37">
            <v>13883.1</v>
          </cell>
          <cell r="L37">
            <v>14311.8</v>
          </cell>
          <cell r="M37">
            <v>14276.6</v>
          </cell>
          <cell r="N37">
            <v>161427.39999999997</v>
          </cell>
        </row>
        <row r="38">
          <cell r="A38" t="str">
            <v>SANTA FE</v>
          </cell>
          <cell r="B38">
            <v>81035.899999999994</v>
          </cell>
          <cell r="C38">
            <v>71935.199999999997</v>
          </cell>
          <cell r="D38">
            <v>70031.399999999994</v>
          </cell>
          <cell r="E38">
            <v>66358.7</v>
          </cell>
          <cell r="F38">
            <v>75863.600000000006</v>
          </cell>
          <cell r="G38">
            <v>85667.9</v>
          </cell>
          <cell r="H38">
            <v>72434.600000000006</v>
          </cell>
          <cell r="I38">
            <v>75185.7</v>
          </cell>
          <cell r="J38">
            <v>73714.7</v>
          </cell>
          <cell r="K38">
            <v>78454.399999999994</v>
          </cell>
          <cell r="L38">
            <v>80876.800000000003</v>
          </cell>
          <cell r="M38">
            <v>80678.3</v>
          </cell>
          <cell r="N38">
            <v>912237.2</v>
          </cell>
        </row>
        <row r="39">
          <cell r="A39" t="str">
            <v>SANTIAGO DEL ESTERO</v>
          </cell>
          <cell r="B39">
            <v>37461.599999999999</v>
          </cell>
          <cell r="C39">
            <v>33254.5</v>
          </cell>
          <cell r="D39">
            <v>32374.5</v>
          </cell>
          <cell r="E39">
            <v>30676.6</v>
          </cell>
          <cell r="F39">
            <v>35070.6</v>
          </cell>
          <cell r="G39">
            <v>39602.9</v>
          </cell>
          <cell r="H39">
            <v>33485.4</v>
          </cell>
          <cell r="I39">
            <v>34757.199999999997</v>
          </cell>
          <cell r="J39">
            <v>34077.199999999997</v>
          </cell>
          <cell r="K39">
            <v>36268.300000000003</v>
          </cell>
          <cell r="L39">
            <v>37388.1</v>
          </cell>
          <cell r="M39">
            <v>37296.300000000003</v>
          </cell>
          <cell r="N39">
            <v>421713.19999999995</v>
          </cell>
        </row>
        <row r="40">
          <cell r="A40" t="str">
            <v>TUCUMAN</v>
          </cell>
          <cell r="B40">
            <v>43137.599999999999</v>
          </cell>
          <cell r="C40">
            <v>38293.1</v>
          </cell>
          <cell r="D40">
            <v>37279.699999999997</v>
          </cell>
          <cell r="E40">
            <v>35324.6</v>
          </cell>
          <cell r="F40">
            <v>40384.300000000003</v>
          </cell>
          <cell r="G40">
            <v>45603.4</v>
          </cell>
          <cell r="H40">
            <v>38559</v>
          </cell>
          <cell r="I40">
            <v>40023.4</v>
          </cell>
          <cell r="J40">
            <v>39240.400000000001</v>
          </cell>
          <cell r="K40">
            <v>41763.5</v>
          </cell>
          <cell r="L40">
            <v>43053</v>
          </cell>
          <cell r="M40">
            <v>42947.3</v>
          </cell>
          <cell r="N40">
            <v>485609.3</v>
          </cell>
        </row>
        <row r="41">
          <cell r="A41" t="str">
            <v>ACUM. BS. AS. - TUCUMAN</v>
          </cell>
          <cell r="B41">
            <v>905182.8</v>
          </cell>
          <cell r="C41">
            <v>803526.79999999993</v>
          </cell>
          <cell r="D41">
            <v>782261.89999999991</v>
          </cell>
          <cell r="E41">
            <v>741236.39999999979</v>
          </cell>
          <cell r="F41">
            <v>847407.59999999986</v>
          </cell>
          <cell r="G41">
            <v>956923.20000000007</v>
          </cell>
          <cell r="H41">
            <v>809105.69999999984</v>
          </cell>
          <cell r="I41">
            <v>839835.79999999993</v>
          </cell>
          <cell r="J41">
            <v>823404.10000000009</v>
          </cell>
          <cell r="K41">
            <v>876347.60000000009</v>
          </cell>
          <cell r="L41">
            <v>903406.5</v>
          </cell>
          <cell r="M41">
            <v>901188.2</v>
          </cell>
          <cell r="N41">
            <v>10189826.6</v>
          </cell>
        </row>
        <row r="42">
          <cell r="A42" t="str">
            <v>TIERRA DEL FUEGO</v>
          </cell>
          <cell r="B42">
            <v>11517.1</v>
          </cell>
          <cell r="C42">
            <v>10261.200000000001</v>
          </cell>
          <cell r="D42">
            <v>9998.5</v>
          </cell>
          <cell r="E42">
            <v>9491.6</v>
          </cell>
          <cell r="F42">
            <v>10803.3</v>
          </cell>
          <cell r="G42">
            <v>12156.3</v>
          </cell>
          <cell r="H42">
            <v>10330.1</v>
          </cell>
          <cell r="I42">
            <v>10709.8</v>
          </cell>
          <cell r="J42">
            <v>10506.8</v>
          </cell>
          <cell r="K42">
            <v>11160.9</v>
          </cell>
          <cell r="L42">
            <v>11495.2</v>
          </cell>
          <cell r="M42">
            <v>11467.8</v>
          </cell>
          <cell r="N42">
            <v>129898.6</v>
          </cell>
        </row>
        <row r="43">
          <cell r="A43" t="str">
            <v>ACUM. BS. AS. - TIERRA DEL FUEGO</v>
          </cell>
          <cell r="B43">
            <v>916699.9</v>
          </cell>
          <cell r="C43">
            <v>813787.99999999988</v>
          </cell>
          <cell r="D43">
            <v>792260.39999999991</v>
          </cell>
          <cell r="E43">
            <v>750727.99999999977</v>
          </cell>
          <cell r="F43">
            <v>858210.89999999991</v>
          </cell>
          <cell r="G43">
            <v>969079.50000000012</v>
          </cell>
          <cell r="H43">
            <v>819435.79999999981</v>
          </cell>
          <cell r="I43">
            <v>850545.6</v>
          </cell>
          <cell r="J43">
            <v>833910.90000000014</v>
          </cell>
          <cell r="K43">
            <v>887508.50000000012</v>
          </cell>
          <cell r="L43">
            <v>914901.7</v>
          </cell>
          <cell r="M43">
            <v>912656</v>
          </cell>
          <cell r="N43">
            <v>10319725.199999999</v>
          </cell>
        </row>
        <row r="44">
          <cell r="A44" t="str">
            <v>TRANSF.SERV.(TOTAL JURISD. EXCL. T.F)</v>
          </cell>
          <cell r="B44">
            <v>107987.4</v>
          </cell>
          <cell r="C44">
            <v>107987.4</v>
          </cell>
          <cell r="D44">
            <v>107987.4</v>
          </cell>
          <cell r="E44">
            <v>107987.4</v>
          </cell>
          <cell r="F44">
            <v>107987.4</v>
          </cell>
          <cell r="G44">
            <v>107987.4</v>
          </cell>
          <cell r="H44">
            <v>107987.4</v>
          </cell>
          <cell r="I44">
            <v>107987.4</v>
          </cell>
          <cell r="J44">
            <v>107987.4</v>
          </cell>
          <cell r="K44">
            <v>107987.4</v>
          </cell>
          <cell r="L44">
            <v>107987.4</v>
          </cell>
          <cell r="M44">
            <v>107987.4</v>
          </cell>
          <cell r="N44">
            <v>1295848.7999999998</v>
          </cell>
        </row>
        <row r="45">
          <cell r="A45" t="str">
            <v>TRANSF. SERV. (TIERRA DEL FUEGO)</v>
          </cell>
          <cell r="B45">
            <v>1000</v>
          </cell>
          <cell r="C45">
            <v>1000</v>
          </cell>
          <cell r="D45">
            <v>1000</v>
          </cell>
          <cell r="E45">
            <v>1000</v>
          </cell>
          <cell r="F45">
            <v>1000</v>
          </cell>
          <cell r="G45">
            <v>1000</v>
          </cell>
          <cell r="H45">
            <v>1000</v>
          </cell>
          <cell r="I45">
            <v>1000</v>
          </cell>
          <cell r="J45">
            <v>1000</v>
          </cell>
          <cell r="K45">
            <v>1000</v>
          </cell>
          <cell r="L45">
            <v>1000</v>
          </cell>
          <cell r="M45">
            <v>1000</v>
          </cell>
          <cell r="N45">
            <v>12000</v>
          </cell>
        </row>
        <row r="46">
          <cell r="A46" t="str">
            <v>FONDO ATN</v>
          </cell>
          <cell r="B46">
            <v>17881.599999999999</v>
          </cell>
          <cell r="C46">
            <v>16087.4</v>
          </cell>
          <cell r="D46">
            <v>15712.1</v>
          </cell>
          <cell r="E46">
            <v>14988.1</v>
          </cell>
          <cell r="F46">
            <v>16861.900000000001</v>
          </cell>
          <cell r="G46">
            <v>18794.8</v>
          </cell>
          <cell r="H46">
            <v>16185.9</v>
          </cell>
          <cell r="I46">
            <v>16728.3</v>
          </cell>
          <cell r="J46">
            <v>16438.3</v>
          </cell>
          <cell r="K46">
            <v>17372.7</v>
          </cell>
          <cell r="L46">
            <v>17850.2</v>
          </cell>
          <cell r="M46">
            <v>17811.099999999999</v>
          </cell>
          <cell r="N46">
            <v>202712.40000000002</v>
          </cell>
        </row>
        <row r="47">
          <cell r="A47" t="str">
            <v>NACION</v>
          </cell>
          <cell r="B47">
            <v>744589.1</v>
          </cell>
          <cell r="C47">
            <v>669880.80000000005</v>
          </cell>
          <cell r="D47">
            <v>654253</v>
          </cell>
          <cell r="E47">
            <v>624102.9</v>
          </cell>
          <cell r="F47">
            <v>702129.4</v>
          </cell>
          <cell r="G47">
            <v>782613.6</v>
          </cell>
          <cell r="H47">
            <v>673980.9</v>
          </cell>
          <cell r="I47">
            <v>696564.7</v>
          </cell>
          <cell r="J47">
            <v>684489</v>
          </cell>
          <cell r="K47">
            <v>723397.6</v>
          </cell>
          <cell r="L47">
            <v>743283.4</v>
          </cell>
          <cell r="M47">
            <v>741653.1</v>
          </cell>
          <cell r="N47">
            <v>8440937.5</v>
          </cell>
        </row>
        <row r="48">
          <cell r="A48" t="str">
            <v>ACUMULADO I</v>
          </cell>
          <cell r="B48">
            <v>1788158</v>
          </cell>
          <cell r="C48">
            <v>1608743.6</v>
          </cell>
          <cell r="D48">
            <v>1571212.9</v>
          </cell>
          <cell r="E48">
            <v>1498806.4</v>
          </cell>
          <cell r="F48">
            <v>1686189.6</v>
          </cell>
          <cell r="G48">
            <v>1879475.3000000003</v>
          </cell>
          <cell r="H48">
            <v>1618590</v>
          </cell>
          <cell r="I48">
            <v>1672826</v>
          </cell>
          <cell r="J48">
            <v>1643825.6</v>
          </cell>
          <cell r="K48">
            <v>1737266.2000000002</v>
          </cell>
          <cell r="L48">
            <v>1785022.7</v>
          </cell>
          <cell r="M48">
            <v>1781107.6</v>
          </cell>
          <cell r="N48">
            <v>20271223.899999999</v>
          </cell>
        </row>
        <row r="49">
          <cell r="A49" t="str">
            <v>FONDO COMPENSADOR DE DEFICITS</v>
          </cell>
          <cell r="B49">
            <v>45800</v>
          </cell>
          <cell r="C49">
            <v>45800</v>
          </cell>
          <cell r="D49">
            <v>45800</v>
          </cell>
          <cell r="E49">
            <v>45800</v>
          </cell>
          <cell r="F49">
            <v>45800</v>
          </cell>
          <cell r="G49">
            <v>45800</v>
          </cell>
          <cell r="H49">
            <v>45800</v>
          </cell>
          <cell r="I49">
            <v>45800</v>
          </cell>
          <cell r="J49">
            <v>45800</v>
          </cell>
          <cell r="K49">
            <v>45800</v>
          </cell>
          <cell r="L49">
            <v>45800</v>
          </cell>
          <cell r="M49">
            <v>45800</v>
          </cell>
          <cell r="N49">
            <v>549600</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refreshError="1"/>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image" Target="../media/image1.png"/><Relationship Id="rId7" Type="http://schemas.openxmlformats.org/officeDocument/2006/relationships/ctrlProp" Target="../ctrlProps/ctrlProp4.xml"/><Relationship Id="rId2" Type="http://schemas.openxmlformats.org/officeDocument/2006/relationships/vmlDrawing" Target="../drawings/vmlDrawing1.vml"/><Relationship Id="rId1" Type="http://schemas.openxmlformats.org/officeDocument/2006/relationships/drawing" Target="../drawings/drawing1.xml"/><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4.xml"/><Relationship Id="rId1" Type="http://schemas.openxmlformats.org/officeDocument/2006/relationships/printerSettings" Target="../printerSettings/printerSettings7.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CR144"/>
  <sheetViews>
    <sheetView showGridLines="0" tabSelected="1" zoomScale="87" zoomScaleNormal="87" workbookViewId="0">
      <pane xSplit="3" topLeftCell="D1" activePane="topRight" state="frozen"/>
      <selection activeCell="F1" sqref="F1:F1048576"/>
      <selection pane="topRight"/>
    </sheetView>
  </sheetViews>
  <sheetFormatPr baseColWidth="10" defaultRowHeight="16.5" x14ac:dyDescent="0.3"/>
  <cols>
    <col min="1" max="1" width="5.28515625" style="18" customWidth="1"/>
    <col min="2" max="2" width="46.140625" customWidth="1"/>
    <col min="3" max="3" width="12.85546875" customWidth="1"/>
    <col min="4" max="4" width="15.140625" customWidth="1"/>
    <col min="5" max="5" width="23.140625" customWidth="1"/>
    <col min="6" max="6" width="23" style="145" customWidth="1"/>
    <col min="7" max="9" width="16.7109375" customWidth="1"/>
    <col min="10" max="10" width="20.140625" customWidth="1"/>
    <col min="11" max="13" width="16.7109375" customWidth="1"/>
    <col min="14" max="14" width="22" customWidth="1"/>
    <col min="15" max="96" width="16.7109375" customWidth="1"/>
  </cols>
  <sheetData>
    <row r="2" spans="1:82" ht="20.25" x14ac:dyDescent="0.3">
      <c r="B2" s="218" t="s">
        <v>45</v>
      </c>
      <c r="C2" s="218"/>
      <c r="D2" s="218"/>
      <c r="E2" s="218"/>
      <c r="F2" s="218"/>
      <c r="G2" s="218"/>
      <c r="H2" s="218"/>
      <c r="I2" s="218"/>
      <c r="J2" s="218"/>
      <c r="K2" s="218"/>
      <c r="L2" s="218"/>
      <c r="M2" s="218"/>
      <c r="N2" s="218"/>
      <c r="O2" s="218"/>
      <c r="P2" s="218"/>
      <c r="Q2" s="218"/>
      <c r="R2" s="218"/>
      <c r="S2" s="218"/>
      <c r="T2" s="218"/>
      <c r="U2" s="218"/>
    </row>
    <row r="3" spans="1:82" ht="20.25" x14ac:dyDescent="0.3">
      <c r="B3" s="181" t="s">
        <v>44</v>
      </c>
      <c r="C3" s="8"/>
      <c r="D3" s="8"/>
      <c r="E3" s="8"/>
      <c r="F3" s="142"/>
      <c r="G3" s="8"/>
      <c r="H3" s="8"/>
      <c r="I3" s="8"/>
      <c r="J3" s="8"/>
      <c r="K3" s="8"/>
      <c r="L3" s="8"/>
      <c r="M3" s="8"/>
      <c r="N3" s="8"/>
      <c r="O3" s="8"/>
      <c r="P3" s="8"/>
      <c r="Q3" s="8"/>
      <c r="R3" s="8"/>
      <c r="S3" s="8"/>
      <c r="T3" s="8"/>
      <c r="U3" s="8"/>
    </row>
    <row r="4" spans="1:82" ht="17.25" x14ac:dyDescent="0.3">
      <c r="B4" s="181" t="s">
        <v>46</v>
      </c>
      <c r="C4" s="2"/>
      <c r="D4" s="2"/>
      <c r="E4" s="2"/>
      <c r="F4" s="143"/>
      <c r="G4" s="2"/>
      <c r="H4" s="2"/>
      <c r="I4" s="2"/>
      <c r="J4" s="2"/>
      <c r="K4" s="2"/>
      <c r="L4" s="2"/>
      <c r="M4" s="2"/>
      <c r="N4" s="2"/>
      <c r="O4" s="2"/>
      <c r="P4" s="2"/>
      <c r="Q4" s="2"/>
      <c r="R4" s="1"/>
    </row>
    <row r="5" spans="1:82" ht="17.25" x14ac:dyDescent="0.3">
      <c r="B5" s="5"/>
      <c r="C5" s="2"/>
      <c r="D5" s="2"/>
      <c r="E5" s="2"/>
      <c r="F5" s="143"/>
      <c r="G5" s="2"/>
      <c r="H5" s="2"/>
      <c r="I5" s="2"/>
      <c r="J5" s="2"/>
      <c r="K5" s="2"/>
      <c r="L5" s="2"/>
      <c r="M5" s="2"/>
      <c r="N5" s="2"/>
      <c r="O5" s="2"/>
      <c r="P5" s="2"/>
      <c r="Q5" s="2"/>
      <c r="R5" s="1"/>
    </row>
    <row r="6" spans="1:82" ht="30" customHeight="1" x14ac:dyDescent="0.3">
      <c r="B6" s="226" t="s">
        <v>0</v>
      </c>
      <c r="C6" s="226" t="s">
        <v>1</v>
      </c>
      <c r="D6" s="227" t="s">
        <v>132</v>
      </c>
      <c r="E6" s="231" t="s">
        <v>96</v>
      </c>
      <c r="F6" s="233" t="s">
        <v>97</v>
      </c>
      <c r="G6" s="226" t="s">
        <v>47</v>
      </c>
      <c r="H6" s="228" t="s">
        <v>53</v>
      </c>
      <c r="I6" s="228" t="s">
        <v>52</v>
      </c>
      <c r="J6" s="226" t="s">
        <v>51</v>
      </c>
      <c r="K6" s="228" t="s">
        <v>54</v>
      </c>
      <c r="L6" s="228" t="s">
        <v>55</v>
      </c>
      <c r="M6" s="228" t="s">
        <v>56</v>
      </c>
      <c r="N6" s="228" t="s">
        <v>57</v>
      </c>
      <c r="O6" s="2"/>
      <c r="P6" s="2"/>
      <c r="Q6" s="2"/>
      <c r="R6" s="1"/>
    </row>
    <row r="7" spans="1:82" ht="32.25" customHeight="1" x14ac:dyDescent="0.3">
      <c r="B7" s="226"/>
      <c r="C7" s="226"/>
      <c r="D7" s="227"/>
      <c r="E7" s="232"/>
      <c r="F7" s="234"/>
      <c r="G7" s="226"/>
      <c r="H7" s="229"/>
      <c r="I7" s="229"/>
      <c r="J7" s="226"/>
      <c r="K7" s="229"/>
      <c r="L7" s="229"/>
      <c r="M7" s="229"/>
      <c r="N7" s="229"/>
      <c r="P7" s="195">
        <v>2024</v>
      </c>
      <c r="Q7" s="195">
        <v>2024</v>
      </c>
      <c r="R7" s="195">
        <v>2025</v>
      </c>
      <c r="S7" s="195">
        <v>2025</v>
      </c>
      <c r="T7" s="195">
        <v>2026</v>
      </c>
      <c r="U7" s="195">
        <v>2026</v>
      </c>
      <c r="V7" s="195">
        <v>2027</v>
      </c>
      <c r="W7" s="195">
        <v>2027</v>
      </c>
      <c r="X7" s="195">
        <v>2028</v>
      </c>
      <c r="Y7" s="195">
        <v>2028</v>
      </c>
      <c r="Z7" s="195">
        <v>2029</v>
      </c>
      <c r="AA7" s="195">
        <v>2029</v>
      </c>
      <c r="AB7" s="196" t="s">
        <v>173</v>
      </c>
      <c r="AC7" s="196" t="s">
        <v>173</v>
      </c>
      <c r="AD7" s="110"/>
      <c r="AG7" s="111"/>
      <c r="AL7" s="110"/>
      <c r="AM7" s="110"/>
      <c r="AN7" s="110"/>
      <c r="AO7" s="110"/>
      <c r="AP7" s="110"/>
      <c r="AQ7" s="110"/>
      <c r="AR7" s="110"/>
      <c r="AS7" s="110"/>
      <c r="AT7" s="110"/>
      <c r="AU7" s="110"/>
      <c r="AV7" s="110"/>
      <c r="AW7" s="110"/>
      <c r="AX7" s="110"/>
      <c r="AY7" s="110"/>
      <c r="AZ7" s="110"/>
      <c r="BA7" s="110"/>
      <c r="BB7" s="110"/>
      <c r="BC7" s="110"/>
      <c r="BD7" s="110"/>
      <c r="BE7" s="110"/>
      <c r="BF7" s="110"/>
      <c r="BG7" s="110"/>
      <c r="BH7" s="110"/>
      <c r="BI7" s="110"/>
      <c r="BJ7" s="110"/>
      <c r="BK7" s="110"/>
      <c r="BL7" s="110"/>
      <c r="BM7" s="110"/>
      <c r="BN7" s="110"/>
      <c r="BO7" s="110"/>
      <c r="BP7" s="110"/>
      <c r="BQ7" s="110"/>
      <c r="BR7" s="110"/>
      <c r="BS7" s="110"/>
      <c r="BT7" s="110"/>
      <c r="BU7" s="110"/>
      <c r="BV7" s="110"/>
      <c r="BW7" s="110"/>
      <c r="BX7" s="110"/>
      <c r="BY7" s="110"/>
      <c r="BZ7" s="110"/>
      <c r="CA7" s="110"/>
      <c r="CB7" s="110"/>
      <c r="CC7" s="110"/>
      <c r="CD7" s="110"/>
    </row>
    <row r="8" spans="1:82" ht="21" customHeight="1" x14ac:dyDescent="0.3">
      <c r="B8" s="226"/>
      <c r="C8" s="226"/>
      <c r="D8" s="227"/>
      <c r="E8" s="184">
        <v>45378</v>
      </c>
      <c r="F8" s="184">
        <f>+$E$8</f>
        <v>45378</v>
      </c>
      <c r="G8" s="226"/>
      <c r="H8" s="230"/>
      <c r="I8" s="230"/>
      <c r="J8" s="226"/>
      <c r="K8" s="230"/>
      <c r="L8" s="230"/>
      <c r="M8" s="230"/>
      <c r="N8" s="230"/>
      <c r="O8" s="23"/>
      <c r="P8" s="182" t="s">
        <v>2</v>
      </c>
      <c r="Q8" s="197" t="s">
        <v>99</v>
      </c>
      <c r="R8" s="182" t="s">
        <v>2</v>
      </c>
      <c r="S8" s="197" t="s">
        <v>99</v>
      </c>
      <c r="T8" s="182" t="s">
        <v>2</v>
      </c>
      <c r="U8" s="197" t="s">
        <v>99</v>
      </c>
      <c r="V8" s="182" t="s">
        <v>2</v>
      </c>
      <c r="W8" s="197" t="s">
        <v>99</v>
      </c>
      <c r="X8" s="182" t="s">
        <v>2</v>
      </c>
      <c r="Y8" s="197" t="s">
        <v>99</v>
      </c>
      <c r="Z8" s="182" t="s">
        <v>2</v>
      </c>
      <c r="AA8" s="197" t="s">
        <v>99</v>
      </c>
      <c r="AB8" s="182" t="s">
        <v>2</v>
      </c>
      <c r="AC8" s="182" t="s">
        <v>99</v>
      </c>
      <c r="AD8" s="23"/>
      <c r="AG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row>
    <row r="9" spans="1:82" ht="27.95" customHeight="1" x14ac:dyDescent="0.3">
      <c r="B9" s="185" t="s">
        <v>89</v>
      </c>
      <c r="C9" s="185"/>
      <c r="D9" s="185"/>
      <c r="E9" s="185"/>
      <c r="F9" s="186">
        <f>+SUM(F10:F14)</f>
        <v>1.9736946098204058</v>
      </c>
      <c r="G9" s="187">
        <f>+F9/$F$45</f>
        <v>2.8031899667567348E-3</v>
      </c>
      <c r="H9" s="185"/>
      <c r="I9" s="185"/>
      <c r="J9" s="185"/>
      <c r="K9" s="185"/>
      <c r="L9" s="185"/>
      <c r="M9" s="185"/>
      <c r="N9" s="185"/>
      <c r="O9" s="24"/>
      <c r="P9" s="198">
        <f t="shared" ref="P9:AC9" si="0">+SUM(P10:P14)</f>
        <v>1535.5090114514501</v>
      </c>
      <c r="Q9" s="198">
        <f t="shared" si="0"/>
        <v>0</v>
      </c>
      <c r="R9" s="198">
        <f t="shared" si="0"/>
        <v>314.4962934151099</v>
      </c>
      <c r="S9" s="198">
        <f t="shared" si="0"/>
        <v>0</v>
      </c>
      <c r="T9" s="198">
        <f t="shared" si="0"/>
        <v>155.04237825678263</v>
      </c>
      <c r="U9" s="198">
        <f t="shared" si="0"/>
        <v>0</v>
      </c>
      <c r="V9" s="198">
        <f t="shared" si="0"/>
        <v>103.98986000236546</v>
      </c>
      <c r="W9" s="198">
        <f t="shared" si="0"/>
        <v>0</v>
      </c>
      <c r="X9" s="198">
        <f t="shared" si="0"/>
        <v>103.13718434488226</v>
      </c>
      <c r="Y9" s="198">
        <f t="shared" si="0"/>
        <v>0</v>
      </c>
      <c r="Z9" s="198">
        <f t="shared" si="0"/>
        <v>103.02316711031008</v>
      </c>
      <c r="AA9" s="198">
        <f t="shared" si="0"/>
        <v>0</v>
      </c>
      <c r="AB9" s="198">
        <f t="shared" si="0"/>
        <v>98.782793046559405</v>
      </c>
      <c r="AC9" s="198">
        <f t="shared" si="0"/>
        <v>0</v>
      </c>
      <c r="AD9" s="112"/>
      <c r="AG9" s="112"/>
      <c r="AL9" s="112"/>
      <c r="AM9" s="112"/>
      <c r="AN9" s="112"/>
      <c r="AO9" s="112"/>
      <c r="AP9" s="112"/>
      <c r="AQ9" s="112"/>
      <c r="AR9" s="112"/>
      <c r="AS9" s="112"/>
      <c r="AT9" s="112"/>
      <c r="AU9" s="112"/>
      <c r="AV9" s="112"/>
      <c r="AW9" s="112"/>
      <c r="AX9" s="112"/>
      <c r="AY9" s="112"/>
      <c r="AZ9" s="112"/>
      <c r="BA9" s="112"/>
      <c r="BB9" s="112"/>
      <c r="BC9" s="112"/>
      <c r="BD9" s="112"/>
      <c r="BE9" s="112"/>
      <c r="BF9" s="112"/>
      <c r="BG9" s="112"/>
      <c r="BH9" s="112"/>
      <c r="BI9" s="112"/>
      <c r="BJ9" s="112"/>
      <c r="BK9" s="112"/>
      <c r="BL9" s="112"/>
      <c r="BM9" s="112"/>
      <c r="BN9" s="112"/>
      <c r="BO9" s="112"/>
      <c r="BP9" s="112"/>
      <c r="BQ9" s="112"/>
      <c r="BR9" s="112"/>
      <c r="BS9" s="112"/>
      <c r="BT9" s="112"/>
      <c r="BU9" s="112"/>
      <c r="BV9" s="112"/>
      <c r="BW9" s="112"/>
      <c r="BX9" s="112"/>
      <c r="BY9" s="112"/>
      <c r="BZ9" s="112"/>
      <c r="CA9" s="112"/>
      <c r="CB9" s="112"/>
      <c r="CC9" s="112"/>
      <c r="CD9" s="112"/>
    </row>
    <row r="10" spans="1:82" ht="27.95" customHeight="1" x14ac:dyDescent="0.3">
      <c r="A10" s="67"/>
      <c r="B10" s="9" t="s">
        <v>3</v>
      </c>
      <c r="C10" s="9" t="s">
        <v>4</v>
      </c>
      <c r="D10" s="9" t="s">
        <v>2</v>
      </c>
      <c r="E10" s="166">
        <v>842.91125127999999</v>
      </c>
      <c r="F10" s="12">
        <f>+IF($D10="USD",$E10,$E10/$C$52)</f>
        <v>0.98308238139051873</v>
      </c>
      <c r="G10" s="9"/>
      <c r="H10" s="29" t="s">
        <v>148</v>
      </c>
      <c r="I10" s="21">
        <v>41699</v>
      </c>
      <c r="J10" s="30" t="s">
        <v>151</v>
      </c>
      <c r="K10" s="22">
        <v>127</v>
      </c>
      <c r="L10" s="10" t="s">
        <v>149</v>
      </c>
      <c r="M10" s="21">
        <v>45566</v>
      </c>
      <c r="N10" s="10" t="s">
        <v>150</v>
      </c>
      <c r="O10" s="13"/>
      <c r="P10" s="73">
        <f t="shared" ref="P10:AC14" si="1">+F63+F108</f>
        <v>1244.3696856360525</v>
      </c>
      <c r="Q10" s="73">
        <f t="shared" si="1"/>
        <v>0</v>
      </c>
      <c r="R10" s="73">
        <f t="shared" si="1"/>
        <v>0</v>
      </c>
      <c r="S10" s="73">
        <f t="shared" si="1"/>
        <v>0</v>
      </c>
      <c r="T10" s="73">
        <f t="shared" si="1"/>
        <v>0</v>
      </c>
      <c r="U10" s="73">
        <f t="shared" si="1"/>
        <v>0</v>
      </c>
      <c r="V10" s="73">
        <f t="shared" si="1"/>
        <v>0</v>
      </c>
      <c r="W10" s="73">
        <f t="shared" si="1"/>
        <v>0</v>
      </c>
      <c r="X10" s="73">
        <f t="shared" si="1"/>
        <v>0</v>
      </c>
      <c r="Y10" s="73">
        <f t="shared" si="1"/>
        <v>0</v>
      </c>
      <c r="Z10" s="73">
        <f t="shared" si="1"/>
        <v>0</v>
      </c>
      <c r="AA10" s="73">
        <f t="shared" si="1"/>
        <v>0</v>
      </c>
      <c r="AB10" s="73">
        <f t="shared" si="1"/>
        <v>0</v>
      </c>
      <c r="AC10" s="73">
        <f t="shared" si="1"/>
        <v>0</v>
      </c>
      <c r="AD10" s="107"/>
      <c r="AG10" s="107"/>
      <c r="AL10" s="107"/>
      <c r="AM10" s="107"/>
      <c r="AN10" s="107"/>
      <c r="AO10" s="107"/>
      <c r="AP10" s="107"/>
      <c r="AQ10" s="107"/>
      <c r="AR10" s="107"/>
      <c r="AS10" s="107"/>
      <c r="AT10" s="107"/>
      <c r="AU10" s="107"/>
      <c r="AV10" s="107"/>
      <c r="AW10" s="107"/>
      <c r="AX10" s="107"/>
      <c r="AY10" s="107"/>
      <c r="AZ10" s="107"/>
      <c r="BA10" s="107"/>
      <c r="BB10" s="107"/>
      <c r="BC10" s="107"/>
      <c r="BD10" s="107"/>
      <c r="BE10" s="107"/>
      <c r="BF10" s="107"/>
      <c r="BG10" s="107"/>
      <c r="BH10" s="107"/>
      <c r="BI10" s="107"/>
      <c r="BJ10" s="107"/>
      <c r="BK10" s="107"/>
      <c r="BL10" s="107"/>
      <c r="BM10" s="107"/>
      <c r="BN10" s="107"/>
      <c r="BO10" s="107"/>
      <c r="BP10" s="107"/>
      <c r="BQ10" s="107"/>
      <c r="BR10" s="107"/>
      <c r="BS10" s="107"/>
      <c r="BT10" s="107"/>
      <c r="BU10" s="107"/>
      <c r="BV10" s="107"/>
      <c r="BW10" s="107"/>
      <c r="BX10" s="107"/>
      <c r="BY10" s="107"/>
      <c r="BZ10" s="107"/>
      <c r="CA10" s="107"/>
      <c r="CB10" s="107"/>
      <c r="CC10" s="107"/>
      <c r="CD10" s="107"/>
    </row>
    <row r="11" spans="1:82" ht="27.95" customHeight="1" x14ac:dyDescent="0.3">
      <c r="A11" s="67"/>
      <c r="B11" s="9" t="s">
        <v>192</v>
      </c>
      <c r="C11" s="9" t="s">
        <v>243</v>
      </c>
      <c r="D11" s="9" t="s">
        <v>2</v>
      </c>
      <c r="E11" s="166">
        <v>503.92308064999997</v>
      </c>
      <c r="F11" s="12">
        <f>+IF($D11="USD",$E11,$E11/$C$52)</f>
        <v>0.58772249321712533</v>
      </c>
      <c r="G11" s="9"/>
      <c r="H11" s="29" t="s">
        <v>148</v>
      </c>
      <c r="I11" s="21">
        <v>45176</v>
      </c>
      <c r="J11" s="30" t="s">
        <v>151</v>
      </c>
      <c r="K11" s="22">
        <v>120</v>
      </c>
      <c r="L11" s="10" t="s">
        <v>149</v>
      </c>
      <c r="M11" s="21">
        <v>48845</v>
      </c>
      <c r="N11" s="10" t="s">
        <v>150</v>
      </c>
      <c r="O11" s="13"/>
      <c r="P11" s="73">
        <f>+F64+F109</f>
        <v>64.126365013937587</v>
      </c>
      <c r="Q11" s="73">
        <f t="shared" si="1"/>
        <v>0</v>
      </c>
      <c r="R11" s="73">
        <f t="shared" si="1"/>
        <v>111.83890380462421</v>
      </c>
      <c r="S11" s="73">
        <f t="shared" si="1"/>
        <v>0</v>
      </c>
      <c r="T11" s="73">
        <f t="shared" si="1"/>
        <v>107.90974046290677</v>
      </c>
      <c r="U11" s="73">
        <f t="shared" si="1"/>
        <v>0</v>
      </c>
      <c r="V11" s="73">
        <f t="shared" si="1"/>
        <v>103.98986000236546</v>
      </c>
      <c r="W11" s="73">
        <f t="shared" si="1"/>
        <v>0</v>
      </c>
      <c r="X11" s="73">
        <f t="shared" si="1"/>
        <v>103.13718434488226</v>
      </c>
      <c r="Y11" s="73">
        <f t="shared" si="1"/>
        <v>0</v>
      </c>
      <c r="Z11" s="73">
        <f t="shared" si="1"/>
        <v>103.02316711031008</v>
      </c>
      <c r="AA11" s="73">
        <f t="shared" si="1"/>
        <v>0</v>
      </c>
      <c r="AB11" s="73">
        <f t="shared" si="1"/>
        <v>98.782793046559405</v>
      </c>
      <c r="AC11" s="73">
        <f t="shared" si="1"/>
        <v>0</v>
      </c>
      <c r="AD11" s="107"/>
      <c r="AG11" s="107"/>
      <c r="AL11" s="107"/>
      <c r="AM11" s="107"/>
      <c r="AN11" s="107"/>
      <c r="AO11" s="107"/>
      <c r="AP11" s="107"/>
      <c r="AQ11" s="107"/>
      <c r="AR11" s="107"/>
      <c r="AS11" s="107"/>
      <c r="AT11" s="107"/>
      <c r="AU11" s="107"/>
      <c r="AV11" s="107"/>
      <c r="AW11" s="107"/>
      <c r="AX11" s="107"/>
      <c r="AY11" s="107"/>
      <c r="AZ11" s="107"/>
      <c r="BA11" s="107"/>
      <c r="BB11" s="107"/>
      <c r="BC11" s="107"/>
      <c r="BD11" s="107"/>
      <c r="BE11" s="107"/>
      <c r="BF11" s="107"/>
      <c r="BG11" s="107"/>
      <c r="BH11" s="107"/>
      <c r="BI11" s="107"/>
      <c r="BJ11" s="107"/>
      <c r="BK11" s="107"/>
      <c r="BL11" s="107"/>
      <c r="BM11" s="107"/>
      <c r="BN11" s="107"/>
      <c r="BO11" s="107"/>
      <c r="BP11" s="107"/>
      <c r="BQ11" s="107"/>
      <c r="BR11" s="107"/>
      <c r="BS11" s="107"/>
      <c r="BT11" s="107"/>
      <c r="BU11" s="107"/>
      <c r="BV11" s="107"/>
      <c r="BW11" s="107"/>
      <c r="BX11" s="107"/>
      <c r="BY11" s="107"/>
      <c r="BZ11" s="107"/>
      <c r="CA11" s="107"/>
      <c r="CB11" s="107"/>
      <c r="CC11" s="107"/>
      <c r="CD11" s="107"/>
    </row>
    <row r="12" spans="1:82" ht="27.95" customHeight="1" x14ac:dyDescent="0.3">
      <c r="A12" s="67"/>
      <c r="B12" s="9" t="s">
        <v>5</v>
      </c>
      <c r="C12" s="9" t="s">
        <v>6</v>
      </c>
      <c r="D12" s="9" t="s">
        <v>2</v>
      </c>
      <c r="E12" s="166">
        <v>258.39964999</v>
      </c>
      <c r="F12" s="12">
        <f>+IF($D12="USD",$E12,$E12/$C$52)</f>
        <v>0.30136997563728346</v>
      </c>
      <c r="G12" s="9"/>
      <c r="H12" s="29" t="s">
        <v>148</v>
      </c>
      <c r="I12" s="21">
        <v>43158</v>
      </c>
      <c r="J12" s="30" t="s">
        <v>151</v>
      </c>
      <c r="K12" s="22">
        <v>96</v>
      </c>
      <c r="L12" s="10" t="s">
        <v>149</v>
      </c>
      <c r="M12" s="21">
        <v>46080</v>
      </c>
      <c r="N12" s="10" t="s">
        <v>150</v>
      </c>
      <c r="O12" s="13"/>
      <c r="P12" s="73">
        <f t="shared" si="1"/>
        <v>155.17709908724567</v>
      </c>
      <c r="Q12" s="73">
        <f t="shared" si="1"/>
        <v>0</v>
      </c>
      <c r="R12" s="73">
        <f t="shared" si="1"/>
        <v>144.86884143757192</v>
      </c>
      <c r="S12" s="73">
        <f t="shared" si="1"/>
        <v>0</v>
      </c>
      <c r="T12" s="73">
        <f t="shared" si="1"/>
        <v>22.983299287782703</v>
      </c>
      <c r="U12" s="73">
        <f t="shared" si="1"/>
        <v>0</v>
      </c>
      <c r="V12" s="73">
        <f t="shared" si="1"/>
        <v>0</v>
      </c>
      <c r="W12" s="73">
        <f t="shared" si="1"/>
        <v>0</v>
      </c>
      <c r="X12" s="73">
        <f t="shared" si="1"/>
        <v>0</v>
      </c>
      <c r="Y12" s="73">
        <f t="shared" si="1"/>
        <v>0</v>
      </c>
      <c r="Z12" s="73">
        <f t="shared" si="1"/>
        <v>0</v>
      </c>
      <c r="AA12" s="73">
        <f t="shared" si="1"/>
        <v>0</v>
      </c>
      <c r="AB12" s="73">
        <f t="shared" si="1"/>
        <v>0</v>
      </c>
      <c r="AC12" s="73">
        <f t="shared" si="1"/>
        <v>0</v>
      </c>
      <c r="AD12" s="107"/>
      <c r="AG12" s="107"/>
      <c r="AL12" s="107"/>
      <c r="AM12" s="107"/>
      <c r="AN12" s="107"/>
      <c r="AO12" s="107"/>
      <c r="AP12" s="107"/>
      <c r="AQ12" s="107"/>
      <c r="AR12" s="107"/>
      <c r="AS12" s="107"/>
      <c r="AT12" s="107"/>
      <c r="AU12" s="107"/>
      <c r="AV12" s="107"/>
      <c r="AW12" s="107"/>
      <c r="AX12" s="107"/>
      <c r="AY12" s="107"/>
      <c r="AZ12" s="107"/>
      <c r="BA12" s="107"/>
      <c r="BB12" s="107"/>
      <c r="BC12" s="107"/>
      <c r="BD12" s="107"/>
      <c r="BE12" s="107"/>
      <c r="BF12" s="107"/>
      <c r="BG12" s="107"/>
      <c r="BH12" s="107"/>
      <c r="BI12" s="107"/>
      <c r="BJ12" s="107"/>
      <c r="BK12" s="107"/>
      <c r="BL12" s="107"/>
      <c r="BM12" s="107"/>
      <c r="BN12" s="107"/>
      <c r="BO12" s="107"/>
      <c r="BP12" s="107"/>
      <c r="BQ12" s="107"/>
      <c r="BR12" s="107"/>
      <c r="BS12" s="107"/>
      <c r="BT12" s="107"/>
      <c r="BU12" s="107"/>
      <c r="BV12" s="107"/>
      <c r="BW12" s="107"/>
      <c r="BX12" s="107"/>
      <c r="BY12" s="107"/>
      <c r="BZ12" s="107"/>
      <c r="CA12" s="107"/>
      <c r="CB12" s="107"/>
      <c r="CC12" s="107"/>
      <c r="CD12" s="107"/>
    </row>
    <row r="13" spans="1:82" ht="27.95" customHeight="1" x14ac:dyDescent="0.3">
      <c r="A13" s="67"/>
      <c r="B13" s="9" t="s">
        <v>7</v>
      </c>
      <c r="C13" s="9" t="s">
        <v>8</v>
      </c>
      <c r="D13" s="9" t="s">
        <v>2</v>
      </c>
      <c r="E13" s="166">
        <v>60.345689380000003</v>
      </c>
      <c r="F13" s="12">
        <f>+IF($D13="USD",$E13,$E13/$C$52)</f>
        <v>7.0380818778080723E-2</v>
      </c>
      <c r="G13" s="9"/>
      <c r="H13" s="29" t="s">
        <v>152</v>
      </c>
      <c r="I13" s="21">
        <v>40603</v>
      </c>
      <c r="J13" s="30" t="s">
        <v>153</v>
      </c>
      <c r="K13" s="22">
        <v>187</v>
      </c>
      <c r="L13" s="10" t="s">
        <v>154</v>
      </c>
      <c r="M13" s="21">
        <v>46296</v>
      </c>
      <c r="N13" s="10" t="s">
        <v>150</v>
      </c>
      <c r="O13" s="13"/>
      <c r="P13" s="73">
        <f t="shared" si="1"/>
        <v>55.046437839999996</v>
      </c>
      <c r="Q13" s="73">
        <f t="shared" si="1"/>
        <v>0</v>
      </c>
      <c r="R13" s="73">
        <f t="shared" si="1"/>
        <v>42.18324286</v>
      </c>
      <c r="S13" s="73">
        <f t="shared" si="1"/>
        <v>0</v>
      </c>
      <c r="T13" s="73">
        <f t="shared" si="1"/>
        <v>22.910533919999999</v>
      </c>
      <c r="U13" s="73">
        <f t="shared" si="1"/>
        <v>0</v>
      </c>
      <c r="V13" s="73">
        <f t="shared" si="1"/>
        <v>0</v>
      </c>
      <c r="W13" s="73">
        <f t="shared" si="1"/>
        <v>0</v>
      </c>
      <c r="X13" s="73">
        <f t="shared" si="1"/>
        <v>0</v>
      </c>
      <c r="Y13" s="73">
        <f t="shared" si="1"/>
        <v>0</v>
      </c>
      <c r="Z13" s="73">
        <f t="shared" si="1"/>
        <v>0</v>
      </c>
      <c r="AA13" s="73">
        <f t="shared" si="1"/>
        <v>0</v>
      </c>
      <c r="AB13" s="73">
        <f t="shared" si="1"/>
        <v>0</v>
      </c>
      <c r="AC13" s="73">
        <f t="shared" si="1"/>
        <v>0</v>
      </c>
      <c r="AD13" s="107"/>
      <c r="AG13" s="107"/>
      <c r="AL13" s="107"/>
      <c r="AM13" s="107"/>
      <c r="AN13" s="107"/>
      <c r="AO13" s="107"/>
      <c r="AP13" s="107"/>
      <c r="AQ13" s="107"/>
      <c r="AR13" s="107"/>
      <c r="AS13" s="107"/>
      <c r="AT13" s="107"/>
      <c r="AU13" s="107"/>
      <c r="AV13" s="107"/>
      <c r="AW13" s="107"/>
      <c r="AX13" s="107"/>
      <c r="AY13" s="107"/>
      <c r="AZ13" s="107"/>
      <c r="BA13" s="107"/>
      <c r="BB13" s="107"/>
      <c r="BC13" s="107"/>
      <c r="BD13" s="107"/>
      <c r="BE13" s="107"/>
      <c r="BF13" s="107"/>
      <c r="BG13" s="107"/>
      <c r="BH13" s="107"/>
      <c r="BI13" s="107"/>
      <c r="BJ13" s="107"/>
      <c r="BK13" s="107"/>
      <c r="BL13" s="107"/>
      <c r="BM13" s="107"/>
      <c r="BN13" s="107"/>
      <c r="BO13" s="107"/>
      <c r="BP13" s="107"/>
      <c r="BQ13" s="107"/>
      <c r="BR13" s="107"/>
      <c r="BS13" s="107"/>
      <c r="BT13" s="107"/>
      <c r="BU13" s="107"/>
      <c r="BV13" s="107"/>
      <c r="BW13" s="107"/>
      <c r="BX13" s="107"/>
      <c r="BY13" s="107"/>
      <c r="BZ13" s="107"/>
      <c r="CA13" s="107"/>
      <c r="CB13" s="107"/>
      <c r="CC13" s="107"/>
      <c r="CD13" s="107"/>
    </row>
    <row r="14" spans="1:82" ht="27.95" customHeight="1" x14ac:dyDescent="0.3">
      <c r="A14" s="67"/>
      <c r="B14" s="9" t="s">
        <v>9</v>
      </c>
      <c r="C14" s="9" t="s">
        <v>10</v>
      </c>
      <c r="D14" s="9" t="s">
        <v>2</v>
      </c>
      <c r="E14" s="166">
        <v>26.69904786</v>
      </c>
      <c r="F14" s="12">
        <f>+IF($D14="USD",$E14,$E14/$C$52)</f>
        <v>3.1138940797397579E-2</v>
      </c>
      <c r="G14" s="9"/>
      <c r="H14" s="29" t="s">
        <v>148</v>
      </c>
      <c r="I14" s="21">
        <v>43104</v>
      </c>
      <c r="J14" s="30" t="s">
        <v>151</v>
      </c>
      <c r="K14" s="22">
        <v>96</v>
      </c>
      <c r="L14" s="10" t="s">
        <v>149</v>
      </c>
      <c r="M14" s="21">
        <v>46026</v>
      </c>
      <c r="N14" s="10" t="s">
        <v>150</v>
      </c>
      <c r="O14" s="13"/>
      <c r="P14" s="73">
        <f t="shared" si="1"/>
        <v>16.789423874214386</v>
      </c>
      <c r="Q14" s="73">
        <f t="shared" si="1"/>
        <v>0</v>
      </c>
      <c r="R14" s="73">
        <f t="shared" si="1"/>
        <v>15.605305312913803</v>
      </c>
      <c r="S14" s="73">
        <f t="shared" si="1"/>
        <v>0</v>
      </c>
      <c r="T14" s="73">
        <f t="shared" si="1"/>
        <v>1.2388045860931591</v>
      </c>
      <c r="U14" s="73">
        <f t="shared" si="1"/>
        <v>0</v>
      </c>
      <c r="V14" s="73">
        <f t="shared" si="1"/>
        <v>0</v>
      </c>
      <c r="W14" s="73">
        <f t="shared" si="1"/>
        <v>0</v>
      </c>
      <c r="X14" s="73">
        <f t="shared" si="1"/>
        <v>0</v>
      </c>
      <c r="Y14" s="73">
        <f t="shared" si="1"/>
        <v>0</v>
      </c>
      <c r="Z14" s="73">
        <f t="shared" si="1"/>
        <v>0</v>
      </c>
      <c r="AA14" s="73">
        <f t="shared" si="1"/>
        <v>0</v>
      </c>
      <c r="AB14" s="73">
        <f t="shared" si="1"/>
        <v>0</v>
      </c>
      <c r="AC14" s="73">
        <f t="shared" si="1"/>
        <v>0</v>
      </c>
      <c r="AD14" s="107"/>
      <c r="AG14" s="107"/>
      <c r="AL14" s="107"/>
      <c r="AM14" s="107"/>
      <c r="AN14" s="107"/>
      <c r="AO14" s="107"/>
      <c r="AP14" s="107"/>
      <c r="AQ14" s="107"/>
      <c r="AR14" s="107"/>
      <c r="AS14" s="107"/>
      <c r="AT14" s="107"/>
      <c r="AU14" s="107"/>
      <c r="AV14" s="107"/>
      <c r="AW14" s="107"/>
      <c r="AX14" s="107"/>
      <c r="AY14" s="107"/>
      <c r="AZ14" s="107"/>
      <c r="BA14" s="107"/>
      <c r="BB14" s="107"/>
      <c r="BC14" s="107"/>
      <c r="BD14" s="107"/>
      <c r="BE14" s="107"/>
      <c r="BF14" s="107"/>
      <c r="BG14" s="107"/>
      <c r="BH14" s="107"/>
      <c r="BI14" s="107"/>
      <c r="BJ14" s="107"/>
      <c r="BK14" s="107"/>
      <c r="BL14" s="107"/>
      <c r="BM14" s="107"/>
      <c r="BN14" s="107"/>
      <c r="BO14" s="107"/>
      <c r="BP14" s="107"/>
      <c r="BQ14" s="107"/>
      <c r="BR14" s="107"/>
      <c r="BS14" s="107"/>
      <c r="BT14" s="107"/>
      <c r="BU14" s="107"/>
      <c r="BV14" s="107"/>
      <c r="BW14" s="107"/>
      <c r="BX14" s="107"/>
      <c r="BY14" s="107"/>
      <c r="BZ14" s="107"/>
      <c r="CA14" s="107"/>
      <c r="CB14" s="107"/>
      <c r="CC14" s="107"/>
      <c r="CD14" s="107"/>
    </row>
    <row r="15" spans="1:82" ht="27.95" customHeight="1" x14ac:dyDescent="0.3">
      <c r="A15" s="67"/>
      <c r="B15" s="185" t="s">
        <v>90</v>
      </c>
      <c r="C15" s="185"/>
      <c r="D15" s="185"/>
      <c r="E15" s="185"/>
      <c r="F15" s="186">
        <f>+SUM(F16:F16)</f>
        <v>15.906822190132289</v>
      </c>
      <c r="G15" s="187">
        <f>+F15/$F$45</f>
        <v>2.2592068775229429E-2</v>
      </c>
      <c r="H15" s="188"/>
      <c r="I15" s="185"/>
      <c r="J15" s="189"/>
      <c r="K15" s="185"/>
      <c r="L15" s="185"/>
      <c r="M15" s="185"/>
      <c r="N15" s="185"/>
      <c r="O15" s="24"/>
      <c r="P15" s="198">
        <f t="shared" ref="P15:AC15" si="2">+P16</f>
        <v>15491.188270008182</v>
      </c>
      <c r="Q15" s="198">
        <f t="shared" si="2"/>
        <v>0</v>
      </c>
      <c r="R15" s="198">
        <f t="shared" si="2"/>
        <v>9026.8003819553614</v>
      </c>
      <c r="S15" s="198">
        <f t="shared" si="2"/>
        <v>0</v>
      </c>
      <c r="T15" s="198">
        <f t="shared" si="2"/>
        <v>5734.8299024114258</v>
      </c>
      <c r="U15" s="198">
        <f t="shared" si="2"/>
        <v>0</v>
      </c>
      <c r="V15" s="198">
        <f t="shared" si="2"/>
        <v>1853.0816291828144</v>
      </c>
      <c r="W15" s="198">
        <f t="shared" si="2"/>
        <v>0</v>
      </c>
      <c r="X15" s="198">
        <f t="shared" si="2"/>
        <v>0</v>
      </c>
      <c r="Y15" s="198">
        <f t="shared" si="2"/>
        <v>0</v>
      </c>
      <c r="Z15" s="198">
        <f t="shared" si="2"/>
        <v>0</v>
      </c>
      <c r="AA15" s="198">
        <f t="shared" si="2"/>
        <v>0</v>
      </c>
      <c r="AB15" s="198">
        <f t="shared" si="2"/>
        <v>0</v>
      </c>
      <c r="AC15" s="198">
        <f t="shared" si="2"/>
        <v>0</v>
      </c>
      <c r="AD15" s="112"/>
      <c r="AG15" s="112"/>
      <c r="AL15" s="112"/>
      <c r="AM15" s="112"/>
      <c r="AN15" s="112"/>
      <c r="AO15" s="112"/>
      <c r="AP15" s="112"/>
      <c r="AQ15" s="112"/>
      <c r="AR15" s="112"/>
      <c r="AS15" s="112"/>
      <c r="AT15" s="112"/>
      <c r="AU15" s="112"/>
      <c r="AV15" s="112"/>
      <c r="AW15" s="112"/>
      <c r="AX15" s="112"/>
      <c r="AY15" s="112"/>
      <c r="AZ15" s="112"/>
      <c r="BA15" s="112"/>
      <c r="BB15" s="112"/>
      <c r="BC15" s="112"/>
      <c r="BD15" s="112"/>
      <c r="BE15" s="112"/>
      <c r="BF15" s="112"/>
      <c r="BG15" s="112"/>
      <c r="BH15" s="112"/>
      <c r="BI15" s="112"/>
      <c r="BJ15" s="112"/>
      <c r="BK15" s="112"/>
      <c r="BL15" s="112"/>
      <c r="BM15" s="112"/>
      <c r="BN15" s="112"/>
      <c r="BO15" s="112"/>
      <c r="BP15" s="112"/>
      <c r="BQ15" s="112"/>
      <c r="BR15" s="112"/>
      <c r="BS15" s="112"/>
      <c r="BT15" s="112"/>
      <c r="BU15" s="112"/>
      <c r="BV15" s="112"/>
      <c r="BW15" s="112"/>
      <c r="BX15" s="112"/>
      <c r="BY15" s="112"/>
      <c r="BZ15" s="112"/>
      <c r="CA15" s="112"/>
      <c r="CB15" s="112"/>
      <c r="CC15" s="112"/>
      <c r="CD15" s="112"/>
    </row>
    <row r="16" spans="1:82" ht="27.95" customHeight="1" x14ac:dyDescent="0.3">
      <c r="A16" s="67"/>
      <c r="B16" s="9" t="s">
        <v>142</v>
      </c>
      <c r="C16" s="9" t="s">
        <v>143</v>
      </c>
      <c r="D16" s="9" t="s">
        <v>2</v>
      </c>
      <c r="E16" s="166">
        <v>13638.77498975</v>
      </c>
      <c r="F16" s="12">
        <f>+IF($D16="USD",$E16,$E16/$C$52)</f>
        <v>15.906822190132289</v>
      </c>
      <c r="G16" s="9"/>
      <c r="H16" s="29" t="s">
        <v>148</v>
      </c>
      <c r="I16" s="21">
        <v>44684</v>
      </c>
      <c r="J16" s="30" t="s">
        <v>156</v>
      </c>
      <c r="K16" s="22">
        <v>60</v>
      </c>
      <c r="L16" s="10" t="s">
        <v>149</v>
      </c>
      <c r="M16" s="21">
        <v>46510</v>
      </c>
      <c r="N16" s="10" t="s">
        <v>150</v>
      </c>
      <c r="O16" s="13"/>
      <c r="P16" s="73">
        <f t="shared" ref="P16:AC16" si="3">+F69+F114</f>
        <v>15491.188270008182</v>
      </c>
      <c r="Q16" s="73">
        <f t="shared" si="3"/>
        <v>0</v>
      </c>
      <c r="R16" s="73">
        <f t="shared" si="3"/>
        <v>9026.8003819553614</v>
      </c>
      <c r="S16" s="73">
        <f t="shared" si="3"/>
        <v>0</v>
      </c>
      <c r="T16" s="73">
        <f t="shared" si="3"/>
        <v>5734.8299024114258</v>
      </c>
      <c r="U16" s="73">
        <f t="shared" si="3"/>
        <v>0</v>
      </c>
      <c r="V16" s="73">
        <f t="shared" si="3"/>
        <v>1853.0816291828144</v>
      </c>
      <c r="W16" s="73">
        <f t="shared" si="3"/>
        <v>0</v>
      </c>
      <c r="X16" s="73">
        <f t="shared" si="3"/>
        <v>0</v>
      </c>
      <c r="Y16" s="73">
        <f t="shared" si="3"/>
        <v>0</v>
      </c>
      <c r="Z16" s="73">
        <f t="shared" si="3"/>
        <v>0</v>
      </c>
      <c r="AA16" s="73">
        <f t="shared" si="3"/>
        <v>0</v>
      </c>
      <c r="AB16" s="73">
        <f t="shared" si="3"/>
        <v>0</v>
      </c>
      <c r="AC16" s="73">
        <f t="shared" si="3"/>
        <v>0</v>
      </c>
      <c r="AD16" s="107"/>
      <c r="AG16" s="107"/>
      <c r="AL16" s="107"/>
      <c r="AM16" s="107"/>
      <c r="AN16" s="107"/>
      <c r="AO16" s="107"/>
      <c r="AP16" s="107"/>
      <c r="AQ16" s="107"/>
      <c r="AR16" s="107"/>
      <c r="AS16" s="107"/>
      <c r="AT16" s="107"/>
      <c r="AU16" s="107"/>
      <c r="AV16" s="107"/>
      <c r="AW16" s="107"/>
      <c r="AX16" s="107"/>
      <c r="AY16" s="107"/>
      <c r="AZ16" s="107"/>
      <c r="BA16" s="107"/>
      <c r="BB16" s="107"/>
      <c r="BC16" s="107"/>
      <c r="BD16" s="107"/>
      <c r="BE16" s="107"/>
      <c r="BF16" s="107"/>
      <c r="BG16" s="107"/>
      <c r="BH16" s="107"/>
      <c r="BI16" s="107"/>
      <c r="BJ16" s="107"/>
      <c r="BK16" s="107"/>
      <c r="BL16" s="107"/>
      <c r="BM16" s="107"/>
      <c r="BN16" s="107"/>
      <c r="BO16" s="107"/>
      <c r="BP16" s="107"/>
      <c r="BQ16" s="107"/>
      <c r="BR16" s="107"/>
      <c r="BS16" s="107"/>
      <c r="BT16" s="107"/>
      <c r="BU16" s="107"/>
      <c r="BV16" s="107"/>
      <c r="BW16" s="107"/>
      <c r="BX16" s="107"/>
      <c r="BY16" s="107"/>
      <c r="BZ16" s="107"/>
      <c r="CA16" s="107"/>
      <c r="CB16" s="107"/>
      <c r="CC16" s="107"/>
      <c r="CD16" s="107"/>
    </row>
    <row r="17" spans="1:96" ht="27.95" customHeight="1" x14ac:dyDescent="0.3">
      <c r="A17" s="67"/>
      <c r="B17" s="185" t="s">
        <v>11</v>
      </c>
      <c r="C17" s="185"/>
      <c r="D17" s="185"/>
      <c r="E17" s="185"/>
      <c r="F17" s="186">
        <f>+SUM(F18,F30)</f>
        <v>195.44034323000002</v>
      </c>
      <c r="G17" s="187">
        <f>+F17/$F$45</f>
        <v>0.27757911812490593</v>
      </c>
      <c r="H17" s="188"/>
      <c r="I17" s="185"/>
      <c r="J17" s="189"/>
      <c r="K17" s="185"/>
      <c r="L17" s="185"/>
      <c r="M17" s="185"/>
      <c r="N17" s="185"/>
      <c r="O17" s="24"/>
      <c r="P17" s="198">
        <f t="shared" ref="P17:AB17" si="4">+P18+P30</f>
        <v>0</v>
      </c>
      <c r="Q17" s="198">
        <f t="shared" si="4"/>
        <v>28.41616748827218</v>
      </c>
      <c r="R17" s="198">
        <f t="shared" si="4"/>
        <v>0</v>
      </c>
      <c r="S17" s="198">
        <f t="shared" si="4"/>
        <v>28.684015060272305</v>
      </c>
      <c r="T17" s="198">
        <f t="shared" si="4"/>
        <v>0</v>
      </c>
      <c r="U17" s="198">
        <f t="shared" si="4"/>
        <v>21.958393084883348</v>
      </c>
      <c r="V17" s="198">
        <f t="shared" si="4"/>
        <v>0</v>
      </c>
      <c r="W17" s="198">
        <f t="shared" si="4"/>
        <v>20.090008274112215</v>
      </c>
      <c r="X17" s="198">
        <f t="shared" si="4"/>
        <v>0</v>
      </c>
      <c r="Y17" s="198">
        <f t="shared" si="4"/>
        <v>18.51496860290505</v>
      </c>
      <c r="Z17" s="198">
        <f t="shared" si="4"/>
        <v>0</v>
      </c>
      <c r="AA17" s="198">
        <f t="shared" si="4"/>
        <v>17.714091312017956</v>
      </c>
      <c r="AB17" s="198">
        <f t="shared" si="4"/>
        <v>0</v>
      </c>
      <c r="AC17" s="198">
        <f>+AC18+AC30</f>
        <v>14.951644312445957</v>
      </c>
      <c r="AD17" s="112"/>
      <c r="AG17" s="112"/>
      <c r="AL17" s="112"/>
      <c r="AM17" s="112"/>
      <c r="AN17" s="112"/>
      <c r="AO17" s="112"/>
      <c r="AP17" s="112"/>
      <c r="AQ17" s="112"/>
      <c r="AR17" s="112"/>
      <c r="AS17" s="112"/>
      <c r="AT17" s="112"/>
      <c r="AU17" s="112"/>
      <c r="AV17" s="112"/>
      <c r="AW17" s="112"/>
      <c r="AX17" s="112"/>
      <c r="AY17" s="112"/>
      <c r="AZ17" s="112"/>
      <c r="BA17" s="112"/>
      <c r="BB17" s="112"/>
      <c r="BC17" s="112"/>
      <c r="BD17" s="112"/>
      <c r="BE17" s="112"/>
      <c r="BF17" s="112"/>
      <c r="BG17" s="112"/>
      <c r="BH17" s="112"/>
      <c r="BI17" s="112"/>
      <c r="BJ17" s="112"/>
      <c r="BK17" s="112"/>
      <c r="BL17" s="112"/>
      <c r="BM17" s="112"/>
      <c r="BN17" s="112"/>
      <c r="BO17" s="112"/>
      <c r="BP17" s="112"/>
      <c r="BQ17" s="112"/>
      <c r="BR17" s="112"/>
      <c r="BS17" s="112"/>
      <c r="BT17" s="112"/>
      <c r="BU17" s="112"/>
      <c r="BV17" s="112"/>
      <c r="BW17" s="112"/>
      <c r="BX17" s="112"/>
      <c r="BY17" s="112"/>
      <c r="BZ17" s="112"/>
      <c r="CA17" s="112"/>
      <c r="CB17" s="112"/>
      <c r="CC17" s="112"/>
      <c r="CD17" s="112"/>
    </row>
    <row r="18" spans="1:96" ht="27.95" customHeight="1" x14ac:dyDescent="0.3">
      <c r="A18" s="67"/>
      <c r="B18" s="190" t="s">
        <v>12</v>
      </c>
      <c r="C18" s="190"/>
      <c r="D18" s="190"/>
      <c r="E18" s="190"/>
      <c r="F18" s="191">
        <f>+SUM(F19:F29)</f>
        <v>163.10776945000003</v>
      </c>
      <c r="G18" s="190"/>
      <c r="H18" s="192"/>
      <c r="I18" s="190"/>
      <c r="J18" s="193"/>
      <c r="K18" s="190"/>
      <c r="L18" s="190"/>
      <c r="M18" s="190"/>
      <c r="N18" s="190"/>
      <c r="O18" s="25"/>
      <c r="P18" s="200">
        <f t="shared" ref="P18:AC18" si="5">+SUM(P19:P29)</f>
        <v>0</v>
      </c>
      <c r="Q18" s="200">
        <f t="shared" si="5"/>
        <v>24.774823380924605</v>
      </c>
      <c r="R18" s="200">
        <f t="shared" si="5"/>
        <v>0</v>
      </c>
      <c r="S18" s="200">
        <f t="shared" si="5"/>
        <v>24.539660643291946</v>
      </c>
      <c r="T18" s="200">
        <f t="shared" si="5"/>
        <v>0</v>
      </c>
      <c r="U18" s="200">
        <f t="shared" si="5"/>
        <v>18.064931695207907</v>
      </c>
      <c r="V18" s="200">
        <f t="shared" si="5"/>
        <v>0</v>
      </c>
      <c r="W18" s="200">
        <f t="shared" si="5"/>
        <v>16.510497945855334</v>
      </c>
      <c r="X18" s="200">
        <f t="shared" si="5"/>
        <v>0</v>
      </c>
      <c r="Y18" s="200">
        <f t="shared" si="5"/>
        <v>15.076617023812895</v>
      </c>
      <c r="Z18" s="200">
        <f t="shared" si="5"/>
        <v>0</v>
      </c>
      <c r="AA18" s="200">
        <f t="shared" si="5"/>
        <v>14.389500710326878</v>
      </c>
      <c r="AB18" s="200">
        <f t="shared" si="5"/>
        <v>0</v>
      </c>
      <c r="AC18" s="200">
        <f t="shared" si="5"/>
        <v>12.18484151060272</v>
      </c>
      <c r="AD18" s="108"/>
      <c r="AG18" s="108"/>
      <c r="AL18" s="108"/>
      <c r="AM18" s="108"/>
      <c r="AN18" s="108"/>
      <c r="AO18" s="108"/>
      <c r="AP18" s="108"/>
      <c r="AQ18" s="108"/>
      <c r="AR18" s="108"/>
      <c r="AS18" s="108"/>
      <c r="AT18" s="108"/>
      <c r="AU18" s="108"/>
      <c r="AV18" s="108"/>
      <c r="AW18" s="108"/>
      <c r="AX18" s="108"/>
      <c r="AY18" s="108"/>
      <c r="AZ18" s="108"/>
      <c r="BA18" s="108"/>
      <c r="BB18" s="108"/>
      <c r="BC18" s="108"/>
      <c r="BD18" s="108"/>
      <c r="BE18" s="108"/>
      <c r="BF18" s="108"/>
      <c r="BG18" s="108"/>
      <c r="BH18" s="108"/>
      <c r="BI18" s="108"/>
      <c r="BJ18" s="108"/>
      <c r="BK18" s="108"/>
      <c r="BL18" s="108"/>
      <c r="BM18" s="108"/>
      <c r="BN18" s="108"/>
      <c r="BO18" s="108"/>
      <c r="BP18" s="108"/>
      <c r="BQ18" s="108"/>
      <c r="BR18" s="108"/>
      <c r="BS18" s="108"/>
      <c r="BT18" s="108"/>
      <c r="BU18" s="108"/>
      <c r="BV18" s="108"/>
      <c r="BW18" s="108"/>
      <c r="BX18" s="108"/>
      <c r="BY18" s="108"/>
      <c r="BZ18" s="108"/>
      <c r="CA18" s="108"/>
      <c r="CB18" s="108"/>
      <c r="CC18" s="108"/>
      <c r="CD18" s="108"/>
    </row>
    <row r="19" spans="1:96" ht="27.95" customHeight="1" x14ac:dyDescent="0.3">
      <c r="A19" s="67"/>
      <c r="B19" s="9" t="s">
        <v>19</v>
      </c>
      <c r="C19" s="9" t="s">
        <v>20</v>
      </c>
      <c r="D19" s="9" t="s">
        <v>99</v>
      </c>
      <c r="E19" s="167">
        <v>40.658889940000002</v>
      </c>
      <c r="F19" s="12">
        <f t="shared" ref="F19:F29" si="6">+IF($D19="USD",$E19,$E19/$C$52)</f>
        <v>40.658889940000002</v>
      </c>
      <c r="G19" s="9"/>
      <c r="H19" s="29" t="s">
        <v>148</v>
      </c>
      <c r="I19" s="21">
        <v>42050</v>
      </c>
      <c r="J19" s="30" t="s">
        <v>157</v>
      </c>
      <c r="K19" s="22">
        <v>300</v>
      </c>
      <c r="L19" s="10" t="s">
        <v>155</v>
      </c>
      <c r="M19" s="21">
        <v>51181</v>
      </c>
      <c r="N19" s="10" t="s">
        <v>150</v>
      </c>
      <c r="O19" s="13"/>
      <c r="P19" s="73">
        <f t="shared" ref="P19:P29" si="7">+F72+F117</f>
        <v>0</v>
      </c>
      <c r="Q19" s="73">
        <f t="shared" ref="Q19:Q29" si="8">+G72+G117</f>
        <v>5.3040233460225465</v>
      </c>
      <c r="R19" s="73">
        <f t="shared" ref="R19:R29" si="9">+H72+H117</f>
        <v>0</v>
      </c>
      <c r="S19" s="73">
        <f t="shared" ref="S19:S29" si="10">+I72+I117</f>
        <v>4.7809131687569604</v>
      </c>
      <c r="T19" s="73">
        <f t="shared" ref="T19:T29" si="11">+J72+J117</f>
        <v>0</v>
      </c>
      <c r="U19" s="73">
        <f t="shared" ref="U19:U29" si="12">+K72+K117</f>
        <v>4.3891682452861032</v>
      </c>
      <c r="V19" s="73">
        <f t="shared" ref="V19:V29" si="13">+L72+L117</f>
        <v>0</v>
      </c>
      <c r="W19" s="73">
        <f t="shared" ref="W19:W29" si="14">+M72+M117</f>
        <v>3.9940724444648117</v>
      </c>
      <c r="X19" s="73">
        <f t="shared" ref="X19:X29" si="15">+N72+N117</f>
        <v>0</v>
      </c>
      <c r="Y19" s="73">
        <f t="shared" ref="Y19:Y29" si="16">+O72+O117</f>
        <v>3.6102427764681058</v>
      </c>
      <c r="Z19" s="73">
        <f t="shared" ref="Z19:Z29" si="17">+P72+P117</f>
        <v>0</v>
      </c>
      <c r="AA19" s="73">
        <f t="shared" ref="AA19:AA29" si="18">+Q72+Q117</f>
        <v>3.4070882657721802</v>
      </c>
      <c r="AB19" s="73">
        <f t="shared" ref="AB19:AB29" si="19">+R72+R117</f>
        <v>0</v>
      </c>
      <c r="AC19" s="73">
        <f t="shared" ref="AC19:AC29" si="20">+S72+S117</f>
        <v>2.8262928587434679</v>
      </c>
      <c r="AD19" s="107"/>
      <c r="AG19" s="107"/>
      <c r="AL19" s="107"/>
      <c r="AM19" s="107"/>
      <c r="AN19" s="107"/>
      <c r="AO19" s="107"/>
      <c r="AP19" s="107"/>
      <c r="AQ19" s="107"/>
      <c r="AR19" s="107"/>
      <c r="AS19" s="107"/>
      <c r="AT19" s="107"/>
      <c r="AU19" s="107"/>
      <c r="AV19" s="107"/>
      <c r="AW19" s="107"/>
      <c r="AX19" s="107"/>
      <c r="AY19" s="107"/>
      <c r="AZ19" s="107"/>
      <c r="BA19" s="107"/>
      <c r="BB19" s="107"/>
      <c r="BC19" s="107"/>
      <c r="BD19" s="107"/>
      <c r="BE19" s="107"/>
      <c r="BF19" s="107"/>
      <c r="BG19" s="107"/>
      <c r="BH19" s="107"/>
      <c r="BI19" s="107"/>
      <c r="BJ19" s="107"/>
      <c r="BK19" s="107"/>
      <c r="BL19" s="107"/>
      <c r="BM19" s="107"/>
      <c r="BN19" s="107"/>
      <c r="BO19" s="107"/>
      <c r="BP19" s="107"/>
      <c r="BQ19" s="107"/>
      <c r="BR19" s="107"/>
      <c r="BS19" s="107"/>
      <c r="BT19" s="107"/>
      <c r="BU19" s="107"/>
      <c r="BV19" s="107"/>
      <c r="BW19" s="107"/>
      <c r="BX19" s="107"/>
      <c r="BY19" s="107"/>
      <c r="BZ19" s="107"/>
      <c r="CA19" s="107"/>
      <c r="CB19" s="107"/>
      <c r="CC19" s="107"/>
      <c r="CD19" s="107"/>
      <c r="CQ19" s="113"/>
      <c r="CR19" s="114"/>
    </row>
    <row r="20" spans="1:96" ht="27.95" customHeight="1" x14ac:dyDescent="0.3">
      <c r="A20" s="67"/>
      <c r="B20" s="9" t="s">
        <v>13</v>
      </c>
      <c r="C20" s="9" t="s">
        <v>14</v>
      </c>
      <c r="D20" s="9" t="s">
        <v>99</v>
      </c>
      <c r="E20" s="167">
        <v>37.069917230000001</v>
      </c>
      <c r="F20" s="12">
        <f t="shared" si="6"/>
        <v>37.069917230000001</v>
      </c>
      <c r="G20" s="9"/>
      <c r="H20" s="29" t="s">
        <v>148</v>
      </c>
      <c r="I20" s="21">
        <v>39557</v>
      </c>
      <c r="J20" s="30" t="s">
        <v>157</v>
      </c>
      <c r="K20" s="22">
        <v>344</v>
      </c>
      <c r="L20" s="10" t="s">
        <v>155</v>
      </c>
      <c r="M20" s="21">
        <v>50028</v>
      </c>
      <c r="N20" s="10" t="s">
        <v>150</v>
      </c>
      <c r="O20" s="13"/>
      <c r="P20" s="73">
        <f t="shared" si="7"/>
        <v>0</v>
      </c>
      <c r="Q20" s="73">
        <f t="shared" si="8"/>
        <v>5.1556715879709145</v>
      </c>
      <c r="R20" s="73">
        <f t="shared" si="9"/>
        <v>0</v>
      </c>
      <c r="S20" s="73">
        <f t="shared" si="10"/>
        <v>4.7201496694075917</v>
      </c>
      <c r="T20" s="73">
        <f t="shared" si="11"/>
        <v>0</v>
      </c>
      <c r="U20" s="73">
        <f t="shared" si="12"/>
        <v>4.3372088308012611</v>
      </c>
      <c r="V20" s="73">
        <f t="shared" si="13"/>
        <v>0</v>
      </c>
      <c r="W20" s="73">
        <f t="shared" si="14"/>
        <v>3.9769759531866926</v>
      </c>
      <c r="X20" s="73">
        <f t="shared" si="15"/>
        <v>0</v>
      </c>
      <c r="Y20" s="73">
        <f t="shared" si="16"/>
        <v>3.6486333605284713</v>
      </c>
      <c r="Z20" s="73">
        <f t="shared" si="17"/>
        <v>0</v>
      </c>
      <c r="AA20" s="73">
        <f t="shared" si="18"/>
        <v>3.5149547078086503</v>
      </c>
      <c r="AB20" s="73">
        <f t="shared" si="19"/>
        <v>0</v>
      </c>
      <c r="AC20" s="73">
        <f t="shared" si="20"/>
        <v>3.1724717525351691</v>
      </c>
      <c r="AD20" s="107"/>
      <c r="AG20" s="107"/>
      <c r="AL20" s="107"/>
      <c r="AM20" s="107"/>
      <c r="AN20" s="107"/>
      <c r="AO20" s="107"/>
      <c r="AP20" s="107"/>
      <c r="AQ20" s="107"/>
      <c r="AR20" s="107"/>
      <c r="AS20" s="107"/>
      <c r="AT20" s="107"/>
      <c r="AU20" s="107"/>
      <c r="AV20" s="107"/>
      <c r="AW20" s="107"/>
      <c r="AX20" s="107"/>
      <c r="AY20" s="107"/>
      <c r="AZ20" s="107"/>
      <c r="BA20" s="107"/>
      <c r="BB20" s="107"/>
      <c r="BC20" s="107"/>
      <c r="BD20" s="107"/>
      <c r="BE20" s="107"/>
      <c r="BF20" s="107"/>
      <c r="BG20" s="107"/>
      <c r="BH20" s="107"/>
      <c r="BI20" s="107"/>
      <c r="BJ20" s="107"/>
      <c r="BK20" s="107"/>
      <c r="BL20" s="107"/>
      <c r="BM20" s="107"/>
      <c r="BN20" s="107"/>
      <c r="BO20" s="107"/>
      <c r="BP20" s="107"/>
      <c r="BQ20" s="107"/>
      <c r="BR20" s="107"/>
      <c r="BS20" s="107"/>
      <c r="BT20" s="107"/>
      <c r="BU20" s="107"/>
      <c r="BV20" s="107"/>
      <c r="BW20" s="107"/>
      <c r="BX20" s="107"/>
      <c r="BY20" s="107"/>
      <c r="BZ20" s="107"/>
      <c r="CA20" s="107"/>
      <c r="CB20" s="107"/>
      <c r="CC20" s="107"/>
      <c r="CD20" s="107"/>
      <c r="CQ20" s="113"/>
      <c r="CR20" s="114"/>
    </row>
    <row r="21" spans="1:96" ht="27.95" customHeight="1" x14ac:dyDescent="0.3">
      <c r="A21" s="67"/>
      <c r="B21" s="9" t="s">
        <v>15</v>
      </c>
      <c r="C21" s="9" t="s">
        <v>16</v>
      </c>
      <c r="D21" s="9" t="s">
        <v>99</v>
      </c>
      <c r="E21" s="167">
        <v>27.472912610000002</v>
      </c>
      <c r="F21" s="12">
        <f t="shared" si="6"/>
        <v>27.472912610000002</v>
      </c>
      <c r="G21" s="9"/>
      <c r="H21" s="29" t="s">
        <v>148</v>
      </c>
      <c r="I21" s="21">
        <v>39555</v>
      </c>
      <c r="J21" s="30" t="s">
        <v>157</v>
      </c>
      <c r="K21" s="22">
        <v>300</v>
      </c>
      <c r="L21" s="10" t="s">
        <v>155</v>
      </c>
      <c r="M21" s="21">
        <v>48686</v>
      </c>
      <c r="N21" s="10" t="s">
        <v>150</v>
      </c>
      <c r="O21" s="13"/>
      <c r="P21" s="73">
        <f t="shared" si="7"/>
        <v>0</v>
      </c>
      <c r="Q21" s="73">
        <f t="shared" si="8"/>
        <v>4.2381674499999988</v>
      </c>
      <c r="R21" s="73">
        <f t="shared" si="9"/>
        <v>0</v>
      </c>
      <c r="S21" s="73">
        <f t="shared" si="10"/>
        <v>4.4621116299999981</v>
      </c>
      <c r="T21" s="73">
        <f t="shared" si="11"/>
        <v>0</v>
      </c>
      <c r="U21" s="73">
        <f t="shared" si="12"/>
        <v>4.1256565899999975</v>
      </c>
      <c r="V21" s="73">
        <f t="shared" si="13"/>
        <v>0</v>
      </c>
      <c r="W21" s="73">
        <f t="shared" si="14"/>
        <v>3.811855319999998</v>
      </c>
      <c r="X21" s="73">
        <f t="shared" si="15"/>
        <v>0</v>
      </c>
      <c r="Y21" s="73">
        <f t="shared" si="16"/>
        <v>3.5323458599999982</v>
      </c>
      <c r="Z21" s="73">
        <f t="shared" si="17"/>
        <v>0</v>
      </c>
      <c r="AA21" s="73">
        <f t="shared" si="18"/>
        <v>3.3737041599999982</v>
      </c>
      <c r="AB21" s="73">
        <f t="shared" si="19"/>
        <v>0</v>
      </c>
      <c r="AC21" s="73">
        <f t="shared" si="20"/>
        <v>2.7283158268003178</v>
      </c>
      <c r="AD21" s="107"/>
      <c r="AG21" s="107"/>
      <c r="AL21" s="107"/>
      <c r="AM21" s="107"/>
      <c r="AN21" s="107"/>
      <c r="AO21" s="107"/>
      <c r="AP21" s="107"/>
      <c r="AQ21" s="107"/>
      <c r="AR21" s="107"/>
      <c r="AS21" s="107"/>
      <c r="AT21" s="107"/>
      <c r="AU21" s="107"/>
      <c r="AV21" s="107"/>
      <c r="AW21" s="107"/>
      <c r="AX21" s="107"/>
      <c r="AY21" s="107"/>
      <c r="AZ21" s="107"/>
      <c r="BA21" s="107"/>
      <c r="BB21" s="107"/>
      <c r="BC21" s="107"/>
      <c r="BD21" s="107"/>
      <c r="BE21" s="107"/>
      <c r="BF21" s="107"/>
      <c r="BG21" s="107"/>
      <c r="BH21" s="107"/>
      <c r="BI21" s="107"/>
      <c r="BJ21" s="107"/>
      <c r="BK21" s="107"/>
      <c r="BL21" s="107"/>
      <c r="BM21" s="107"/>
      <c r="BN21" s="107"/>
      <c r="BO21" s="107"/>
      <c r="BP21" s="107"/>
      <c r="BQ21" s="107"/>
      <c r="BR21" s="107"/>
      <c r="BS21" s="107"/>
      <c r="BT21" s="107"/>
      <c r="BU21" s="107"/>
      <c r="BV21" s="107"/>
      <c r="BW21" s="107"/>
      <c r="BX21" s="107"/>
      <c r="BY21" s="107"/>
      <c r="BZ21" s="107"/>
      <c r="CA21" s="107"/>
      <c r="CB21" s="107"/>
      <c r="CC21" s="107"/>
      <c r="CD21" s="107"/>
      <c r="CQ21" s="113"/>
      <c r="CR21" s="114"/>
    </row>
    <row r="22" spans="1:96" ht="27.95" customHeight="1" x14ac:dyDescent="0.3">
      <c r="A22" s="67"/>
      <c r="B22" s="9" t="s">
        <v>125</v>
      </c>
      <c r="C22" s="9" t="s">
        <v>126</v>
      </c>
      <c r="D22" s="9" t="s">
        <v>99</v>
      </c>
      <c r="E22" s="167">
        <v>27.315000000000001</v>
      </c>
      <c r="F22" s="12">
        <f t="shared" si="6"/>
        <v>27.315000000000001</v>
      </c>
      <c r="G22" s="9"/>
      <c r="H22" s="29" t="s">
        <v>148</v>
      </c>
      <c r="I22" s="21">
        <v>44313</v>
      </c>
      <c r="J22" s="30" t="s">
        <v>157</v>
      </c>
      <c r="K22" s="22">
        <v>283</v>
      </c>
      <c r="L22" s="10" t="s">
        <v>155</v>
      </c>
      <c r="M22" s="21">
        <v>52916</v>
      </c>
      <c r="N22" s="10" t="s">
        <v>150</v>
      </c>
      <c r="O22" s="13"/>
      <c r="P22" s="73">
        <f t="shared" si="7"/>
        <v>0</v>
      </c>
      <c r="Q22" s="73">
        <f t="shared" si="8"/>
        <v>1.7471796534246571</v>
      </c>
      <c r="R22" s="73">
        <f t="shared" si="9"/>
        <v>0</v>
      </c>
      <c r="S22" s="73">
        <f t="shared" si="10"/>
        <v>2.8824378256849315</v>
      </c>
      <c r="T22" s="73">
        <f t="shared" si="11"/>
        <v>0</v>
      </c>
      <c r="U22" s="73">
        <f t="shared" si="12"/>
        <v>2.622705851712329</v>
      </c>
      <c r="V22" s="73">
        <f t="shared" si="13"/>
        <v>0</v>
      </c>
      <c r="W22" s="73">
        <f t="shared" si="14"/>
        <v>2.3624025078082189</v>
      </c>
      <c r="X22" s="73">
        <f t="shared" si="15"/>
        <v>0</v>
      </c>
      <c r="Y22" s="73">
        <f t="shared" si="16"/>
        <v>2.108759533767123</v>
      </c>
      <c r="Z22" s="73">
        <f t="shared" si="17"/>
        <v>0</v>
      </c>
      <c r="AA22" s="73">
        <f t="shared" si="18"/>
        <v>2.0123596602739724</v>
      </c>
      <c r="AB22" s="73">
        <f t="shared" si="19"/>
        <v>0</v>
      </c>
      <c r="AC22" s="73">
        <f t="shared" si="20"/>
        <v>1.6834122246575336</v>
      </c>
      <c r="AD22" s="107"/>
      <c r="AG22" s="107"/>
      <c r="AL22" s="107"/>
      <c r="AM22" s="107"/>
      <c r="AN22" s="107"/>
      <c r="AO22" s="107"/>
      <c r="AP22" s="107"/>
      <c r="AQ22" s="107"/>
      <c r="AR22" s="107"/>
      <c r="AS22" s="107"/>
      <c r="AT22" s="107"/>
      <c r="AU22" s="107"/>
      <c r="AV22" s="107"/>
      <c r="AW22" s="107"/>
      <c r="AX22" s="107"/>
      <c r="AY22" s="107"/>
      <c r="AZ22" s="107"/>
      <c r="BA22" s="107"/>
      <c r="BB22" s="107"/>
      <c r="BC22" s="107"/>
      <c r="BD22" s="107"/>
      <c r="BE22" s="107"/>
      <c r="BF22" s="107"/>
      <c r="BG22" s="107"/>
      <c r="BH22" s="107"/>
      <c r="BI22" s="107"/>
      <c r="BJ22" s="107"/>
      <c r="BK22" s="107"/>
      <c r="BL22" s="107"/>
      <c r="BM22" s="107"/>
      <c r="BN22" s="107"/>
      <c r="BO22" s="107"/>
      <c r="BP22" s="107"/>
      <c r="BQ22" s="107"/>
      <c r="BR22" s="107"/>
      <c r="BS22" s="107"/>
      <c r="BT22" s="107"/>
      <c r="BU22" s="107"/>
      <c r="BV22" s="107"/>
      <c r="BW22" s="107"/>
      <c r="BX22" s="107"/>
      <c r="BY22" s="107"/>
      <c r="BZ22" s="107"/>
      <c r="CA22" s="107"/>
      <c r="CB22" s="107"/>
      <c r="CC22" s="107"/>
      <c r="CD22" s="107"/>
      <c r="CQ22" s="113"/>
      <c r="CR22" s="114"/>
    </row>
    <row r="23" spans="1:96" ht="27.95" customHeight="1" x14ac:dyDescent="0.3">
      <c r="A23" s="67"/>
      <c r="B23" s="9" t="s">
        <v>23</v>
      </c>
      <c r="C23" s="9" t="s">
        <v>24</v>
      </c>
      <c r="D23" s="9" t="s">
        <v>99</v>
      </c>
      <c r="E23" s="167">
        <v>14.15703927</v>
      </c>
      <c r="F23" s="12">
        <f t="shared" si="6"/>
        <v>14.15703927</v>
      </c>
      <c r="G23" s="9"/>
      <c r="H23" s="29" t="s">
        <v>148</v>
      </c>
      <c r="I23" s="21">
        <v>43084</v>
      </c>
      <c r="J23" s="30" t="s">
        <v>157</v>
      </c>
      <c r="K23" s="22">
        <v>292</v>
      </c>
      <c r="L23" s="10" t="s">
        <v>155</v>
      </c>
      <c r="M23" s="21">
        <v>51971</v>
      </c>
      <c r="N23" s="10" t="s">
        <v>150</v>
      </c>
      <c r="O23" s="13"/>
      <c r="P23" s="73">
        <f t="shared" si="7"/>
        <v>0</v>
      </c>
      <c r="Q23" s="73">
        <f t="shared" si="8"/>
        <v>1.6096935798272405</v>
      </c>
      <c r="R23" s="73">
        <f t="shared" si="9"/>
        <v>0</v>
      </c>
      <c r="S23" s="73">
        <f t="shared" si="10"/>
        <v>1.4985089482882361</v>
      </c>
      <c r="T23" s="73">
        <f t="shared" si="11"/>
        <v>0</v>
      </c>
      <c r="U23" s="73">
        <f t="shared" si="12"/>
        <v>1.3697380389699232</v>
      </c>
      <c r="V23" s="73">
        <f t="shared" si="13"/>
        <v>0</v>
      </c>
      <c r="W23" s="73">
        <f t="shared" si="14"/>
        <v>1.2401745729349856</v>
      </c>
      <c r="X23" s="73">
        <f t="shared" si="15"/>
        <v>0</v>
      </c>
      <c r="Y23" s="73">
        <f t="shared" si="16"/>
        <v>1.1140994354674481</v>
      </c>
      <c r="Z23" s="73">
        <f t="shared" si="17"/>
        <v>0</v>
      </c>
      <c r="AA23" s="73">
        <f t="shared" si="18"/>
        <v>1.0595084732808564</v>
      </c>
      <c r="AB23" s="73">
        <f t="shared" si="19"/>
        <v>0</v>
      </c>
      <c r="AC23" s="73">
        <f t="shared" si="20"/>
        <v>0.89779980092585454</v>
      </c>
      <c r="AD23" s="107"/>
      <c r="AG23" s="107"/>
      <c r="AL23" s="107"/>
      <c r="AM23" s="107"/>
      <c r="AN23" s="107"/>
      <c r="AO23" s="107"/>
      <c r="AP23" s="107"/>
      <c r="AQ23" s="107"/>
      <c r="AR23" s="107"/>
      <c r="AS23" s="107"/>
      <c r="AT23" s="107"/>
      <c r="AU23" s="107"/>
      <c r="AV23" s="107"/>
      <c r="AW23" s="107"/>
      <c r="AX23" s="107"/>
      <c r="AY23" s="107"/>
      <c r="AZ23" s="107"/>
      <c r="BA23" s="107"/>
      <c r="BB23" s="107"/>
      <c r="BC23" s="107"/>
      <c r="BD23" s="107"/>
      <c r="BE23" s="107"/>
      <c r="BF23" s="107"/>
      <c r="BG23" s="107"/>
      <c r="BH23" s="107"/>
      <c r="BI23" s="107"/>
      <c r="BJ23" s="107"/>
      <c r="BK23" s="107"/>
      <c r="BL23" s="107"/>
      <c r="BM23" s="107"/>
      <c r="BN23" s="107"/>
      <c r="BO23" s="107"/>
      <c r="BP23" s="107"/>
      <c r="BQ23" s="107"/>
      <c r="BR23" s="107"/>
      <c r="BS23" s="107"/>
      <c r="BT23" s="107"/>
      <c r="BU23" s="107"/>
      <c r="BV23" s="107"/>
      <c r="BW23" s="107"/>
      <c r="BX23" s="107"/>
      <c r="BY23" s="107"/>
      <c r="BZ23" s="107"/>
      <c r="CA23" s="107"/>
      <c r="CB23" s="107"/>
      <c r="CC23" s="107"/>
      <c r="CD23" s="107"/>
      <c r="CQ23" s="113"/>
      <c r="CR23" s="114"/>
    </row>
    <row r="24" spans="1:96" ht="27.95" customHeight="1" x14ac:dyDescent="0.3">
      <c r="A24" s="67"/>
      <c r="B24" s="9" t="s">
        <v>17</v>
      </c>
      <c r="C24" s="9" t="s">
        <v>18</v>
      </c>
      <c r="D24" s="9" t="s">
        <v>99</v>
      </c>
      <c r="E24" s="167">
        <v>7.3062147800000004</v>
      </c>
      <c r="F24" s="12">
        <f t="shared" si="6"/>
        <v>7.3062147800000004</v>
      </c>
      <c r="G24" s="9"/>
      <c r="H24" s="29" t="s">
        <v>148</v>
      </c>
      <c r="I24" s="21">
        <v>38588</v>
      </c>
      <c r="J24" s="30" t="s">
        <v>157</v>
      </c>
      <c r="K24" s="22">
        <v>240</v>
      </c>
      <c r="L24" s="10" t="s">
        <v>155</v>
      </c>
      <c r="M24" s="21">
        <v>45893</v>
      </c>
      <c r="N24" s="10" t="s">
        <v>150</v>
      </c>
      <c r="O24" s="13"/>
      <c r="P24" s="73">
        <f t="shared" si="7"/>
        <v>0</v>
      </c>
      <c r="Q24" s="73">
        <f t="shared" si="8"/>
        <v>5.4400617282182804</v>
      </c>
      <c r="R24" s="73">
        <f t="shared" si="9"/>
        <v>0</v>
      </c>
      <c r="S24" s="73">
        <f t="shared" si="10"/>
        <v>5.0835381346672408</v>
      </c>
      <c r="T24" s="73">
        <f t="shared" si="11"/>
        <v>0</v>
      </c>
      <c r="U24" s="73">
        <f t="shared" si="12"/>
        <v>0</v>
      </c>
      <c r="V24" s="73">
        <f t="shared" si="13"/>
        <v>0</v>
      </c>
      <c r="W24" s="73">
        <f t="shared" si="14"/>
        <v>0</v>
      </c>
      <c r="X24" s="73">
        <f t="shared" si="15"/>
        <v>0</v>
      </c>
      <c r="Y24" s="73">
        <f t="shared" si="16"/>
        <v>0</v>
      </c>
      <c r="Z24" s="73">
        <f t="shared" si="17"/>
        <v>0</v>
      </c>
      <c r="AA24" s="73">
        <f t="shared" si="18"/>
        <v>0</v>
      </c>
      <c r="AB24" s="73">
        <f t="shared" si="19"/>
        <v>0</v>
      </c>
      <c r="AC24" s="73">
        <f t="shared" si="20"/>
        <v>0</v>
      </c>
      <c r="AD24" s="107"/>
      <c r="AG24" s="107"/>
      <c r="AL24" s="107"/>
      <c r="AM24" s="107"/>
      <c r="AN24" s="107"/>
      <c r="AO24" s="107"/>
      <c r="AP24" s="107"/>
      <c r="AQ24" s="107"/>
      <c r="AR24" s="107"/>
      <c r="AS24" s="107"/>
      <c r="AT24" s="107"/>
      <c r="AU24" s="107"/>
      <c r="AV24" s="107"/>
      <c r="AW24" s="107"/>
      <c r="AX24" s="107"/>
      <c r="AY24" s="107"/>
      <c r="AZ24" s="107"/>
      <c r="BA24" s="107"/>
      <c r="BB24" s="107"/>
      <c r="BC24" s="107"/>
      <c r="BD24" s="107"/>
      <c r="BE24" s="107"/>
      <c r="BF24" s="107"/>
      <c r="BG24" s="107"/>
      <c r="BH24" s="107"/>
      <c r="BI24" s="107"/>
      <c r="BJ24" s="107"/>
      <c r="BK24" s="107"/>
      <c r="BL24" s="107"/>
      <c r="BM24" s="107"/>
      <c r="BN24" s="107"/>
      <c r="BO24" s="107"/>
      <c r="BP24" s="107"/>
      <c r="BQ24" s="107"/>
      <c r="BR24" s="107"/>
      <c r="BS24" s="107"/>
      <c r="BT24" s="107"/>
      <c r="BU24" s="107"/>
      <c r="BV24" s="107"/>
      <c r="BW24" s="107"/>
      <c r="BX24" s="107"/>
      <c r="BY24" s="107"/>
      <c r="BZ24" s="107"/>
      <c r="CA24" s="107"/>
      <c r="CB24" s="107"/>
      <c r="CC24" s="107"/>
      <c r="CD24" s="107"/>
      <c r="CQ24" s="113"/>
      <c r="CR24" s="114"/>
    </row>
    <row r="25" spans="1:96" ht="27.95" customHeight="1" x14ac:dyDescent="0.3">
      <c r="A25" s="67"/>
      <c r="B25" s="9" t="s">
        <v>145</v>
      </c>
      <c r="C25" s="9" t="s">
        <v>217</v>
      </c>
      <c r="D25" s="9" t="s">
        <v>99</v>
      </c>
      <c r="E25" s="167">
        <v>4.8834592199999998</v>
      </c>
      <c r="F25" s="12">
        <f t="shared" si="6"/>
        <v>4.8834592199999998</v>
      </c>
      <c r="G25" s="9"/>
      <c r="H25" s="29" t="s">
        <v>148</v>
      </c>
      <c r="I25" s="21">
        <v>44774</v>
      </c>
      <c r="J25" s="30" t="s">
        <v>158</v>
      </c>
      <c r="K25" s="22">
        <v>173</v>
      </c>
      <c r="L25" s="10" t="s">
        <v>155</v>
      </c>
      <c r="M25" s="21">
        <v>50055</v>
      </c>
      <c r="N25" s="10" t="s">
        <v>150</v>
      </c>
      <c r="O25" s="13"/>
      <c r="P25" s="73">
        <f t="shared" si="7"/>
        <v>0</v>
      </c>
      <c r="Q25" s="73">
        <f t="shared" si="8"/>
        <v>0.3180123099604949</v>
      </c>
      <c r="R25" s="73">
        <f t="shared" si="9"/>
        <v>0</v>
      </c>
      <c r="S25" s="73">
        <f t="shared" si="10"/>
        <v>0.51830124984278614</v>
      </c>
      <c r="T25" s="73">
        <f t="shared" si="11"/>
        <v>0</v>
      </c>
      <c r="U25" s="73">
        <f t="shared" si="12"/>
        <v>0.67136350867241057</v>
      </c>
      <c r="V25" s="73">
        <f t="shared" si="13"/>
        <v>0</v>
      </c>
      <c r="W25" s="73">
        <f t="shared" si="14"/>
        <v>0.61694607308008109</v>
      </c>
      <c r="X25" s="73">
        <f t="shared" si="15"/>
        <v>0</v>
      </c>
      <c r="Y25" s="73">
        <f t="shared" si="16"/>
        <v>0.59051273283095829</v>
      </c>
      <c r="Z25" s="73">
        <f t="shared" si="17"/>
        <v>0</v>
      </c>
      <c r="AA25" s="73">
        <f t="shared" si="18"/>
        <v>0.57023789043109008</v>
      </c>
      <c r="AB25" s="73">
        <f t="shared" si="19"/>
        <v>0</v>
      </c>
      <c r="AC25" s="73">
        <f t="shared" si="20"/>
        <v>0.45580261204329586</v>
      </c>
      <c r="AD25" s="107"/>
      <c r="AG25" s="107"/>
      <c r="AL25" s="107"/>
      <c r="AM25" s="107"/>
      <c r="AN25" s="107"/>
      <c r="AO25" s="107"/>
      <c r="AP25" s="107"/>
      <c r="AQ25" s="107"/>
      <c r="AR25" s="107"/>
      <c r="AS25" s="107"/>
      <c r="AT25" s="107"/>
      <c r="AU25" s="107"/>
      <c r="AV25" s="107"/>
      <c r="AW25" s="107"/>
      <c r="AX25" s="107"/>
      <c r="AY25" s="107"/>
      <c r="AZ25" s="107"/>
      <c r="BA25" s="107"/>
      <c r="BB25" s="107"/>
      <c r="BC25" s="107"/>
      <c r="BD25" s="107"/>
      <c r="BE25" s="107"/>
      <c r="BF25" s="107"/>
      <c r="BG25" s="107"/>
      <c r="BH25" s="107"/>
      <c r="BI25" s="107"/>
      <c r="BJ25" s="107"/>
      <c r="BK25" s="107"/>
      <c r="BL25" s="107"/>
      <c r="BM25" s="107"/>
      <c r="BN25" s="107"/>
      <c r="BO25" s="107"/>
      <c r="BP25" s="107"/>
      <c r="BQ25" s="107"/>
      <c r="BR25" s="107"/>
      <c r="BS25" s="107"/>
      <c r="BT25" s="107"/>
      <c r="BU25" s="107"/>
      <c r="BV25" s="107"/>
      <c r="BW25" s="107"/>
      <c r="BX25" s="107"/>
      <c r="BY25" s="107"/>
      <c r="BZ25" s="107"/>
      <c r="CA25" s="107"/>
      <c r="CB25" s="107"/>
      <c r="CC25" s="107"/>
      <c r="CD25" s="107"/>
      <c r="CQ25" s="113"/>
      <c r="CR25" s="114"/>
    </row>
    <row r="26" spans="1:96" ht="27.95" customHeight="1" x14ac:dyDescent="0.3">
      <c r="A26" s="67"/>
      <c r="B26" s="9" t="s">
        <v>21</v>
      </c>
      <c r="C26" s="9" t="s">
        <v>22</v>
      </c>
      <c r="D26" s="9" t="s">
        <v>99</v>
      </c>
      <c r="E26" s="167">
        <v>3.5443537100000002</v>
      </c>
      <c r="F26" s="12">
        <f t="shared" si="6"/>
        <v>3.5443537100000002</v>
      </c>
      <c r="G26" s="9"/>
      <c r="H26" s="29" t="s">
        <v>148</v>
      </c>
      <c r="I26" s="21">
        <v>40852</v>
      </c>
      <c r="J26" s="30" t="s">
        <v>157</v>
      </c>
      <c r="K26" s="22">
        <v>252</v>
      </c>
      <c r="L26" s="10" t="s">
        <v>155</v>
      </c>
      <c r="M26" s="21">
        <v>48523</v>
      </c>
      <c r="N26" s="10" t="s">
        <v>150</v>
      </c>
      <c r="O26" s="13"/>
      <c r="P26" s="73">
        <f t="shared" si="7"/>
        <v>0</v>
      </c>
      <c r="Q26" s="73">
        <f t="shared" si="8"/>
        <v>0.64649232900454812</v>
      </c>
      <c r="R26" s="73">
        <f t="shared" si="9"/>
        <v>0</v>
      </c>
      <c r="S26" s="73">
        <f t="shared" si="10"/>
        <v>0.59370001664420158</v>
      </c>
      <c r="T26" s="73">
        <f t="shared" si="11"/>
        <v>0</v>
      </c>
      <c r="U26" s="73">
        <f t="shared" si="12"/>
        <v>0.54909062976588152</v>
      </c>
      <c r="V26" s="73">
        <f t="shared" si="13"/>
        <v>0</v>
      </c>
      <c r="W26" s="73">
        <f t="shared" si="14"/>
        <v>0.50807107438054677</v>
      </c>
      <c r="X26" s="73">
        <f t="shared" si="15"/>
        <v>0</v>
      </c>
      <c r="Y26" s="73">
        <f t="shared" si="16"/>
        <v>0.47202332475079167</v>
      </c>
      <c r="Z26" s="73">
        <f t="shared" si="17"/>
        <v>0</v>
      </c>
      <c r="AA26" s="73">
        <f t="shared" si="18"/>
        <v>0.45164755276013019</v>
      </c>
      <c r="AB26" s="73">
        <f t="shared" si="19"/>
        <v>0</v>
      </c>
      <c r="AC26" s="73">
        <f t="shared" si="20"/>
        <v>0.42074643489707919</v>
      </c>
      <c r="AD26" s="107"/>
      <c r="AG26" s="107"/>
      <c r="AL26" s="107"/>
      <c r="AM26" s="107"/>
      <c r="AN26" s="107"/>
      <c r="AO26" s="107"/>
      <c r="AP26" s="107"/>
      <c r="AQ26" s="107"/>
      <c r="AR26" s="107"/>
      <c r="AS26" s="107"/>
      <c r="AT26" s="107"/>
      <c r="AU26" s="107"/>
      <c r="AV26" s="107"/>
      <c r="AW26" s="107"/>
      <c r="AX26" s="107"/>
      <c r="AY26" s="107"/>
      <c r="AZ26" s="107"/>
      <c r="BA26" s="107"/>
      <c r="BB26" s="107"/>
      <c r="BC26" s="107"/>
      <c r="BD26" s="107"/>
      <c r="BE26" s="107"/>
      <c r="BF26" s="107"/>
      <c r="BG26" s="107"/>
      <c r="BH26" s="107"/>
      <c r="BI26" s="107"/>
      <c r="BJ26" s="107"/>
      <c r="BK26" s="107"/>
      <c r="BL26" s="107"/>
      <c r="BM26" s="107"/>
      <c r="BN26" s="107"/>
      <c r="BO26" s="107"/>
      <c r="BP26" s="107"/>
      <c r="BQ26" s="107"/>
      <c r="BR26" s="107"/>
      <c r="BS26" s="107"/>
      <c r="BT26" s="107"/>
      <c r="BU26" s="107"/>
      <c r="BV26" s="107"/>
      <c r="BW26" s="107"/>
      <c r="BX26" s="107"/>
      <c r="BY26" s="107"/>
      <c r="BZ26" s="107"/>
      <c r="CA26" s="107"/>
      <c r="CB26" s="107"/>
      <c r="CC26" s="107"/>
      <c r="CD26" s="107"/>
      <c r="CQ26" s="113"/>
      <c r="CR26" s="114"/>
    </row>
    <row r="27" spans="1:96" ht="27.95" customHeight="1" x14ac:dyDescent="0.3">
      <c r="A27" s="67"/>
      <c r="B27" s="9" t="s">
        <v>27</v>
      </c>
      <c r="C27" s="9" t="s">
        <v>28</v>
      </c>
      <c r="D27" s="9" t="s">
        <v>99</v>
      </c>
      <c r="E27" s="167">
        <v>0.39424765000000001</v>
      </c>
      <c r="F27" s="12">
        <f t="shared" si="6"/>
        <v>0.39424765000000001</v>
      </c>
      <c r="G27" s="9"/>
      <c r="H27" s="29" t="s">
        <v>148</v>
      </c>
      <c r="I27" s="21">
        <v>40360</v>
      </c>
      <c r="J27" s="30" t="s">
        <v>157</v>
      </c>
      <c r="K27" s="22">
        <v>290</v>
      </c>
      <c r="L27" s="10" t="s">
        <v>154</v>
      </c>
      <c r="M27" s="21">
        <v>49188</v>
      </c>
      <c r="N27" s="10" t="s">
        <v>150</v>
      </c>
      <c r="O27" s="13"/>
      <c r="P27" s="73">
        <f t="shared" si="7"/>
        <v>0</v>
      </c>
      <c r="Q27" s="73">
        <f t="shared" si="8"/>
        <v>0</v>
      </c>
      <c r="R27" s="73">
        <f t="shared" si="9"/>
        <v>0</v>
      </c>
      <c r="S27" s="73">
        <f t="shared" si="10"/>
        <v>0</v>
      </c>
      <c r="T27" s="73">
        <f t="shared" si="11"/>
        <v>0</v>
      </c>
      <c r="U27" s="73">
        <f t="shared" si="12"/>
        <v>0</v>
      </c>
      <c r="V27" s="73">
        <f t="shared" si="13"/>
        <v>0</v>
      </c>
      <c r="W27" s="73">
        <f t="shared" si="14"/>
        <v>0</v>
      </c>
      <c r="X27" s="73">
        <f t="shared" si="15"/>
        <v>0</v>
      </c>
      <c r="Y27" s="73">
        <f t="shared" si="16"/>
        <v>0</v>
      </c>
      <c r="Z27" s="73">
        <f t="shared" si="17"/>
        <v>0</v>
      </c>
      <c r="AA27" s="73">
        <f t="shared" si="18"/>
        <v>0</v>
      </c>
      <c r="AB27" s="73">
        <f t="shared" si="19"/>
        <v>0</v>
      </c>
      <c r="AC27" s="73">
        <f t="shared" si="20"/>
        <v>0</v>
      </c>
      <c r="AD27" s="107"/>
      <c r="AG27" s="107"/>
      <c r="AL27" s="107"/>
      <c r="AM27" s="107"/>
      <c r="AN27" s="107"/>
      <c r="AO27" s="107"/>
      <c r="AP27" s="107"/>
      <c r="AQ27" s="107"/>
      <c r="AR27" s="107"/>
      <c r="AS27" s="107"/>
      <c r="AT27" s="107"/>
      <c r="AU27" s="107"/>
      <c r="AV27" s="107"/>
      <c r="AW27" s="107"/>
      <c r="AX27" s="107"/>
      <c r="AY27" s="107"/>
      <c r="AZ27" s="107"/>
      <c r="BA27" s="107"/>
      <c r="BB27" s="107"/>
      <c r="BC27" s="107"/>
      <c r="BD27" s="107"/>
      <c r="BE27" s="107"/>
      <c r="BF27" s="107"/>
      <c r="BG27" s="107"/>
      <c r="BH27" s="107"/>
      <c r="BI27" s="107"/>
      <c r="BJ27" s="107"/>
      <c r="BK27" s="107"/>
      <c r="BL27" s="107"/>
      <c r="BM27" s="107"/>
      <c r="BN27" s="107"/>
      <c r="BO27" s="107"/>
      <c r="BP27" s="107"/>
      <c r="BQ27" s="107"/>
      <c r="BR27" s="107"/>
      <c r="BS27" s="107"/>
      <c r="BT27" s="107"/>
      <c r="BU27" s="107"/>
      <c r="BV27" s="107"/>
      <c r="BW27" s="107"/>
      <c r="BX27" s="107"/>
      <c r="BY27" s="107"/>
      <c r="BZ27" s="107"/>
      <c r="CA27" s="107"/>
      <c r="CB27" s="107"/>
      <c r="CC27" s="107"/>
      <c r="CD27" s="107"/>
      <c r="CQ27" s="113"/>
      <c r="CR27" s="114"/>
    </row>
    <row r="28" spans="1:96" ht="27.95" customHeight="1" x14ac:dyDescent="0.3">
      <c r="A28" s="67"/>
      <c r="B28" s="9" t="s">
        <v>25</v>
      </c>
      <c r="C28" s="9" t="s">
        <v>26</v>
      </c>
      <c r="D28" s="9" t="s">
        <v>99</v>
      </c>
      <c r="E28" s="167">
        <v>0.24051971</v>
      </c>
      <c r="F28" s="12">
        <f t="shared" si="6"/>
        <v>0.24051971</v>
      </c>
      <c r="G28" s="9"/>
      <c r="H28" s="29" t="s">
        <v>148</v>
      </c>
      <c r="I28" s="21">
        <v>38643</v>
      </c>
      <c r="J28" s="30" t="s">
        <v>157</v>
      </c>
      <c r="K28" s="22">
        <v>228</v>
      </c>
      <c r="L28" s="10" t="s">
        <v>155</v>
      </c>
      <c r="M28" s="21">
        <v>45583</v>
      </c>
      <c r="N28" s="10" t="s">
        <v>150</v>
      </c>
      <c r="O28" s="13"/>
      <c r="P28" s="73">
        <f t="shared" si="7"/>
        <v>0</v>
      </c>
      <c r="Q28" s="73">
        <f t="shared" si="8"/>
        <v>0.25030606469357891</v>
      </c>
      <c r="R28" s="73">
        <f t="shared" si="9"/>
        <v>0</v>
      </c>
      <c r="S28" s="73">
        <f t="shared" si="10"/>
        <v>0</v>
      </c>
      <c r="T28" s="73">
        <f t="shared" si="11"/>
        <v>0</v>
      </c>
      <c r="U28" s="73">
        <f t="shared" si="12"/>
        <v>0</v>
      </c>
      <c r="V28" s="73">
        <f t="shared" si="13"/>
        <v>0</v>
      </c>
      <c r="W28" s="73">
        <f t="shared" si="14"/>
        <v>0</v>
      </c>
      <c r="X28" s="73">
        <f t="shared" si="15"/>
        <v>0</v>
      </c>
      <c r="Y28" s="73">
        <f t="shared" si="16"/>
        <v>0</v>
      </c>
      <c r="Z28" s="73">
        <f t="shared" si="17"/>
        <v>0</v>
      </c>
      <c r="AA28" s="73">
        <f t="shared" si="18"/>
        <v>0</v>
      </c>
      <c r="AB28" s="73">
        <f t="shared" si="19"/>
        <v>0</v>
      </c>
      <c r="AC28" s="73">
        <f t="shared" si="20"/>
        <v>0</v>
      </c>
      <c r="AD28" s="107"/>
      <c r="AG28" s="107"/>
      <c r="AL28" s="107"/>
      <c r="AM28" s="107"/>
      <c r="AN28" s="107"/>
      <c r="AO28" s="107"/>
      <c r="AP28" s="107"/>
      <c r="AQ28" s="107"/>
      <c r="AR28" s="107"/>
      <c r="AS28" s="107"/>
      <c r="AT28" s="107"/>
      <c r="AU28" s="107"/>
      <c r="AV28" s="107"/>
      <c r="AW28" s="107"/>
      <c r="AX28" s="107"/>
      <c r="AY28" s="107"/>
      <c r="AZ28" s="107"/>
      <c r="BA28" s="107"/>
      <c r="BB28" s="107"/>
      <c r="BC28" s="107"/>
      <c r="BD28" s="107"/>
      <c r="BE28" s="107"/>
      <c r="BF28" s="107"/>
      <c r="BG28" s="107"/>
      <c r="BH28" s="107"/>
      <c r="BI28" s="107"/>
      <c r="BJ28" s="107"/>
      <c r="BK28" s="107"/>
      <c r="BL28" s="107"/>
      <c r="BM28" s="107"/>
      <c r="BN28" s="107"/>
      <c r="BO28" s="107"/>
      <c r="BP28" s="107"/>
      <c r="BQ28" s="107"/>
      <c r="BR28" s="107"/>
      <c r="BS28" s="107"/>
      <c r="BT28" s="107"/>
      <c r="BU28" s="107"/>
      <c r="BV28" s="107"/>
      <c r="BW28" s="107"/>
      <c r="BX28" s="107"/>
      <c r="BY28" s="107"/>
      <c r="BZ28" s="107"/>
      <c r="CA28" s="107"/>
      <c r="CB28" s="107"/>
      <c r="CC28" s="107"/>
      <c r="CD28" s="107"/>
      <c r="CQ28" s="113"/>
      <c r="CR28" s="114"/>
    </row>
    <row r="29" spans="1:96" ht="27.95" customHeight="1" x14ac:dyDescent="0.3">
      <c r="A29" s="67"/>
      <c r="B29" s="9" t="s">
        <v>29</v>
      </c>
      <c r="C29" s="9" t="s">
        <v>30</v>
      </c>
      <c r="D29" s="9" t="s">
        <v>99</v>
      </c>
      <c r="E29" s="167">
        <v>6.5215330000000002E-2</v>
      </c>
      <c r="F29" s="12">
        <f t="shared" si="6"/>
        <v>6.5215330000000002E-2</v>
      </c>
      <c r="G29" s="9"/>
      <c r="H29" s="29" t="s">
        <v>148</v>
      </c>
      <c r="I29" s="21">
        <v>40360</v>
      </c>
      <c r="J29" s="30" t="s">
        <v>157</v>
      </c>
      <c r="K29" s="22">
        <v>158</v>
      </c>
      <c r="L29" s="10" t="s">
        <v>154</v>
      </c>
      <c r="M29" s="21">
        <v>45170</v>
      </c>
      <c r="N29" s="10" t="s">
        <v>150</v>
      </c>
      <c r="O29" s="13"/>
      <c r="P29" s="73">
        <f t="shared" si="7"/>
        <v>0</v>
      </c>
      <c r="Q29" s="73">
        <f t="shared" si="8"/>
        <v>6.5215331802345622E-2</v>
      </c>
      <c r="R29" s="73">
        <f t="shared" si="9"/>
        <v>0</v>
      </c>
      <c r="S29" s="73">
        <f t="shared" si="10"/>
        <v>0</v>
      </c>
      <c r="T29" s="73">
        <f t="shared" si="11"/>
        <v>0</v>
      </c>
      <c r="U29" s="73">
        <f t="shared" si="12"/>
        <v>0</v>
      </c>
      <c r="V29" s="73">
        <f t="shared" si="13"/>
        <v>0</v>
      </c>
      <c r="W29" s="73">
        <f t="shared" si="14"/>
        <v>0</v>
      </c>
      <c r="X29" s="73">
        <f t="shared" si="15"/>
        <v>0</v>
      </c>
      <c r="Y29" s="73">
        <f t="shared" si="16"/>
        <v>0</v>
      </c>
      <c r="Z29" s="73">
        <f t="shared" si="17"/>
        <v>0</v>
      </c>
      <c r="AA29" s="73">
        <f t="shared" si="18"/>
        <v>0</v>
      </c>
      <c r="AB29" s="73">
        <f t="shared" si="19"/>
        <v>0</v>
      </c>
      <c r="AC29" s="73">
        <f t="shared" si="20"/>
        <v>0</v>
      </c>
      <c r="AD29" s="107"/>
      <c r="AG29" s="107"/>
      <c r="AL29" s="107"/>
      <c r="AM29" s="107"/>
      <c r="AN29" s="107"/>
      <c r="AO29" s="107"/>
      <c r="AP29" s="107"/>
      <c r="AQ29" s="107"/>
      <c r="AR29" s="107"/>
      <c r="AS29" s="107"/>
      <c r="AT29" s="107"/>
      <c r="AU29" s="107"/>
      <c r="AV29" s="107"/>
      <c r="AW29" s="107"/>
      <c r="AX29" s="107"/>
      <c r="AY29" s="107"/>
      <c r="AZ29" s="107"/>
      <c r="BA29" s="107"/>
      <c r="BB29" s="107"/>
      <c r="BC29" s="107"/>
      <c r="BD29" s="107"/>
      <c r="BE29" s="107"/>
      <c r="BF29" s="107"/>
      <c r="BG29" s="107"/>
      <c r="BH29" s="107"/>
      <c r="BI29" s="107"/>
      <c r="BJ29" s="107"/>
      <c r="BK29" s="107"/>
      <c r="BL29" s="107"/>
      <c r="BM29" s="107"/>
      <c r="BN29" s="107"/>
      <c r="BO29" s="107"/>
      <c r="BP29" s="107"/>
      <c r="BQ29" s="107"/>
      <c r="BR29" s="107"/>
      <c r="BS29" s="107"/>
      <c r="BT29" s="107"/>
      <c r="BU29" s="107"/>
      <c r="BV29" s="107"/>
      <c r="BW29" s="107"/>
      <c r="BX29" s="107"/>
      <c r="BY29" s="107"/>
      <c r="BZ29" s="107"/>
      <c r="CA29" s="107"/>
      <c r="CB29" s="107"/>
      <c r="CC29" s="107"/>
      <c r="CD29" s="107"/>
      <c r="CQ29" s="113"/>
      <c r="CR29" s="114"/>
    </row>
    <row r="30" spans="1:96" ht="27.95" customHeight="1" x14ac:dyDescent="0.3">
      <c r="A30" s="67"/>
      <c r="B30" s="190" t="s">
        <v>31</v>
      </c>
      <c r="C30" s="190"/>
      <c r="D30" s="190"/>
      <c r="E30" s="190"/>
      <c r="F30" s="191">
        <f>+SUM(F31:F33)</f>
        <v>32.332573779999997</v>
      </c>
      <c r="G30" s="190"/>
      <c r="H30" s="192"/>
      <c r="I30" s="190"/>
      <c r="J30" s="193"/>
      <c r="K30" s="190"/>
      <c r="L30" s="190"/>
      <c r="M30" s="190"/>
      <c r="N30" s="190"/>
      <c r="O30" s="25"/>
      <c r="P30" s="200">
        <f t="shared" ref="P30:AB30" si="21">+SUM(P31:P33)</f>
        <v>0</v>
      </c>
      <c r="Q30" s="200">
        <f t="shared" si="21"/>
        <v>3.6413441073475745</v>
      </c>
      <c r="R30" s="200">
        <f t="shared" si="21"/>
        <v>0</v>
      </c>
      <c r="S30" s="200">
        <f t="shared" si="21"/>
        <v>4.1443544169803594</v>
      </c>
      <c r="T30" s="200">
        <f t="shared" si="21"/>
        <v>0</v>
      </c>
      <c r="U30" s="200">
        <f t="shared" si="21"/>
        <v>3.8934613896754411</v>
      </c>
      <c r="V30" s="200">
        <f t="shared" si="21"/>
        <v>0</v>
      </c>
      <c r="W30" s="200">
        <f t="shared" si="21"/>
        <v>3.5795103282568785</v>
      </c>
      <c r="X30" s="200">
        <f t="shared" si="21"/>
        <v>0</v>
      </c>
      <c r="Y30" s="200">
        <f t="shared" si="21"/>
        <v>3.4383515790921528</v>
      </c>
      <c r="Z30" s="200">
        <f t="shared" si="21"/>
        <v>0</v>
      </c>
      <c r="AA30" s="200">
        <f t="shared" si="21"/>
        <v>3.324590601691078</v>
      </c>
      <c r="AB30" s="200">
        <f t="shared" si="21"/>
        <v>0</v>
      </c>
      <c r="AC30" s="200">
        <f>+SUM(AC31:AC33)</f>
        <v>2.7668028018432369</v>
      </c>
      <c r="AD30" s="108"/>
      <c r="AG30" s="108"/>
      <c r="AL30" s="108"/>
      <c r="AM30" s="108"/>
      <c r="AN30" s="108"/>
      <c r="AO30" s="108"/>
      <c r="AP30" s="108"/>
      <c r="AQ30" s="108"/>
      <c r="AR30" s="108"/>
      <c r="AS30" s="108"/>
      <c r="AT30" s="108"/>
      <c r="AU30" s="108"/>
      <c r="AV30" s="108"/>
      <c r="AW30" s="108"/>
      <c r="AX30" s="108"/>
      <c r="AY30" s="108"/>
      <c r="AZ30" s="108"/>
      <c r="BA30" s="108"/>
      <c r="BB30" s="108"/>
      <c r="BC30" s="108"/>
      <c r="BD30" s="108"/>
      <c r="BE30" s="108"/>
      <c r="BF30" s="108"/>
      <c r="BG30" s="108"/>
      <c r="BH30" s="108"/>
      <c r="BI30" s="108"/>
      <c r="BJ30" s="108"/>
      <c r="BK30" s="108"/>
      <c r="BL30" s="108"/>
      <c r="BM30" s="108"/>
      <c r="BN30" s="108"/>
      <c r="BO30" s="108"/>
      <c r="BP30" s="108"/>
      <c r="BQ30" s="108"/>
      <c r="BR30" s="108"/>
      <c r="BS30" s="108"/>
      <c r="BT30" s="108"/>
      <c r="BU30" s="108"/>
      <c r="BV30" s="108"/>
      <c r="BW30" s="108"/>
      <c r="BX30" s="108"/>
      <c r="BY30" s="108"/>
      <c r="BZ30" s="108"/>
      <c r="CA30" s="108"/>
      <c r="CB30" s="108"/>
      <c r="CC30" s="108"/>
      <c r="CD30" s="108"/>
      <c r="CQ30" s="113"/>
      <c r="CR30" s="114"/>
    </row>
    <row r="31" spans="1:96" ht="27.95" customHeight="1" x14ac:dyDescent="0.3">
      <c r="A31" s="67"/>
      <c r="B31" s="9" t="s">
        <v>32</v>
      </c>
      <c r="C31" s="9" t="s">
        <v>33</v>
      </c>
      <c r="D31" s="9" t="s">
        <v>99</v>
      </c>
      <c r="E31" s="167">
        <v>25.876086690000001</v>
      </c>
      <c r="F31" s="12">
        <f>+IF($D31="USD",$E31,$E31/$C$52)</f>
        <v>25.876086690000001</v>
      </c>
      <c r="G31" s="9"/>
      <c r="H31" s="29" t="s">
        <v>148</v>
      </c>
      <c r="I31" s="21">
        <v>39706</v>
      </c>
      <c r="J31" s="30" t="s">
        <v>157</v>
      </c>
      <c r="K31" s="22">
        <v>360</v>
      </c>
      <c r="L31" s="10" t="s">
        <v>155</v>
      </c>
      <c r="M31" s="21">
        <v>50663</v>
      </c>
      <c r="N31" s="10" t="s">
        <v>150</v>
      </c>
      <c r="O31" s="13"/>
      <c r="P31" s="73">
        <f t="shared" ref="P31:AC33" si="22">+F84+F129</f>
        <v>0</v>
      </c>
      <c r="Q31" s="73">
        <f t="shared" si="22"/>
        <v>3.2200220172102449</v>
      </c>
      <c r="R31" s="73">
        <f t="shared" si="22"/>
        <v>0</v>
      </c>
      <c r="S31" s="73">
        <f t="shared" si="22"/>
        <v>3.3516802831112109</v>
      </c>
      <c r="T31" s="73">
        <f t="shared" si="22"/>
        <v>0</v>
      </c>
      <c r="U31" s="73">
        <f t="shared" si="22"/>
        <v>3.0873677765083238</v>
      </c>
      <c r="V31" s="73">
        <f t="shared" si="22"/>
        <v>0</v>
      </c>
      <c r="W31" s="73">
        <f t="shared" si="22"/>
        <v>2.8417861444783612</v>
      </c>
      <c r="X31" s="73">
        <f t="shared" si="22"/>
        <v>0</v>
      </c>
      <c r="Y31" s="73">
        <f t="shared" si="22"/>
        <v>2.7351450294122457</v>
      </c>
      <c r="Z31" s="73">
        <f t="shared" si="22"/>
        <v>0</v>
      </c>
      <c r="AA31" s="73">
        <f t="shared" si="22"/>
        <v>2.6442907246881178</v>
      </c>
      <c r="AB31" s="73">
        <f t="shared" si="22"/>
        <v>0</v>
      </c>
      <c r="AC31" s="73">
        <f t="shared" si="22"/>
        <v>2.2035775414592282</v>
      </c>
      <c r="AD31" s="107"/>
      <c r="AG31" s="107"/>
      <c r="AL31" s="107"/>
      <c r="AM31" s="107"/>
      <c r="AN31" s="107"/>
      <c r="AO31" s="107"/>
      <c r="AP31" s="107"/>
      <c r="AQ31" s="107"/>
      <c r="AR31" s="107"/>
      <c r="AS31" s="107"/>
      <c r="AT31" s="107"/>
      <c r="AU31" s="107"/>
      <c r="AV31" s="107"/>
      <c r="AW31" s="107"/>
      <c r="AX31" s="107"/>
      <c r="AY31" s="107"/>
      <c r="AZ31" s="107"/>
      <c r="BA31" s="107"/>
      <c r="BB31" s="107"/>
      <c r="BC31" s="107"/>
      <c r="BD31" s="107"/>
      <c r="BE31" s="107"/>
      <c r="BF31" s="107"/>
      <c r="BG31" s="107"/>
      <c r="BH31" s="107"/>
      <c r="BI31" s="107"/>
      <c r="BJ31" s="107"/>
      <c r="BK31" s="107"/>
      <c r="BL31" s="107"/>
      <c r="BM31" s="107"/>
      <c r="BN31" s="107"/>
      <c r="BO31" s="107"/>
      <c r="BP31" s="107"/>
      <c r="BQ31" s="107"/>
      <c r="BR31" s="107"/>
      <c r="BS31" s="107"/>
      <c r="BT31" s="107"/>
      <c r="BU31" s="107"/>
      <c r="BV31" s="107"/>
      <c r="BW31" s="107"/>
      <c r="BX31" s="107"/>
      <c r="BY31" s="107"/>
      <c r="BZ31" s="107"/>
      <c r="CA31" s="107"/>
      <c r="CB31" s="107"/>
      <c r="CC31" s="107"/>
      <c r="CD31" s="107"/>
      <c r="CQ31" s="113"/>
      <c r="CR31" s="114"/>
    </row>
    <row r="32" spans="1:96" ht="27.95" customHeight="1" x14ac:dyDescent="0.3">
      <c r="A32" s="67"/>
      <c r="B32" s="9" t="s">
        <v>249</v>
      </c>
      <c r="C32" s="9" t="s">
        <v>172</v>
      </c>
      <c r="D32" s="9" t="s">
        <v>99</v>
      </c>
      <c r="E32" s="167">
        <v>4.5530083899999996</v>
      </c>
      <c r="F32" s="12">
        <f>+IF($D32="USD",$E32,$E32/$C$52)</f>
        <v>4.5530083899999996</v>
      </c>
      <c r="G32" s="9"/>
      <c r="H32" s="29" t="s">
        <v>148</v>
      </c>
      <c r="I32" s="21">
        <v>43918</v>
      </c>
      <c r="J32" s="30" t="s">
        <v>158</v>
      </c>
      <c r="K32" s="22">
        <v>180</v>
      </c>
      <c r="L32" s="10" t="s">
        <v>155</v>
      </c>
      <c r="M32" s="21">
        <v>49396</v>
      </c>
      <c r="N32" s="10" t="s">
        <v>150</v>
      </c>
      <c r="O32" s="13"/>
      <c r="P32" s="73">
        <f t="shared" si="22"/>
        <v>0</v>
      </c>
      <c r="Q32" s="73">
        <f t="shared" si="22"/>
        <v>0.31657373091985069</v>
      </c>
      <c r="R32" s="73">
        <f t="shared" si="22"/>
        <v>0</v>
      </c>
      <c r="S32" s="73">
        <f t="shared" si="22"/>
        <v>0.66996186435925265</v>
      </c>
      <c r="T32" s="73">
        <f t="shared" si="22"/>
        <v>0</v>
      </c>
      <c r="U32" s="73">
        <f t="shared" si="22"/>
        <v>0.61967145838504634</v>
      </c>
      <c r="V32" s="73">
        <f t="shared" si="22"/>
        <v>0</v>
      </c>
      <c r="W32" s="73">
        <f t="shared" si="22"/>
        <v>0.56917532538785975</v>
      </c>
      <c r="X32" s="73">
        <f t="shared" si="22"/>
        <v>0</v>
      </c>
      <c r="Y32" s="73">
        <f t="shared" si="22"/>
        <v>0.54125446953298828</v>
      </c>
      <c r="Z32" s="73">
        <f t="shared" si="22"/>
        <v>0</v>
      </c>
      <c r="AA32" s="73">
        <f t="shared" si="22"/>
        <v>0.52235157234883123</v>
      </c>
      <c r="AB32" s="73">
        <f t="shared" si="22"/>
        <v>0</v>
      </c>
      <c r="AC32" s="73">
        <f t="shared" si="22"/>
        <v>0.44860283597030554</v>
      </c>
      <c r="AD32" s="107"/>
      <c r="AG32" s="107"/>
      <c r="AL32" s="107"/>
      <c r="AM32" s="107"/>
      <c r="AN32" s="107"/>
      <c r="AO32" s="107"/>
      <c r="AP32" s="107"/>
      <c r="AQ32" s="107"/>
      <c r="AR32" s="107"/>
      <c r="AS32" s="107"/>
      <c r="AT32" s="107"/>
      <c r="AU32" s="107"/>
      <c r="AV32" s="107"/>
      <c r="AW32" s="107"/>
      <c r="AX32" s="107"/>
      <c r="AY32" s="107"/>
      <c r="AZ32" s="107"/>
      <c r="BA32" s="107"/>
      <c r="BB32" s="107"/>
      <c r="BC32" s="107"/>
      <c r="BD32" s="107"/>
      <c r="BE32" s="107"/>
      <c r="BF32" s="107"/>
      <c r="BG32" s="107"/>
      <c r="BH32" s="107"/>
      <c r="BI32" s="107"/>
      <c r="BJ32" s="107"/>
      <c r="BK32" s="107"/>
      <c r="BL32" s="107"/>
      <c r="BM32" s="107"/>
      <c r="BN32" s="107"/>
      <c r="BO32" s="107"/>
      <c r="BP32" s="107"/>
      <c r="BQ32" s="107"/>
      <c r="BR32" s="107"/>
      <c r="BS32" s="107"/>
      <c r="BT32" s="107"/>
      <c r="BU32" s="107"/>
      <c r="BV32" s="107"/>
      <c r="BW32" s="107"/>
      <c r="BX32" s="107"/>
      <c r="BY32" s="107"/>
      <c r="BZ32" s="107"/>
      <c r="CA32" s="107"/>
      <c r="CB32" s="107"/>
      <c r="CC32" s="107"/>
      <c r="CD32" s="107"/>
      <c r="CQ32" s="113"/>
      <c r="CR32" s="114"/>
    </row>
    <row r="33" spans="1:96" ht="27.95" customHeight="1" x14ac:dyDescent="0.3">
      <c r="A33" s="67"/>
      <c r="B33" s="9" t="s">
        <v>191</v>
      </c>
      <c r="C33" s="9" t="s">
        <v>147</v>
      </c>
      <c r="D33" s="9" t="s">
        <v>99</v>
      </c>
      <c r="E33" s="167">
        <v>1.9034787</v>
      </c>
      <c r="F33" s="12">
        <f>+IF($D33="USD",$E33,$E33/$C$52)</f>
        <v>1.9034787</v>
      </c>
      <c r="G33" s="9"/>
      <c r="H33" s="29" t="s">
        <v>148</v>
      </c>
      <c r="I33" s="21">
        <v>44837</v>
      </c>
      <c r="J33" s="30" t="s">
        <v>158</v>
      </c>
      <c r="K33" s="22">
        <v>327</v>
      </c>
      <c r="L33" s="10" t="s">
        <v>155</v>
      </c>
      <c r="M33" s="21">
        <v>54803</v>
      </c>
      <c r="N33" s="10" t="s">
        <v>150</v>
      </c>
      <c r="O33" s="13"/>
      <c r="P33" s="73">
        <f t="shared" si="22"/>
        <v>0</v>
      </c>
      <c r="Q33" s="73">
        <f t="shared" si="22"/>
        <v>0.10474835921747888</v>
      </c>
      <c r="R33" s="73">
        <f t="shared" si="22"/>
        <v>0</v>
      </c>
      <c r="S33" s="73">
        <f t="shared" si="22"/>
        <v>0.12271226950989655</v>
      </c>
      <c r="T33" s="73">
        <f t="shared" si="22"/>
        <v>0</v>
      </c>
      <c r="U33" s="73">
        <f t="shared" si="22"/>
        <v>0.18642215478207086</v>
      </c>
      <c r="V33" s="73">
        <f t="shared" si="22"/>
        <v>0</v>
      </c>
      <c r="W33" s="73">
        <f t="shared" si="22"/>
        <v>0.16854885839065759</v>
      </c>
      <c r="X33" s="73">
        <f t="shared" si="22"/>
        <v>0</v>
      </c>
      <c r="Y33" s="73">
        <f t="shared" si="22"/>
        <v>0.1619520801469187</v>
      </c>
      <c r="Z33" s="73">
        <f t="shared" si="22"/>
        <v>0</v>
      </c>
      <c r="AA33" s="73">
        <f t="shared" si="22"/>
        <v>0.15794830465412885</v>
      </c>
      <c r="AB33" s="73">
        <f t="shared" si="22"/>
        <v>0</v>
      </c>
      <c r="AC33" s="73">
        <f t="shared" si="22"/>
        <v>0.11462242441370327</v>
      </c>
      <c r="AD33" s="107"/>
      <c r="AG33" s="107"/>
      <c r="AL33" s="107"/>
      <c r="AM33" s="107"/>
      <c r="AN33" s="107"/>
      <c r="AO33" s="107"/>
      <c r="AP33" s="107"/>
      <c r="AQ33" s="107"/>
      <c r="AR33" s="107"/>
      <c r="AS33" s="107"/>
      <c r="AT33" s="107"/>
      <c r="AU33" s="107"/>
      <c r="AV33" s="107"/>
      <c r="AW33" s="107"/>
      <c r="AX33" s="107"/>
      <c r="AY33" s="107"/>
      <c r="AZ33" s="107"/>
      <c r="BA33" s="107"/>
      <c r="BB33" s="107"/>
      <c r="BC33" s="107"/>
      <c r="BD33" s="107"/>
      <c r="BE33" s="107"/>
      <c r="BF33" s="107"/>
      <c r="BG33" s="107"/>
      <c r="BH33" s="107"/>
      <c r="BI33" s="107"/>
      <c r="BJ33" s="107"/>
      <c r="BK33" s="107"/>
      <c r="BL33" s="107"/>
      <c r="BM33" s="107"/>
      <c r="BN33" s="107"/>
      <c r="BO33" s="107"/>
      <c r="BP33" s="107"/>
      <c r="BQ33" s="107"/>
      <c r="BR33" s="107"/>
      <c r="BS33" s="107"/>
      <c r="BT33" s="107"/>
      <c r="BU33" s="107"/>
      <c r="BV33" s="107"/>
      <c r="BW33" s="107"/>
      <c r="BX33" s="107"/>
      <c r="BY33" s="107"/>
      <c r="BZ33" s="107"/>
      <c r="CA33" s="107"/>
      <c r="CB33" s="107"/>
      <c r="CC33" s="107"/>
      <c r="CD33" s="107"/>
      <c r="CQ33" s="113"/>
      <c r="CR33" s="114"/>
    </row>
    <row r="34" spans="1:96" ht="27.95" customHeight="1" x14ac:dyDescent="0.3">
      <c r="A34" s="67"/>
      <c r="B34" s="185" t="s">
        <v>93</v>
      </c>
      <c r="C34" s="185"/>
      <c r="D34" s="185"/>
      <c r="E34" s="185"/>
      <c r="F34" s="186">
        <f>+SUM(F35:F43)</f>
        <v>490.76792211703548</v>
      </c>
      <c r="G34" s="187">
        <f>+F34/$F$45</f>
        <v>0.69702562313310779</v>
      </c>
      <c r="H34" s="188"/>
      <c r="I34" s="185"/>
      <c r="J34" s="189"/>
      <c r="K34" s="185"/>
      <c r="L34" s="185"/>
      <c r="M34" s="185"/>
      <c r="N34" s="185"/>
      <c r="O34" s="24"/>
      <c r="P34" s="198">
        <f t="shared" ref="P34:AC34" si="23">+SUM(P35:P43)</f>
        <v>25603.250035325746</v>
      </c>
      <c r="Q34" s="198">
        <f t="shared" si="23"/>
        <v>103.75362913461539</v>
      </c>
      <c r="R34" s="198">
        <f t="shared" si="23"/>
        <v>43130.468440041856</v>
      </c>
      <c r="S34" s="198">
        <f t="shared" si="23"/>
        <v>99.171135673076932</v>
      </c>
      <c r="T34" s="198">
        <f t="shared" si="23"/>
        <v>15618.549233651851</v>
      </c>
      <c r="U34" s="198">
        <f t="shared" si="23"/>
        <v>94.58864221153847</v>
      </c>
      <c r="V34" s="198">
        <f t="shared" si="23"/>
        <v>7874.9694718281589</v>
      </c>
      <c r="W34" s="198">
        <f t="shared" si="23"/>
        <v>90.006148750000008</v>
      </c>
      <c r="X34" s="198">
        <f t="shared" si="23"/>
        <v>932.68981549815715</v>
      </c>
      <c r="Y34" s="198">
        <f t="shared" si="23"/>
        <v>85.423655288461546</v>
      </c>
      <c r="Z34" s="198">
        <f t="shared" si="23"/>
        <v>892.55726627412469</v>
      </c>
      <c r="AA34" s="198">
        <f t="shared" si="23"/>
        <v>40.993392596153853</v>
      </c>
      <c r="AB34" s="198">
        <f t="shared" si="23"/>
        <v>632.1306185235635</v>
      </c>
      <c r="AC34" s="198">
        <f t="shared" si="23"/>
        <v>0</v>
      </c>
      <c r="AD34" s="112"/>
      <c r="AG34" s="112"/>
      <c r="AL34" s="112"/>
      <c r="AM34" s="112"/>
      <c r="AN34" s="112"/>
      <c r="AO34" s="112"/>
      <c r="AP34" s="112"/>
      <c r="AQ34" s="112"/>
      <c r="AR34" s="112"/>
      <c r="AS34" s="112"/>
      <c r="AT34" s="112"/>
      <c r="AU34" s="112"/>
      <c r="AV34" s="112"/>
      <c r="AW34" s="112"/>
      <c r="AX34" s="112"/>
      <c r="AY34" s="112"/>
      <c r="AZ34" s="112"/>
      <c r="BA34" s="112"/>
      <c r="BB34" s="112"/>
      <c r="BC34" s="112"/>
      <c r="BD34" s="112"/>
      <c r="BE34" s="112"/>
      <c r="BF34" s="112"/>
      <c r="BG34" s="112"/>
      <c r="BH34" s="112"/>
      <c r="BI34" s="112"/>
      <c r="BJ34" s="112"/>
      <c r="BK34" s="112"/>
      <c r="BL34" s="112"/>
      <c r="BM34" s="112"/>
      <c r="BN34" s="112"/>
      <c r="BO34" s="112"/>
      <c r="BP34" s="112"/>
      <c r="BQ34" s="112"/>
      <c r="BR34" s="112"/>
      <c r="BS34" s="112"/>
      <c r="BT34" s="112"/>
      <c r="BU34" s="112"/>
      <c r="BV34" s="112"/>
      <c r="BW34" s="112"/>
      <c r="BX34" s="112"/>
      <c r="BY34" s="112"/>
      <c r="BZ34" s="112"/>
      <c r="CA34" s="112"/>
      <c r="CB34" s="112"/>
      <c r="CC34" s="112"/>
      <c r="CD34" s="112"/>
    </row>
    <row r="35" spans="1:96" ht="27.95" customHeight="1" x14ac:dyDescent="0.3">
      <c r="A35" s="67"/>
      <c r="B35" s="9" t="s">
        <v>244</v>
      </c>
      <c r="C35" s="9" t="s">
        <v>123</v>
      </c>
      <c r="D35" s="9" t="s">
        <v>99</v>
      </c>
      <c r="E35" s="167">
        <v>398.47769231000001</v>
      </c>
      <c r="F35" s="12">
        <f t="shared" ref="F35:F43" si="24">+IF($D35="USD",$E35,$E35/$C$52)</f>
        <v>398.47769231000001</v>
      </c>
      <c r="G35" s="9"/>
      <c r="H35" s="29" t="s">
        <v>159</v>
      </c>
      <c r="I35" s="21">
        <v>43970</v>
      </c>
      <c r="J35" s="30">
        <v>5.7500000000000002E-2</v>
      </c>
      <c r="K35" s="22">
        <v>106</v>
      </c>
      <c r="L35" s="10" t="s">
        <v>155</v>
      </c>
      <c r="M35" s="21">
        <v>47196</v>
      </c>
      <c r="N35" s="10" t="s">
        <v>133</v>
      </c>
      <c r="O35" s="13"/>
      <c r="P35" s="73">
        <f t="shared" ref="P35:AC37" si="25">+F88+F133</f>
        <v>0</v>
      </c>
      <c r="Q35" s="73">
        <f t="shared" si="25"/>
        <v>103.75362913461539</v>
      </c>
      <c r="R35" s="73">
        <f t="shared" si="25"/>
        <v>0</v>
      </c>
      <c r="S35" s="73">
        <f t="shared" si="25"/>
        <v>99.171135673076932</v>
      </c>
      <c r="T35" s="73">
        <f t="shared" si="25"/>
        <v>0</v>
      </c>
      <c r="U35" s="73">
        <f t="shared" si="25"/>
        <v>94.58864221153847</v>
      </c>
      <c r="V35" s="73">
        <f t="shared" si="25"/>
        <v>0</v>
      </c>
      <c r="W35" s="73">
        <f t="shared" si="25"/>
        <v>90.006148750000008</v>
      </c>
      <c r="X35" s="73">
        <f t="shared" si="25"/>
        <v>0</v>
      </c>
      <c r="Y35" s="73">
        <f t="shared" si="25"/>
        <v>85.423655288461546</v>
      </c>
      <c r="Z35" s="73">
        <f t="shared" si="25"/>
        <v>0</v>
      </c>
      <c r="AA35" s="73">
        <f t="shared" si="25"/>
        <v>40.993392596153853</v>
      </c>
      <c r="AB35" s="73">
        <f t="shared" si="25"/>
        <v>0</v>
      </c>
      <c r="AC35" s="73">
        <f t="shared" si="25"/>
        <v>0</v>
      </c>
      <c r="AD35" s="107"/>
      <c r="AG35" s="107"/>
      <c r="AL35" s="107"/>
      <c r="AM35" s="107"/>
      <c r="AN35" s="107"/>
      <c r="AO35" s="107"/>
      <c r="AP35" s="107"/>
      <c r="AQ35" s="107"/>
      <c r="AR35" s="107"/>
      <c r="AS35" s="107"/>
      <c r="AT35" s="107"/>
      <c r="AU35" s="107"/>
      <c r="AV35" s="107"/>
      <c r="AW35" s="107"/>
      <c r="AX35" s="107"/>
      <c r="AY35" s="107"/>
      <c r="AZ35" s="107"/>
      <c r="BA35" s="107"/>
      <c r="BB35" s="107"/>
      <c r="BC35" s="107"/>
      <c r="BD35" s="107"/>
      <c r="BE35" s="107"/>
      <c r="BF35" s="107"/>
      <c r="BG35" s="107"/>
      <c r="BH35" s="107"/>
      <c r="BI35" s="107"/>
      <c r="BJ35" s="107"/>
      <c r="BK35" s="107"/>
      <c r="BL35" s="107"/>
      <c r="BM35" s="107"/>
      <c r="BN35" s="107"/>
      <c r="BO35" s="107"/>
      <c r="BP35" s="107"/>
      <c r="BQ35" s="107"/>
      <c r="BR35" s="107"/>
      <c r="BS35" s="107"/>
      <c r="BT35" s="107"/>
      <c r="BU35" s="107"/>
      <c r="BV35" s="107"/>
      <c r="BW35" s="107"/>
      <c r="BX35" s="107"/>
      <c r="BY35" s="107"/>
      <c r="BZ35" s="107"/>
      <c r="CA35" s="107"/>
      <c r="CB35" s="107"/>
      <c r="CC35" s="107"/>
      <c r="CD35" s="107"/>
      <c r="CQ35" s="113"/>
      <c r="CR35" s="114"/>
    </row>
    <row r="36" spans="1:96" ht="27.95" customHeight="1" x14ac:dyDescent="0.3">
      <c r="A36" s="67"/>
      <c r="B36" s="9" t="s">
        <v>236</v>
      </c>
      <c r="C36" s="9" t="s">
        <v>238</v>
      </c>
      <c r="D36" s="9" t="s">
        <v>240</v>
      </c>
      <c r="E36" s="10">
        <v>37314.775999999998</v>
      </c>
      <c r="F36" s="12">
        <f t="shared" si="24"/>
        <v>43.520001418213567</v>
      </c>
      <c r="G36" s="9"/>
      <c r="H36" s="29" t="s">
        <v>148</v>
      </c>
      <c r="I36" s="179">
        <v>45363</v>
      </c>
      <c r="J36" s="30" t="s">
        <v>241</v>
      </c>
      <c r="K36" s="22">
        <v>21</v>
      </c>
      <c r="L36" s="10" t="s">
        <v>242</v>
      </c>
      <c r="M36" s="179">
        <v>46003</v>
      </c>
      <c r="N36" s="10" t="s">
        <v>133</v>
      </c>
      <c r="O36" s="13"/>
      <c r="P36" s="73">
        <f t="shared" si="25"/>
        <v>0</v>
      </c>
      <c r="Q36" s="73">
        <f t="shared" ref="Q36:Q37" si="26">+G89+G134</f>
        <v>0</v>
      </c>
      <c r="R36" s="73">
        <f t="shared" ref="R36:R37" si="27">+H89+H134</f>
        <v>37314.775999999998</v>
      </c>
      <c r="S36" s="73">
        <f t="shared" ref="S36:S37" si="28">+I89+I134</f>
        <v>0</v>
      </c>
      <c r="T36" s="73">
        <f t="shared" ref="T36:T37" si="29">+J89+J134</f>
        <v>0</v>
      </c>
      <c r="U36" s="73">
        <f t="shared" ref="U36:U37" si="30">+K89+K134</f>
        <v>0</v>
      </c>
      <c r="V36" s="73">
        <f t="shared" ref="V36:V37" si="31">+L89+L134</f>
        <v>0</v>
      </c>
      <c r="W36" s="73">
        <f t="shared" ref="W36:W37" si="32">+M89+M134</f>
        <v>0</v>
      </c>
      <c r="X36" s="73">
        <f t="shared" ref="X36:X37" si="33">+N89+N134</f>
        <v>0</v>
      </c>
      <c r="Y36" s="73">
        <f t="shared" ref="Y36:Y37" si="34">+O89+O134</f>
        <v>0</v>
      </c>
      <c r="Z36" s="73">
        <f t="shared" ref="Z36:Z37" si="35">+P89+P134</f>
        <v>0</v>
      </c>
      <c r="AA36" s="73">
        <f t="shared" ref="AA36:AA37" si="36">+Q89+Q134</f>
        <v>0</v>
      </c>
      <c r="AB36" s="73">
        <f t="shared" ref="AB36:AB37" si="37">+R89+R134</f>
        <v>0</v>
      </c>
      <c r="AC36" s="73">
        <f t="shared" ref="AC36:AC37" si="38">+S89+S134</f>
        <v>0</v>
      </c>
      <c r="AD36" s="107"/>
      <c r="AG36" s="107"/>
      <c r="AL36" s="107"/>
      <c r="AM36" s="107"/>
      <c r="AN36" s="107"/>
      <c r="AO36" s="107"/>
      <c r="AP36" s="107"/>
      <c r="AQ36" s="107"/>
      <c r="AR36" s="107"/>
      <c r="AS36" s="107"/>
      <c r="AT36" s="107"/>
      <c r="AU36" s="107"/>
      <c r="AV36" s="107"/>
      <c r="AW36" s="107"/>
      <c r="AX36" s="107"/>
      <c r="AY36" s="107"/>
      <c r="AZ36" s="107"/>
      <c r="BA36" s="107"/>
      <c r="BB36" s="107"/>
      <c r="BC36" s="107"/>
      <c r="BD36" s="107"/>
      <c r="BE36" s="107"/>
      <c r="BF36" s="107"/>
      <c r="BG36" s="107"/>
      <c r="BH36" s="107"/>
      <c r="BI36" s="107"/>
      <c r="BJ36" s="107"/>
      <c r="BK36" s="107"/>
      <c r="BL36" s="107"/>
      <c r="BM36" s="107"/>
      <c r="BN36" s="107"/>
      <c r="BO36" s="107"/>
      <c r="BP36" s="107"/>
      <c r="BQ36" s="107"/>
      <c r="BR36" s="107"/>
      <c r="BS36" s="107"/>
      <c r="BT36" s="107"/>
      <c r="BU36" s="107"/>
      <c r="BV36" s="107"/>
      <c r="BW36" s="107"/>
      <c r="BX36" s="107"/>
      <c r="BY36" s="107"/>
      <c r="BZ36" s="107"/>
      <c r="CA36" s="107"/>
      <c r="CB36" s="107"/>
      <c r="CC36" s="107"/>
      <c r="CD36" s="107"/>
    </row>
    <row r="37" spans="1:96" ht="27.95" customHeight="1" x14ac:dyDescent="0.3">
      <c r="A37" s="67"/>
      <c r="B37" s="9" t="s">
        <v>237</v>
      </c>
      <c r="C37" s="9" t="s">
        <v>239</v>
      </c>
      <c r="D37" s="9" t="s">
        <v>240</v>
      </c>
      <c r="E37" s="10">
        <v>20554.007399999999</v>
      </c>
      <c r="F37" s="12">
        <f t="shared" si="24"/>
        <v>23.97201664021706</v>
      </c>
      <c r="G37" s="9"/>
      <c r="H37" s="29" t="s">
        <v>148</v>
      </c>
      <c r="I37" s="179">
        <v>45363</v>
      </c>
      <c r="J37" s="30" t="s">
        <v>241</v>
      </c>
      <c r="K37" s="22">
        <v>36</v>
      </c>
      <c r="L37" s="10" t="s">
        <v>242</v>
      </c>
      <c r="M37" s="179">
        <v>46458</v>
      </c>
      <c r="N37" s="10" t="s">
        <v>133</v>
      </c>
      <c r="O37" s="13"/>
      <c r="P37" s="73">
        <f t="shared" si="25"/>
        <v>0</v>
      </c>
      <c r="Q37" s="73">
        <f t="shared" si="26"/>
        <v>0</v>
      </c>
      <c r="R37" s="73">
        <f t="shared" si="27"/>
        <v>0</v>
      </c>
      <c r="S37" s="73">
        <f t="shared" si="28"/>
        <v>0</v>
      </c>
      <c r="T37" s="73">
        <f t="shared" si="29"/>
        <v>13701.301332839999</v>
      </c>
      <c r="U37" s="73">
        <f t="shared" si="30"/>
        <v>0</v>
      </c>
      <c r="V37" s="73">
        <f t="shared" si="31"/>
        <v>6852.7060671600002</v>
      </c>
      <c r="W37" s="73">
        <f t="shared" si="32"/>
        <v>0</v>
      </c>
      <c r="X37" s="73">
        <f t="shared" si="33"/>
        <v>0</v>
      </c>
      <c r="Y37" s="73">
        <f t="shared" si="34"/>
        <v>0</v>
      </c>
      <c r="Z37" s="73">
        <f t="shared" si="35"/>
        <v>0</v>
      </c>
      <c r="AA37" s="73">
        <f t="shared" si="36"/>
        <v>0</v>
      </c>
      <c r="AB37" s="73">
        <f t="shared" si="37"/>
        <v>0</v>
      </c>
      <c r="AC37" s="73">
        <f t="shared" si="38"/>
        <v>0</v>
      </c>
      <c r="AD37" s="107"/>
      <c r="AG37" s="107"/>
      <c r="AL37" s="107"/>
      <c r="AM37" s="107"/>
      <c r="AN37" s="107"/>
      <c r="AO37" s="107"/>
      <c r="AP37" s="107"/>
      <c r="AQ37" s="107"/>
      <c r="AR37" s="107"/>
      <c r="AS37" s="107"/>
      <c r="AT37" s="107"/>
      <c r="AU37" s="107"/>
      <c r="AV37" s="107"/>
      <c r="AW37" s="107"/>
      <c r="AX37" s="107"/>
      <c r="AY37" s="107"/>
      <c r="AZ37" s="107"/>
      <c r="BA37" s="107"/>
      <c r="BB37" s="107"/>
      <c r="BC37" s="107"/>
      <c r="BD37" s="107"/>
      <c r="BE37" s="107"/>
      <c r="BF37" s="107"/>
      <c r="BG37" s="107"/>
      <c r="BH37" s="107"/>
      <c r="BI37" s="107"/>
      <c r="BJ37" s="107"/>
      <c r="BK37" s="107"/>
      <c r="BL37" s="107"/>
      <c r="BM37" s="107"/>
      <c r="BN37" s="107"/>
      <c r="BO37" s="107"/>
      <c r="BP37" s="107"/>
      <c r="BQ37" s="107"/>
      <c r="BR37" s="107"/>
      <c r="BS37" s="107"/>
      <c r="BT37" s="107"/>
      <c r="BU37" s="107"/>
      <c r="BV37" s="107"/>
      <c r="BW37" s="107"/>
      <c r="BX37" s="107"/>
      <c r="BY37" s="107"/>
      <c r="BZ37" s="107"/>
      <c r="CA37" s="107"/>
      <c r="CB37" s="107"/>
      <c r="CC37" s="107"/>
      <c r="CD37" s="107"/>
    </row>
    <row r="38" spans="1:96" ht="27.95" customHeight="1" x14ac:dyDescent="0.3">
      <c r="A38" s="67"/>
      <c r="B38" s="9" t="s">
        <v>134</v>
      </c>
      <c r="C38" s="9" t="s">
        <v>135</v>
      </c>
      <c r="D38" s="9" t="s">
        <v>2</v>
      </c>
      <c r="E38" s="166">
        <v>9003.2402341100005</v>
      </c>
      <c r="F38" s="12">
        <f t="shared" si="24"/>
        <v>10.500425562168314</v>
      </c>
      <c r="G38" s="9"/>
      <c r="H38" s="29" t="s">
        <v>148</v>
      </c>
      <c r="I38" s="21">
        <v>44547</v>
      </c>
      <c r="J38" s="30" t="s">
        <v>160</v>
      </c>
      <c r="K38" s="22">
        <v>36</v>
      </c>
      <c r="L38" s="10" t="s">
        <v>155</v>
      </c>
      <c r="M38" s="21">
        <v>45643</v>
      </c>
      <c r="N38" s="10" t="s">
        <v>133</v>
      </c>
      <c r="O38" s="13"/>
      <c r="P38" s="73">
        <f t="shared" ref="P38:AC43" si="39">+F91+F136</f>
        <v>9291.019145951157</v>
      </c>
      <c r="Q38" s="73">
        <f t="shared" si="39"/>
        <v>0</v>
      </c>
      <c r="R38" s="73">
        <f t="shared" si="39"/>
        <v>0</v>
      </c>
      <c r="S38" s="73">
        <f t="shared" si="39"/>
        <v>0</v>
      </c>
      <c r="T38" s="73">
        <f t="shared" si="39"/>
        <v>0</v>
      </c>
      <c r="U38" s="73">
        <f t="shared" si="39"/>
        <v>0</v>
      </c>
      <c r="V38" s="73">
        <f t="shared" si="39"/>
        <v>0</v>
      </c>
      <c r="W38" s="73">
        <f t="shared" si="39"/>
        <v>0</v>
      </c>
      <c r="X38" s="73">
        <f t="shared" si="39"/>
        <v>0</v>
      </c>
      <c r="Y38" s="73">
        <f t="shared" si="39"/>
        <v>0</v>
      </c>
      <c r="Z38" s="73">
        <f t="shared" si="39"/>
        <v>0</v>
      </c>
      <c r="AA38" s="73">
        <f t="shared" si="39"/>
        <v>0</v>
      </c>
      <c r="AB38" s="73">
        <f t="shared" si="39"/>
        <v>0</v>
      </c>
      <c r="AC38" s="73">
        <f t="shared" si="39"/>
        <v>0</v>
      </c>
      <c r="AD38" s="107"/>
      <c r="AG38" s="107"/>
      <c r="AL38" s="107"/>
      <c r="AM38" s="107"/>
      <c r="AN38" s="107"/>
      <c r="AO38" s="107"/>
      <c r="AP38" s="107"/>
      <c r="AQ38" s="107"/>
      <c r="AR38" s="107"/>
      <c r="AS38" s="107"/>
      <c r="AT38" s="107"/>
      <c r="AU38" s="107"/>
      <c r="AV38" s="107"/>
      <c r="AW38" s="107"/>
      <c r="AX38" s="107"/>
      <c r="AY38" s="107"/>
      <c r="AZ38" s="107"/>
      <c r="BA38" s="107"/>
      <c r="BB38" s="107"/>
      <c r="BC38" s="107"/>
      <c r="BD38" s="107"/>
      <c r="BE38" s="107"/>
      <c r="BF38" s="107"/>
      <c r="BG38" s="107"/>
      <c r="BH38" s="107"/>
      <c r="BI38" s="107"/>
      <c r="BJ38" s="107"/>
      <c r="BK38" s="107"/>
      <c r="BL38" s="107"/>
      <c r="BM38" s="107"/>
      <c r="BN38" s="107"/>
      <c r="BO38" s="107"/>
      <c r="BP38" s="107"/>
      <c r="BQ38" s="107"/>
      <c r="BR38" s="107"/>
      <c r="BS38" s="107"/>
      <c r="BT38" s="107"/>
      <c r="BU38" s="107"/>
      <c r="BV38" s="107"/>
      <c r="BW38" s="107"/>
      <c r="BX38" s="107"/>
      <c r="BY38" s="107"/>
      <c r="BZ38" s="107"/>
      <c r="CA38" s="107"/>
      <c r="CB38" s="107"/>
      <c r="CC38" s="107"/>
      <c r="CD38" s="107"/>
    </row>
    <row r="39" spans="1:96" ht="27.95" customHeight="1" x14ac:dyDescent="0.3">
      <c r="A39" s="67"/>
      <c r="B39" s="9" t="s">
        <v>136</v>
      </c>
      <c r="C39" s="9" t="s">
        <v>137</v>
      </c>
      <c r="D39" s="9" t="s">
        <v>2</v>
      </c>
      <c r="E39" s="166">
        <v>4878.6538609999998</v>
      </c>
      <c r="F39" s="12">
        <f t="shared" si="24"/>
        <v>5.6899449952397703</v>
      </c>
      <c r="G39" s="9"/>
      <c r="H39" s="29" t="s">
        <v>148</v>
      </c>
      <c r="I39" s="21">
        <v>44635</v>
      </c>
      <c r="J39" s="30" t="s">
        <v>161</v>
      </c>
      <c r="K39" s="22">
        <v>108</v>
      </c>
      <c r="L39" s="10" t="s">
        <v>154</v>
      </c>
      <c r="M39" s="21">
        <v>47922</v>
      </c>
      <c r="N39" s="10" t="s">
        <v>133</v>
      </c>
      <c r="O39" s="13"/>
      <c r="P39" s="73">
        <f t="shared" si="39"/>
        <v>3849.0998724783999</v>
      </c>
      <c r="Q39" s="73">
        <f t="shared" si="39"/>
        <v>0</v>
      </c>
      <c r="R39" s="73">
        <f t="shared" si="39"/>
        <v>2824.26934816536</v>
      </c>
      <c r="S39" s="73">
        <f t="shared" si="39"/>
        <v>0</v>
      </c>
      <c r="T39" s="73">
        <f t="shared" si="39"/>
        <v>1917.2479008118521</v>
      </c>
      <c r="U39" s="73">
        <f t="shared" si="39"/>
        <v>0</v>
      </c>
      <c r="V39" s="73">
        <f t="shared" si="39"/>
        <v>1022.2634046681592</v>
      </c>
      <c r="W39" s="73">
        <f t="shared" si="39"/>
        <v>0</v>
      </c>
      <c r="X39" s="73">
        <f t="shared" si="39"/>
        <v>932.68981549815715</v>
      </c>
      <c r="Y39" s="73">
        <f t="shared" si="39"/>
        <v>0</v>
      </c>
      <c r="Z39" s="73">
        <f t="shared" si="39"/>
        <v>892.55726627412469</v>
      </c>
      <c r="AA39" s="73">
        <f t="shared" si="39"/>
        <v>0</v>
      </c>
      <c r="AB39" s="73">
        <f t="shared" si="39"/>
        <v>632.1306185235635</v>
      </c>
      <c r="AC39" s="73">
        <f t="shared" si="39"/>
        <v>0</v>
      </c>
      <c r="AD39" s="107"/>
      <c r="AG39" s="107"/>
      <c r="AL39" s="107"/>
      <c r="AM39" s="107"/>
      <c r="AN39" s="107"/>
      <c r="AO39" s="107"/>
      <c r="AP39" s="107"/>
      <c r="AQ39" s="107"/>
      <c r="AR39" s="107"/>
      <c r="AS39" s="107"/>
      <c r="AT39" s="107"/>
      <c r="AU39" s="107"/>
      <c r="AV39" s="107"/>
      <c r="AW39" s="107"/>
      <c r="AX39" s="107"/>
      <c r="AY39" s="107"/>
      <c r="AZ39" s="107"/>
      <c r="BA39" s="107"/>
      <c r="BB39" s="107"/>
      <c r="BC39" s="107"/>
      <c r="BD39" s="107"/>
      <c r="BE39" s="107"/>
      <c r="BF39" s="107"/>
      <c r="BG39" s="107"/>
      <c r="BH39" s="107"/>
      <c r="BI39" s="107"/>
      <c r="BJ39" s="107"/>
      <c r="BK39" s="107"/>
      <c r="BL39" s="107"/>
      <c r="BM39" s="107"/>
      <c r="BN39" s="107"/>
      <c r="BO39" s="107"/>
      <c r="BP39" s="107"/>
      <c r="BQ39" s="107"/>
      <c r="BR39" s="107"/>
      <c r="BS39" s="107"/>
      <c r="BT39" s="107"/>
      <c r="BU39" s="107"/>
      <c r="BV39" s="107"/>
      <c r="BW39" s="107"/>
      <c r="BX39" s="107"/>
      <c r="BY39" s="107"/>
      <c r="BZ39" s="107"/>
      <c r="CA39" s="107"/>
      <c r="CB39" s="107"/>
      <c r="CC39" s="107"/>
      <c r="CD39" s="107"/>
    </row>
    <row r="40" spans="1:96" ht="27.95" customHeight="1" x14ac:dyDescent="0.3">
      <c r="A40" s="67"/>
      <c r="B40" s="9" t="s">
        <v>165</v>
      </c>
      <c r="C40" s="9" t="s">
        <v>167</v>
      </c>
      <c r="D40" s="9" t="s">
        <v>2</v>
      </c>
      <c r="E40" s="166">
        <v>5043.75</v>
      </c>
      <c r="F40" s="12">
        <f t="shared" si="24"/>
        <v>5.8824956406843958</v>
      </c>
      <c r="G40" s="9"/>
      <c r="H40" s="29" t="s">
        <v>148</v>
      </c>
      <c r="I40" s="21">
        <v>45098</v>
      </c>
      <c r="J40" s="30" t="s">
        <v>169</v>
      </c>
      <c r="K40" s="22">
        <v>24</v>
      </c>
      <c r="L40" s="10" t="s">
        <v>154</v>
      </c>
      <c r="M40" s="21">
        <v>45829</v>
      </c>
      <c r="N40" s="10" t="s">
        <v>133</v>
      </c>
      <c r="O40" s="13"/>
      <c r="P40" s="73">
        <f t="shared" si="39"/>
        <v>8042.3964323</v>
      </c>
      <c r="Q40" s="73">
        <f t="shared" si="39"/>
        <v>0</v>
      </c>
      <c r="R40" s="73">
        <f t="shared" si="39"/>
        <v>2484.4244391699999</v>
      </c>
      <c r="S40" s="73">
        <f t="shared" si="39"/>
        <v>0</v>
      </c>
      <c r="T40" s="73">
        <f t="shared" si="39"/>
        <v>0</v>
      </c>
      <c r="U40" s="73">
        <f t="shared" si="39"/>
        <v>0</v>
      </c>
      <c r="V40" s="73">
        <f t="shared" si="39"/>
        <v>0</v>
      </c>
      <c r="W40" s="73">
        <f t="shared" si="39"/>
        <v>0</v>
      </c>
      <c r="X40" s="73">
        <f t="shared" si="39"/>
        <v>0</v>
      </c>
      <c r="Y40" s="73">
        <f t="shared" si="39"/>
        <v>0</v>
      </c>
      <c r="Z40" s="73">
        <f t="shared" si="39"/>
        <v>0</v>
      </c>
      <c r="AA40" s="73">
        <f t="shared" si="39"/>
        <v>0</v>
      </c>
      <c r="AB40" s="73">
        <f t="shared" si="39"/>
        <v>0</v>
      </c>
      <c r="AC40" s="73">
        <f t="shared" si="39"/>
        <v>0</v>
      </c>
      <c r="AD40" s="107"/>
      <c r="AG40" s="107"/>
      <c r="AL40" s="107"/>
      <c r="AM40" s="107"/>
      <c r="AN40" s="107"/>
      <c r="AO40" s="107"/>
      <c r="AP40" s="107"/>
      <c r="AQ40" s="107"/>
      <c r="AR40" s="107"/>
      <c r="AS40" s="107"/>
      <c r="AT40" s="107"/>
      <c r="AU40" s="107"/>
      <c r="AV40" s="107"/>
      <c r="AW40" s="107"/>
      <c r="AX40" s="107"/>
      <c r="AY40" s="107"/>
      <c r="AZ40" s="107"/>
      <c r="BA40" s="107"/>
      <c r="BB40" s="107"/>
      <c r="BC40" s="107"/>
      <c r="BD40" s="107"/>
      <c r="BE40" s="107"/>
      <c r="BF40" s="107"/>
      <c r="BG40" s="107"/>
      <c r="BH40" s="107"/>
      <c r="BI40" s="107"/>
      <c r="BJ40" s="107"/>
      <c r="BK40" s="107"/>
      <c r="BL40" s="107"/>
      <c r="BM40" s="107"/>
      <c r="BN40" s="107"/>
      <c r="BO40" s="107"/>
      <c r="BP40" s="107"/>
      <c r="BQ40" s="107"/>
      <c r="BR40" s="107"/>
      <c r="BS40" s="107"/>
      <c r="BT40" s="107"/>
      <c r="BU40" s="107"/>
      <c r="BV40" s="107"/>
      <c r="BW40" s="107"/>
      <c r="BX40" s="107"/>
      <c r="BY40" s="107"/>
      <c r="BZ40" s="107"/>
      <c r="CA40" s="107"/>
      <c r="CB40" s="107"/>
      <c r="CC40" s="107"/>
      <c r="CD40" s="107"/>
    </row>
    <row r="41" spans="1:96" ht="27.95" customHeight="1" x14ac:dyDescent="0.3">
      <c r="A41" s="67"/>
      <c r="B41" s="9" t="s">
        <v>246</v>
      </c>
      <c r="C41" s="9" t="s">
        <v>168</v>
      </c>
      <c r="D41" s="9" t="s">
        <v>2</v>
      </c>
      <c r="E41" s="166">
        <v>1316.5602555</v>
      </c>
      <c r="F41" s="12">
        <f t="shared" si="24"/>
        <v>1.5354963992420489</v>
      </c>
      <c r="G41" s="9"/>
      <c r="H41" s="29" t="s">
        <v>148</v>
      </c>
      <c r="I41" s="21">
        <v>45098</v>
      </c>
      <c r="J41" s="30" t="s">
        <v>170</v>
      </c>
      <c r="K41" s="22">
        <v>18</v>
      </c>
      <c r="L41" s="10" t="s">
        <v>154</v>
      </c>
      <c r="M41" s="21">
        <v>45647</v>
      </c>
      <c r="N41" s="10" t="s">
        <v>133</v>
      </c>
      <c r="O41" s="13"/>
      <c r="P41" s="73">
        <f t="shared" si="39"/>
        <v>2760.6015089866523</v>
      </c>
      <c r="Q41" s="73">
        <f t="shared" si="39"/>
        <v>0</v>
      </c>
      <c r="R41" s="73">
        <f t="shared" si="39"/>
        <v>0</v>
      </c>
      <c r="S41" s="73">
        <f t="shared" si="39"/>
        <v>0</v>
      </c>
      <c r="T41" s="73">
        <f t="shared" si="39"/>
        <v>0</v>
      </c>
      <c r="U41" s="73">
        <f t="shared" si="39"/>
        <v>0</v>
      </c>
      <c r="V41" s="73">
        <f t="shared" si="39"/>
        <v>0</v>
      </c>
      <c r="W41" s="73">
        <f t="shared" si="39"/>
        <v>0</v>
      </c>
      <c r="X41" s="73">
        <f t="shared" si="39"/>
        <v>0</v>
      </c>
      <c r="Y41" s="73">
        <f t="shared" si="39"/>
        <v>0</v>
      </c>
      <c r="Z41" s="73">
        <f t="shared" si="39"/>
        <v>0</v>
      </c>
      <c r="AA41" s="73">
        <f t="shared" si="39"/>
        <v>0</v>
      </c>
      <c r="AB41" s="73">
        <f t="shared" si="39"/>
        <v>0</v>
      </c>
      <c r="AC41" s="73">
        <f t="shared" si="39"/>
        <v>0</v>
      </c>
      <c r="AD41" s="107"/>
      <c r="AG41" s="107"/>
      <c r="AL41" s="107"/>
      <c r="AM41" s="107"/>
      <c r="AN41" s="107"/>
      <c r="AO41" s="107"/>
      <c r="AP41" s="107"/>
      <c r="AQ41" s="107"/>
      <c r="AR41" s="107"/>
      <c r="AS41" s="107"/>
      <c r="AT41" s="107"/>
      <c r="AU41" s="107"/>
      <c r="AV41" s="107"/>
      <c r="AW41" s="107"/>
      <c r="AX41" s="107"/>
      <c r="AY41" s="107"/>
      <c r="AZ41" s="107"/>
      <c r="BA41" s="107"/>
      <c r="BB41" s="107"/>
      <c r="BC41" s="107"/>
      <c r="BD41" s="107"/>
      <c r="BE41" s="107"/>
      <c r="BF41" s="107"/>
      <c r="BG41" s="107"/>
      <c r="BH41" s="107"/>
      <c r="BI41" s="107"/>
      <c r="BJ41" s="107"/>
      <c r="BK41" s="107"/>
      <c r="BL41" s="107"/>
      <c r="BM41" s="107"/>
      <c r="BN41" s="107"/>
      <c r="BO41" s="107"/>
      <c r="BP41" s="107"/>
      <c r="BQ41" s="107"/>
      <c r="BR41" s="107"/>
      <c r="BS41" s="107"/>
      <c r="BT41" s="107"/>
      <c r="BU41" s="107"/>
      <c r="BV41" s="107"/>
      <c r="BW41" s="107"/>
      <c r="BX41" s="107"/>
      <c r="BY41" s="107"/>
      <c r="BZ41" s="107"/>
      <c r="CA41" s="107"/>
      <c r="CB41" s="107"/>
      <c r="CC41" s="107"/>
      <c r="CD41" s="107"/>
    </row>
    <row r="42" spans="1:96" ht="27.95" customHeight="1" x14ac:dyDescent="0.3">
      <c r="A42" s="67"/>
      <c r="B42" s="9" t="s">
        <v>128</v>
      </c>
      <c r="C42" s="9" t="s">
        <v>129</v>
      </c>
      <c r="D42" s="9" t="s">
        <v>2</v>
      </c>
      <c r="E42" s="166">
        <v>1009.61538462</v>
      </c>
      <c r="F42" s="12">
        <f t="shared" si="24"/>
        <v>1.177508421074607</v>
      </c>
      <c r="G42" s="9"/>
      <c r="H42" s="29" t="s">
        <v>148</v>
      </c>
      <c r="I42" s="21">
        <v>44385</v>
      </c>
      <c r="J42" s="30" t="s">
        <v>162</v>
      </c>
      <c r="K42" s="22">
        <v>48</v>
      </c>
      <c r="L42" s="10" t="s">
        <v>154</v>
      </c>
      <c r="M42" s="21">
        <v>45805</v>
      </c>
      <c r="N42" s="10" t="s">
        <v>133</v>
      </c>
      <c r="O42" s="13"/>
      <c r="P42" s="73">
        <f t="shared" si="39"/>
        <v>1640.293491845558</v>
      </c>
      <c r="Q42" s="73">
        <f t="shared" si="39"/>
        <v>0</v>
      </c>
      <c r="R42" s="73">
        <f t="shared" si="39"/>
        <v>496.6322044562682</v>
      </c>
      <c r="S42" s="73">
        <f t="shared" si="39"/>
        <v>0</v>
      </c>
      <c r="T42" s="73">
        <f t="shared" si="39"/>
        <v>0</v>
      </c>
      <c r="U42" s="73">
        <f t="shared" si="39"/>
        <v>0</v>
      </c>
      <c r="V42" s="73">
        <f t="shared" si="39"/>
        <v>0</v>
      </c>
      <c r="W42" s="73">
        <f t="shared" si="39"/>
        <v>0</v>
      </c>
      <c r="X42" s="73">
        <f t="shared" si="39"/>
        <v>0</v>
      </c>
      <c r="Y42" s="73">
        <f t="shared" si="39"/>
        <v>0</v>
      </c>
      <c r="Z42" s="73">
        <f t="shared" si="39"/>
        <v>0</v>
      </c>
      <c r="AA42" s="73">
        <f t="shared" si="39"/>
        <v>0</v>
      </c>
      <c r="AB42" s="73">
        <f t="shared" si="39"/>
        <v>0</v>
      </c>
      <c r="AC42" s="73">
        <f t="shared" si="39"/>
        <v>0</v>
      </c>
      <c r="AD42" s="107"/>
      <c r="AG42" s="107"/>
      <c r="AL42" s="107"/>
      <c r="AM42" s="107"/>
      <c r="AN42" s="107"/>
      <c r="AO42" s="107"/>
      <c r="AP42" s="107"/>
      <c r="AQ42" s="107"/>
      <c r="AR42" s="107"/>
      <c r="AS42" s="107"/>
      <c r="AT42" s="107"/>
      <c r="AU42" s="107"/>
      <c r="AV42" s="107"/>
      <c r="AW42" s="107"/>
      <c r="AX42" s="107"/>
      <c r="AY42" s="107"/>
      <c r="AZ42" s="107"/>
      <c r="BA42" s="107"/>
      <c r="BB42" s="107"/>
      <c r="BC42" s="107"/>
      <c r="BD42" s="107"/>
      <c r="BE42" s="107"/>
      <c r="BF42" s="107"/>
      <c r="BG42" s="107"/>
      <c r="BH42" s="107"/>
      <c r="BI42" s="107"/>
      <c r="BJ42" s="107"/>
      <c r="BK42" s="107"/>
      <c r="BL42" s="107"/>
      <c r="BM42" s="107"/>
      <c r="BN42" s="107"/>
      <c r="BO42" s="107"/>
      <c r="BP42" s="107"/>
      <c r="BQ42" s="107"/>
      <c r="BR42" s="107"/>
      <c r="BS42" s="107"/>
      <c r="BT42" s="107"/>
      <c r="BU42" s="107"/>
      <c r="BV42" s="107"/>
      <c r="BW42" s="107"/>
      <c r="BX42" s="107"/>
      <c r="BY42" s="107"/>
      <c r="BZ42" s="107"/>
      <c r="CA42" s="107"/>
      <c r="CB42" s="107"/>
      <c r="CC42" s="107"/>
      <c r="CD42" s="107"/>
    </row>
    <row r="43" spans="1:96" ht="27.95" customHeight="1" x14ac:dyDescent="0.3">
      <c r="A43" s="67"/>
      <c r="B43" s="9" t="s">
        <v>34</v>
      </c>
      <c r="C43" s="9" t="s">
        <v>35</v>
      </c>
      <c r="D43" s="9" t="s">
        <v>2</v>
      </c>
      <c r="E43" s="166">
        <v>10.58114816</v>
      </c>
      <c r="F43" s="12">
        <f t="shared" si="24"/>
        <v>1.2340730195714638E-2</v>
      </c>
      <c r="G43" s="9"/>
      <c r="H43" s="29" t="s">
        <v>148</v>
      </c>
      <c r="I43" s="21">
        <v>43494</v>
      </c>
      <c r="J43" s="30" t="s">
        <v>163</v>
      </c>
      <c r="K43" s="22">
        <v>84</v>
      </c>
      <c r="L43" s="10" t="s">
        <v>155</v>
      </c>
      <c r="M43" s="21">
        <v>45870</v>
      </c>
      <c r="N43" s="10" t="s">
        <v>133</v>
      </c>
      <c r="O43" s="13"/>
      <c r="P43" s="73">
        <f t="shared" si="39"/>
        <v>19.839583763977117</v>
      </c>
      <c r="Q43" s="73">
        <f t="shared" si="39"/>
        <v>0</v>
      </c>
      <c r="R43" s="73">
        <f t="shared" si="39"/>
        <v>10.366448250228597</v>
      </c>
      <c r="S43" s="73">
        <f t="shared" si="39"/>
        <v>0</v>
      </c>
      <c r="T43" s="73">
        <f t="shared" si="39"/>
        <v>0</v>
      </c>
      <c r="U43" s="73">
        <f t="shared" si="39"/>
        <v>0</v>
      </c>
      <c r="V43" s="73">
        <f t="shared" si="39"/>
        <v>0</v>
      </c>
      <c r="W43" s="73">
        <f t="shared" si="39"/>
        <v>0</v>
      </c>
      <c r="X43" s="73">
        <f t="shared" si="39"/>
        <v>0</v>
      </c>
      <c r="Y43" s="73">
        <f t="shared" si="39"/>
        <v>0</v>
      </c>
      <c r="Z43" s="73">
        <f t="shared" si="39"/>
        <v>0</v>
      </c>
      <c r="AA43" s="73">
        <f t="shared" si="39"/>
        <v>0</v>
      </c>
      <c r="AB43" s="73">
        <f t="shared" si="39"/>
        <v>0</v>
      </c>
      <c r="AC43" s="73">
        <f t="shared" si="39"/>
        <v>0</v>
      </c>
      <c r="AD43" s="107"/>
      <c r="AG43" s="107"/>
      <c r="AL43" s="107"/>
      <c r="AM43" s="107"/>
      <c r="AN43" s="107"/>
      <c r="AO43" s="107"/>
      <c r="AP43" s="107"/>
      <c r="AQ43" s="107"/>
      <c r="AR43" s="107"/>
      <c r="AS43" s="107"/>
      <c r="AT43" s="107"/>
      <c r="AU43" s="107"/>
      <c r="AV43" s="107"/>
      <c r="AW43" s="107"/>
      <c r="AX43" s="107"/>
      <c r="AY43" s="107"/>
      <c r="AZ43" s="107"/>
      <c r="BA43" s="107"/>
      <c r="BB43" s="107"/>
      <c r="BC43" s="107"/>
      <c r="BD43" s="107"/>
      <c r="BE43" s="107"/>
      <c r="BF43" s="107"/>
      <c r="BG43" s="107"/>
      <c r="BH43" s="107"/>
      <c r="BI43" s="107"/>
      <c r="BJ43" s="107"/>
      <c r="BK43" s="107"/>
      <c r="BL43" s="107"/>
      <c r="BM43" s="107"/>
      <c r="BN43" s="107"/>
      <c r="BO43" s="107"/>
      <c r="BP43" s="107"/>
      <c r="BQ43" s="107"/>
      <c r="BR43" s="107"/>
      <c r="BS43" s="107"/>
      <c r="BT43" s="107"/>
      <c r="BU43" s="107"/>
      <c r="BV43" s="107"/>
      <c r="BW43" s="107"/>
      <c r="BX43" s="107"/>
      <c r="BY43" s="107"/>
      <c r="BZ43" s="107"/>
      <c r="CA43" s="107"/>
      <c r="CB43" s="107"/>
      <c r="CC43" s="107"/>
      <c r="CD43" s="107"/>
    </row>
    <row r="44" spans="1:96" ht="6.75" customHeight="1" x14ac:dyDescent="0.3">
      <c r="A44" s="67"/>
      <c r="B44" s="16"/>
      <c r="C44" s="13"/>
      <c r="D44" s="13"/>
      <c r="E44" s="13"/>
      <c r="F44" s="144"/>
      <c r="G44" s="13"/>
      <c r="H44" s="13"/>
      <c r="I44" s="13"/>
      <c r="J44" s="13"/>
      <c r="K44" s="13"/>
      <c r="L44" s="13"/>
      <c r="M44" s="13"/>
      <c r="N44" s="13"/>
      <c r="O44" s="13"/>
      <c r="P44" s="75"/>
      <c r="Q44" s="75"/>
      <c r="R44" s="75"/>
      <c r="S44" s="75"/>
      <c r="T44" s="75"/>
      <c r="U44" s="75"/>
      <c r="V44" s="76"/>
      <c r="W44" s="76"/>
      <c r="X44" s="76"/>
      <c r="Y44" s="76"/>
      <c r="Z44" s="76"/>
      <c r="AA44" s="76"/>
      <c r="AB44" s="76"/>
      <c r="AC44" s="76"/>
      <c r="AD44" s="76"/>
      <c r="AG44" s="76"/>
      <c r="AL44" s="76"/>
      <c r="AM44" s="76"/>
      <c r="AN44" s="76"/>
      <c r="AO44" s="76"/>
      <c r="AP44" s="76"/>
      <c r="AQ44" s="76"/>
      <c r="AR44" s="76"/>
      <c r="AS44" s="76"/>
      <c r="AT44" s="76"/>
      <c r="AU44" s="76"/>
      <c r="AV44" s="76"/>
      <c r="AW44" s="76"/>
      <c r="AX44" s="76"/>
      <c r="AY44" s="76"/>
      <c r="AZ44" s="76"/>
      <c r="BA44" s="76"/>
      <c r="BB44" s="76"/>
      <c r="BC44" s="76"/>
      <c r="BD44" s="76"/>
      <c r="BE44" s="76"/>
      <c r="BF44" s="76"/>
      <c r="BG44" s="76"/>
      <c r="BH44" s="76"/>
      <c r="BI44" s="76"/>
      <c r="BJ44" s="76"/>
      <c r="BK44" s="76"/>
      <c r="BL44" s="76"/>
      <c r="BM44" s="76"/>
      <c r="BN44" s="76"/>
      <c r="BO44" s="76"/>
      <c r="BP44" s="76"/>
      <c r="BQ44" s="76"/>
      <c r="BR44" s="76"/>
      <c r="BS44" s="76"/>
      <c r="BT44" s="76"/>
      <c r="BU44" s="76"/>
      <c r="BV44" s="76"/>
      <c r="BW44" s="76"/>
      <c r="BX44" s="76"/>
      <c r="BY44" s="76"/>
      <c r="BZ44" s="76"/>
      <c r="CA44" s="76"/>
      <c r="CB44" s="76"/>
      <c r="CC44" s="76"/>
      <c r="CD44" s="76"/>
    </row>
    <row r="45" spans="1:96" ht="29.25" customHeight="1" x14ac:dyDescent="0.3">
      <c r="B45" s="219" t="s">
        <v>48</v>
      </c>
      <c r="C45" s="220"/>
      <c r="D45" s="220"/>
      <c r="E45" s="99"/>
      <c r="F45" s="27">
        <f>+SUM($F$9,$F$15,$F$17,$F$34)</f>
        <v>704.08878214698825</v>
      </c>
      <c r="G45" s="178"/>
      <c r="H45" s="177"/>
      <c r="I45" s="26"/>
      <c r="J45" s="26"/>
      <c r="K45" s="26"/>
      <c r="L45" s="26"/>
      <c r="M45" s="26"/>
      <c r="N45" s="26"/>
      <c r="O45" s="26"/>
      <c r="P45" s="199">
        <f t="shared" ref="P45:AC45" si="40">+P34+P17+P15+P9</f>
        <v>42629.947316785379</v>
      </c>
      <c r="Q45" s="199">
        <f t="shared" si="40"/>
        <v>132.16979662288759</v>
      </c>
      <c r="R45" s="199">
        <f t="shared" si="40"/>
        <v>52471.76511541233</v>
      </c>
      <c r="S45" s="199">
        <f t="shared" si="40"/>
        <v>127.85515073334923</v>
      </c>
      <c r="T45" s="199">
        <f t="shared" si="40"/>
        <v>21508.421514320056</v>
      </c>
      <c r="U45" s="199">
        <f t="shared" si="40"/>
        <v>116.54703529642183</v>
      </c>
      <c r="V45" s="199">
        <f t="shared" si="40"/>
        <v>9832.0409610133393</v>
      </c>
      <c r="W45" s="199">
        <f t="shared" si="40"/>
        <v>110.09615702411222</v>
      </c>
      <c r="X45" s="199">
        <f t="shared" si="40"/>
        <v>1035.8269998430394</v>
      </c>
      <c r="Y45" s="199">
        <f t="shared" si="40"/>
        <v>103.9386238913666</v>
      </c>
      <c r="Z45" s="199">
        <f t="shared" si="40"/>
        <v>995.58043338443474</v>
      </c>
      <c r="AA45" s="199">
        <f t="shared" si="40"/>
        <v>58.70748390817181</v>
      </c>
      <c r="AB45" s="199">
        <f t="shared" si="40"/>
        <v>730.91341157012289</v>
      </c>
      <c r="AC45" s="199">
        <f t="shared" si="40"/>
        <v>14.951644312445957</v>
      </c>
      <c r="AD45" s="109"/>
      <c r="AG45" s="109"/>
      <c r="AL45" s="109"/>
      <c r="AM45" s="109"/>
      <c r="AN45" s="109"/>
      <c r="AO45" s="109"/>
      <c r="AP45" s="109"/>
      <c r="AQ45" s="109"/>
      <c r="AR45" s="109"/>
      <c r="AS45" s="109"/>
      <c r="AT45" s="109"/>
      <c r="AU45" s="109"/>
      <c r="AV45" s="109"/>
      <c r="AW45" s="109"/>
      <c r="AX45" s="109"/>
      <c r="AY45" s="109"/>
      <c r="AZ45" s="109"/>
      <c r="BA45" s="109"/>
      <c r="BB45" s="109"/>
      <c r="BC45" s="109"/>
      <c r="BD45" s="109"/>
      <c r="BE45" s="109"/>
      <c r="BF45" s="109"/>
      <c r="BG45" s="109"/>
      <c r="BH45" s="109"/>
      <c r="BI45" s="109"/>
      <c r="BJ45" s="109"/>
      <c r="BK45" s="109"/>
      <c r="BL45" s="109"/>
      <c r="BM45" s="109"/>
      <c r="BN45" s="109"/>
      <c r="BO45" s="109"/>
      <c r="BP45" s="109"/>
      <c r="BQ45" s="109"/>
      <c r="BR45" s="109"/>
      <c r="BS45" s="109"/>
      <c r="BT45" s="109"/>
      <c r="BU45" s="109"/>
      <c r="BV45" s="109"/>
      <c r="BW45" s="109"/>
      <c r="BX45" s="109"/>
      <c r="BY45" s="109"/>
      <c r="BZ45" s="109"/>
      <c r="CA45" s="109"/>
      <c r="CB45" s="109"/>
      <c r="CC45" s="109"/>
      <c r="CD45" s="109"/>
    </row>
    <row r="46" spans="1:96" x14ac:dyDescent="0.3">
      <c r="B46" s="28"/>
      <c r="C46" s="28"/>
      <c r="D46" s="28"/>
      <c r="E46" s="28"/>
      <c r="F46" s="118"/>
      <c r="G46" s="118"/>
      <c r="H46" s="28"/>
      <c r="I46" s="28"/>
      <c r="J46" s="28"/>
      <c r="K46" s="28"/>
      <c r="L46" s="28"/>
      <c r="M46" s="28"/>
      <c r="N46" s="28"/>
      <c r="O46" s="92"/>
      <c r="P46" s="91"/>
      <c r="Q46" s="91"/>
      <c r="R46" s="91"/>
      <c r="S46" s="91"/>
      <c r="T46" s="91"/>
      <c r="U46" s="91"/>
      <c r="V46" s="91"/>
      <c r="W46" s="91"/>
      <c r="X46" s="91"/>
      <c r="Y46" s="91"/>
      <c r="Z46" s="91"/>
      <c r="AA46" s="91"/>
      <c r="AB46" s="91"/>
      <c r="AC46" s="91"/>
      <c r="AD46" s="91"/>
      <c r="AE46" s="91"/>
      <c r="AF46" s="91"/>
      <c r="AG46" s="91"/>
      <c r="AH46" s="91"/>
      <c r="AI46" s="91"/>
      <c r="AJ46" s="91"/>
      <c r="AK46" s="91"/>
      <c r="AL46" s="91"/>
      <c r="AM46" s="91"/>
      <c r="AN46" s="91"/>
      <c r="AO46" s="91"/>
      <c r="AP46" s="91"/>
      <c r="AQ46" s="91"/>
      <c r="AR46" s="91"/>
      <c r="AS46" s="91"/>
      <c r="AT46" s="91"/>
      <c r="AU46" s="91"/>
      <c r="AV46" s="91"/>
      <c r="AW46" s="91"/>
      <c r="AX46" s="91"/>
      <c r="AY46" s="91"/>
      <c r="AZ46" s="91"/>
      <c r="BA46" s="91"/>
      <c r="BB46" s="91"/>
      <c r="BC46" s="91"/>
      <c r="BD46" s="91"/>
      <c r="BE46" s="91"/>
      <c r="BF46" s="91"/>
      <c r="BG46" s="91"/>
      <c r="BH46" s="91"/>
      <c r="BI46" s="91"/>
      <c r="BJ46" s="91"/>
      <c r="BK46" s="91"/>
      <c r="BL46" s="91"/>
      <c r="BM46" s="91"/>
      <c r="BN46" s="91"/>
      <c r="BO46" s="91"/>
      <c r="BP46" s="91"/>
      <c r="BQ46" s="91"/>
      <c r="BR46" s="91"/>
      <c r="BS46" s="91"/>
      <c r="BT46" s="91"/>
      <c r="BU46" s="91"/>
      <c r="BV46" s="91"/>
      <c r="BW46" s="91"/>
      <c r="BX46" s="91"/>
      <c r="BY46" s="91"/>
      <c r="BZ46" s="91"/>
      <c r="CA46" s="91"/>
      <c r="CB46" s="91"/>
      <c r="CC46" s="91"/>
      <c r="CD46" s="91"/>
      <c r="CE46" s="91"/>
      <c r="CF46" s="91"/>
      <c r="CG46" s="91"/>
      <c r="CH46" s="91"/>
      <c r="CI46" s="91"/>
      <c r="CJ46" s="91"/>
      <c r="CK46" s="91"/>
      <c r="CL46" s="91"/>
      <c r="CM46" s="91"/>
      <c r="CN46" s="91"/>
      <c r="CO46" s="91"/>
      <c r="CP46" s="91"/>
      <c r="CQ46" s="91"/>
      <c r="CR46" s="91"/>
    </row>
    <row r="47" spans="1:96" x14ac:dyDescent="0.3">
      <c r="B47" s="16"/>
      <c r="C47" s="13"/>
      <c r="D47" s="13"/>
      <c r="E47" s="17"/>
      <c r="F47" s="118"/>
      <c r="G47" s="28"/>
      <c r="H47" s="28"/>
      <c r="I47" s="28"/>
      <c r="J47" s="28"/>
      <c r="K47" s="28"/>
      <c r="L47" s="28"/>
      <c r="M47" s="28"/>
      <c r="N47" s="28"/>
      <c r="O47" s="28"/>
      <c r="P47" s="116"/>
      <c r="Q47" s="116"/>
      <c r="R47" s="116"/>
      <c r="S47" s="116"/>
      <c r="T47" s="116"/>
      <c r="U47" s="116"/>
      <c r="V47" s="116"/>
      <c r="W47" s="116"/>
      <c r="X47" s="116"/>
      <c r="Y47" s="116"/>
      <c r="Z47" s="116"/>
      <c r="AA47" s="116"/>
      <c r="AB47" s="116"/>
      <c r="AC47" s="116"/>
      <c r="AD47" s="116"/>
      <c r="AE47" s="116"/>
      <c r="AF47" s="32"/>
      <c r="AG47" s="32"/>
      <c r="AH47" s="32"/>
      <c r="AI47" s="32"/>
      <c r="AJ47" s="32"/>
      <c r="AK47" s="32"/>
      <c r="AL47" s="32"/>
      <c r="AM47" s="32"/>
      <c r="AN47" s="32"/>
      <c r="AO47" s="32"/>
      <c r="AP47" s="32"/>
      <c r="AQ47" s="32"/>
      <c r="AR47" s="32"/>
      <c r="AS47" s="32"/>
      <c r="AT47" s="32"/>
      <c r="AU47" s="32"/>
      <c r="AV47" s="32"/>
      <c r="AW47" s="32"/>
      <c r="AX47" s="32"/>
      <c r="AY47" s="32"/>
      <c r="AZ47" s="32"/>
      <c r="BA47" s="32"/>
      <c r="BB47" s="32"/>
      <c r="BC47" s="32"/>
      <c r="BD47" s="32"/>
      <c r="BE47" s="32"/>
      <c r="BF47" s="32"/>
      <c r="BG47" s="32"/>
      <c r="BH47" s="32"/>
      <c r="BI47" s="32"/>
      <c r="BJ47" s="32"/>
      <c r="BK47" s="32"/>
      <c r="BL47" s="32"/>
      <c r="BM47" s="32"/>
      <c r="BN47" s="32"/>
      <c r="BO47" s="32"/>
      <c r="BP47" s="32"/>
      <c r="BQ47" s="32"/>
      <c r="BR47" s="32"/>
      <c r="BS47" s="32"/>
      <c r="BT47" s="32"/>
      <c r="BU47" s="32"/>
      <c r="BV47" s="32"/>
      <c r="BW47" s="32"/>
      <c r="BX47" s="32"/>
      <c r="BY47" s="32"/>
      <c r="BZ47" s="32"/>
      <c r="CA47" s="32"/>
      <c r="CB47" s="32"/>
      <c r="CC47" s="32"/>
      <c r="CD47" s="32"/>
      <c r="CE47" s="32"/>
      <c r="CF47" s="32"/>
      <c r="CG47" s="32"/>
      <c r="CH47" s="32"/>
      <c r="CI47" s="32"/>
      <c r="CJ47" s="32"/>
      <c r="CK47" s="32"/>
      <c r="CL47" s="32"/>
      <c r="CM47" s="32"/>
      <c r="CN47" s="32"/>
      <c r="CO47" s="32"/>
      <c r="CP47" s="32"/>
      <c r="CQ47" s="32"/>
      <c r="CR47" s="32"/>
    </row>
    <row r="48" spans="1:96" x14ac:dyDescent="0.3">
      <c r="B48" s="225" t="s">
        <v>245</v>
      </c>
      <c r="C48" s="225"/>
      <c r="D48" s="225"/>
      <c r="E48" s="225"/>
      <c r="F48" s="225"/>
      <c r="G48" s="225"/>
      <c r="H48" s="225"/>
      <c r="I48" s="225"/>
      <c r="J48" s="225"/>
      <c r="K48" s="225"/>
      <c r="L48" s="225"/>
      <c r="M48" s="225"/>
      <c r="N48" s="225"/>
      <c r="O48" s="28"/>
      <c r="P48" s="32"/>
      <c r="Q48" s="32"/>
      <c r="R48" s="32"/>
      <c r="S48" s="32"/>
      <c r="T48" s="32"/>
      <c r="U48" s="32"/>
      <c r="V48" s="32"/>
      <c r="W48" s="32"/>
      <c r="X48" s="32"/>
      <c r="Y48" s="32"/>
      <c r="Z48" s="32"/>
      <c r="AA48" s="32"/>
      <c r="AB48" s="32"/>
      <c r="AC48" s="32"/>
      <c r="AD48" s="32"/>
      <c r="AE48" s="32"/>
      <c r="AF48" s="32"/>
      <c r="AG48" s="32"/>
      <c r="AH48" s="32"/>
      <c r="AI48" s="32"/>
      <c r="AJ48" s="32"/>
      <c r="AK48" s="32"/>
      <c r="AL48" s="32"/>
      <c r="AM48" s="32"/>
      <c r="AN48" s="32"/>
      <c r="AO48" s="32"/>
      <c r="AP48" s="32"/>
      <c r="AQ48" s="32"/>
      <c r="AR48" s="32"/>
      <c r="AS48" s="32"/>
      <c r="AT48" s="32"/>
      <c r="AU48" s="32"/>
      <c r="AV48" s="32"/>
      <c r="AW48" s="32"/>
      <c r="AX48" s="32"/>
      <c r="AY48" s="32"/>
      <c r="AZ48" s="32"/>
      <c r="BA48" s="32"/>
      <c r="BB48" s="32"/>
      <c r="BC48" s="32"/>
      <c r="BD48" s="32"/>
      <c r="BE48" s="32"/>
      <c r="BF48" s="32"/>
      <c r="BG48" s="32"/>
      <c r="BH48" s="32"/>
      <c r="BI48" s="32"/>
      <c r="BJ48" s="32"/>
      <c r="BK48" s="32"/>
      <c r="BL48" s="32"/>
      <c r="BM48" s="32"/>
      <c r="BN48" s="32"/>
      <c r="BO48" s="32"/>
      <c r="BP48" s="32"/>
      <c r="BQ48" s="32"/>
      <c r="BR48" s="32"/>
      <c r="BS48" s="32"/>
      <c r="BT48" s="32"/>
      <c r="BU48" s="32"/>
      <c r="BV48" s="32"/>
      <c r="BW48" s="32"/>
      <c r="BX48" s="32"/>
      <c r="BY48" s="32"/>
      <c r="BZ48" s="32"/>
      <c r="CA48" s="32"/>
      <c r="CB48" s="32"/>
      <c r="CC48" s="32"/>
      <c r="CD48" s="32"/>
      <c r="CE48" s="32"/>
      <c r="CF48" s="32"/>
      <c r="CG48" s="32"/>
      <c r="CH48" s="32"/>
      <c r="CI48" s="32"/>
      <c r="CJ48" s="32"/>
      <c r="CK48" s="32"/>
      <c r="CL48" s="32"/>
      <c r="CM48" s="32"/>
      <c r="CN48" s="32"/>
      <c r="CO48" s="32"/>
      <c r="CP48" s="32"/>
      <c r="CQ48" s="32"/>
      <c r="CR48" s="32"/>
    </row>
    <row r="49" spans="1:96" x14ac:dyDescent="0.3">
      <c r="B49" s="225" t="s">
        <v>247</v>
      </c>
      <c r="C49" s="225"/>
      <c r="D49" s="225"/>
      <c r="E49" s="225"/>
      <c r="F49" s="225"/>
      <c r="G49" s="225"/>
      <c r="H49" s="225"/>
      <c r="I49" s="225"/>
      <c r="J49" s="225"/>
      <c r="K49" s="225"/>
      <c r="L49" s="225"/>
      <c r="M49" s="225"/>
      <c r="N49" s="225"/>
      <c r="O49" s="28"/>
      <c r="P49" s="32"/>
      <c r="Q49" s="32"/>
      <c r="R49" s="32"/>
      <c r="S49" s="32"/>
      <c r="T49" s="32"/>
      <c r="U49" s="32"/>
      <c r="V49" s="32"/>
      <c r="W49" s="32"/>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32"/>
      <c r="AY49" s="32"/>
      <c r="AZ49" s="32"/>
      <c r="BA49" s="32"/>
      <c r="BB49" s="32"/>
      <c r="BC49" s="32"/>
      <c r="BD49" s="32"/>
      <c r="BE49" s="32"/>
      <c r="BF49" s="32"/>
      <c r="BG49" s="32"/>
      <c r="BH49" s="32"/>
      <c r="BI49" s="32"/>
      <c r="BJ49" s="32"/>
      <c r="BK49" s="32"/>
      <c r="BL49" s="32"/>
      <c r="BM49" s="32"/>
      <c r="BN49" s="32"/>
      <c r="BO49" s="32"/>
      <c r="BP49" s="32"/>
      <c r="BQ49" s="32"/>
      <c r="BR49" s="32"/>
      <c r="BS49" s="32"/>
      <c r="BT49" s="32"/>
      <c r="BU49" s="32"/>
      <c r="BV49" s="32"/>
      <c r="BW49" s="32"/>
      <c r="BX49" s="32"/>
      <c r="BY49" s="32"/>
      <c r="BZ49" s="32"/>
      <c r="CA49" s="32"/>
      <c r="CB49" s="32"/>
      <c r="CC49" s="32"/>
      <c r="CD49" s="32"/>
      <c r="CE49" s="32"/>
      <c r="CF49" s="32"/>
      <c r="CG49" s="32"/>
      <c r="CH49" s="32"/>
      <c r="CI49" s="32"/>
      <c r="CJ49" s="32"/>
      <c r="CK49" s="32"/>
      <c r="CL49" s="32"/>
      <c r="CM49" s="32"/>
      <c r="CN49" s="32"/>
      <c r="CO49" s="32"/>
      <c r="CP49" s="32"/>
      <c r="CQ49" s="32"/>
      <c r="CR49" s="32"/>
    </row>
    <row r="50" spans="1:96" x14ac:dyDescent="0.3">
      <c r="B50" s="225" t="s">
        <v>248</v>
      </c>
      <c r="C50" s="225"/>
      <c r="D50" s="225"/>
      <c r="E50" s="225"/>
      <c r="F50" s="225"/>
      <c r="G50" s="225"/>
      <c r="H50" s="225"/>
      <c r="I50" s="225"/>
      <c r="J50" s="225"/>
      <c r="K50" s="225"/>
      <c r="L50" s="225"/>
      <c r="M50" s="225"/>
      <c r="N50" s="225"/>
      <c r="O50" s="28"/>
      <c r="P50" s="32"/>
      <c r="Q50" s="32"/>
      <c r="R50" s="32"/>
      <c r="S50" s="32"/>
      <c r="T50" s="32"/>
      <c r="U50" s="32"/>
      <c r="V50" s="32"/>
      <c r="W50" s="32"/>
      <c r="X50" s="32"/>
      <c r="Y50" s="32"/>
      <c r="Z50" s="32"/>
      <c r="AA50" s="32"/>
      <c r="AB50" s="32"/>
      <c r="AC50" s="32"/>
      <c r="AD50" s="32"/>
      <c r="AE50" s="32"/>
      <c r="AF50" s="32"/>
      <c r="AG50" s="32"/>
      <c r="AH50" s="32"/>
      <c r="AI50" s="32"/>
      <c r="AJ50" s="32"/>
      <c r="AK50" s="32"/>
      <c r="AL50" s="32"/>
      <c r="AM50" s="32"/>
      <c r="AN50" s="32"/>
      <c r="AO50" s="32"/>
      <c r="AP50" s="32"/>
      <c r="AQ50" s="32"/>
      <c r="AR50" s="32"/>
      <c r="AS50" s="32"/>
      <c r="AT50" s="32"/>
      <c r="AU50" s="32"/>
      <c r="AV50" s="32"/>
      <c r="AW50" s="32"/>
      <c r="AX50" s="32"/>
      <c r="AY50" s="32"/>
      <c r="AZ50" s="32"/>
      <c r="BA50" s="32"/>
      <c r="BB50" s="32"/>
      <c r="BC50" s="32"/>
      <c r="BD50" s="32"/>
      <c r="BE50" s="32"/>
      <c r="BF50" s="32"/>
      <c r="BG50" s="32"/>
      <c r="BH50" s="32"/>
      <c r="BI50" s="32"/>
      <c r="BJ50" s="32"/>
      <c r="BK50" s="32"/>
      <c r="BL50" s="32"/>
      <c r="BM50" s="32"/>
      <c r="BN50" s="32"/>
      <c r="BO50" s="32"/>
      <c r="BP50" s="32"/>
      <c r="BQ50" s="32"/>
      <c r="BR50" s="32"/>
      <c r="BS50" s="32"/>
      <c r="BT50" s="32"/>
      <c r="BU50" s="32"/>
      <c r="BV50" s="32"/>
      <c r="BW50" s="32"/>
      <c r="BX50" s="32"/>
      <c r="BY50" s="32"/>
      <c r="BZ50" s="32"/>
      <c r="CA50" s="32"/>
      <c r="CB50" s="32"/>
      <c r="CC50" s="32"/>
      <c r="CD50" s="32"/>
      <c r="CE50" s="32"/>
      <c r="CF50" s="32"/>
      <c r="CG50" s="32"/>
      <c r="CH50" s="32"/>
      <c r="CI50" s="32"/>
      <c r="CJ50" s="32"/>
      <c r="CK50" s="32"/>
      <c r="CL50" s="32"/>
      <c r="CM50" s="32"/>
      <c r="CN50" s="32"/>
      <c r="CO50" s="32"/>
      <c r="CP50" s="32"/>
      <c r="CQ50" s="32"/>
      <c r="CR50" s="32"/>
    </row>
    <row r="51" spans="1:96" x14ac:dyDescent="0.3">
      <c r="B51" s="28"/>
      <c r="C51" s="28"/>
      <c r="D51" s="28"/>
      <c r="E51" s="28"/>
      <c r="F51" s="118"/>
      <c r="G51" s="28"/>
      <c r="H51" s="28"/>
      <c r="I51" s="28"/>
      <c r="J51" s="28"/>
      <c r="K51" s="28"/>
      <c r="L51" s="28"/>
      <c r="M51" s="28"/>
      <c r="N51" s="28"/>
      <c r="O51" s="28"/>
      <c r="P51" s="32"/>
      <c r="Q51" s="32"/>
      <c r="R51" s="32"/>
      <c r="S51" s="32"/>
      <c r="T51" s="32"/>
      <c r="U51" s="32"/>
      <c r="V51" s="32"/>
      <c r="W51" s="32"/>
      <c r="X51" s="32"/>
      <c r="Y51" s="32"/>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32"/>
      <c r="AY51" s="32"/>
      <c r="AZ51" s="32"/>
      <c r="BA51" s="32"/>
      <c r="BB51" s="32"/>
      <c r="BC51" s="32"/>
      <c r="BD51" s="32"/>
      <c r="BE51" s="32"/>
      <c r="BF51" s="32"/>
      <c r="BG51" s="32"/>
      <c r="BH51" s="32"/>
      <c r="BI51" s="32"/>
      <c r="BJ51" s="32"/>
      <c r="BK51" s="32"/>
      <c r="BL51" s="32"/>
      <c r="BM51" s="32"/>
      <c r="BN51" s="32"/>
      <c r="BO51" s="32"/>
      <c r="BP51" s="32"/>
      <c r="BQ51" s="32"/>
      <c r="BR51" s="32"/>
      <c r="BS51" s="32"/>
      <c r="BT51" s="32"/>
      <c r="BU51" s="32"/>
      <c r="BV51" s="32"/>
      <c r="BW51" s="32"/>
      <c r="BX51" s="32"/>
      <c r="BY51" s="32"/>
      <c r="BZ51" s="32"/>
      <c r="CA51" s="32"/>
      <c r="CB51" s="32"/>
      <c r="CC51" s="32"/>
      <c r="CD51" s="32"/>
      <c r="CE51" s="32"/>
      <c r="CF51" s="32"/>
      <c r="CG51" s="32"/>
      <c r="CH51" s="32"/>
      <c r="CI51" s="32"/>
      <c r="CJ51" s="32"/>
      <c r="CK51" s="32"/>
      <c r="CL51" s="32"/>
      <c r="CM51" s="32"/>
      <c r="CN51" s="32"/>
      <c r="CO51" s="32"/>
      <c r="CP51" s="32"/>
      <c r="CQ51" s="32"/>
      <c r="CR51" s="32"/>
    </row>
    <row r="52" spans="1:96" x14ac:dyDescent="0.3">
      <c r="B52" s="194" t="s">
        <v>50</v>
      </c>
      <c r="C52" s="65">
        <v>857.41669999999999</v>
      </c>
      <c r="D52" s="28"/>
      <c r="E52" s="28"/>
      <c r="F52" s="118"/>
      <c r="G52" s="28"/>
      <c r="H52" s="28"/>
      <c r="I52" s="28"/>
      <c r="J52" s="28"/>
      <c r="K52" s="28"/>
      <c r="L52" s="28"/>
      <c r="M52" s="28"/>
      <c r="N52" s="28"/>
      <c r="O52" s="28"/>
      <c r="P52" s="28"/>
      <c r="Q52" s="28"/>
      <c r="R52" s="28"/>
      <c r="S52" s="28"/>
      <c r="T52" s="28"/>
      <c r="U52" s="28"/>
      <c r="V52" s="28"/>
      <c r="W52" s="28"/>
      <c r="X52" s="28"/>
      <c r="Y52" s="28"/>
      <c r="Z52" s="28"/>
    </row>
    <row r="53" spans="1:96" x14ac:dyDescent="0.3">
      <c r="B53" s="194" t="s">
        <v>49</v>
      </c>
      <c r="C53" s="66">
        <v>0.70874999999999999</v>
      </c>
      <c r="D53" s="28"/>
      <c r="E53" s="60"/>
      <c r="F53" s="118"/>
      <c r="G53" s="28"/>
      <c r="H53" s="28"/>
      <c r="I53" s="28"/>
      <c r="J53" s="28"/>
      <c r="K53" s="28"/>
      <c r="L53" s="28"/>
      <c r="M53" s="28"/>
      <c r="N53" s="28"/>
      <c r="O53" s="28"/>
      <c r="P53" s="28"/>
      <c r="Q53" s="28"/>
      <c r="R53" s="28"/>
      <c r="S53" s="28"/>
      <c r="T53" s="28"/>
      <c r="U53" s="28"/>
      <c r="V53" s="28"/>
      <c r="W53" s="28"/>
      <c r="X53" s="28"/>
      <c r="Y53" s="28"/>
      <c r="Z53" s="28"/>
    </row>
    <row r="54" spans="1:96" x14ac:dyDescent="0.3">
      <c r="B54" s="194" t="s">
        <v>190</v>
      </c>
      <c r="C54" s="65">
        <v>311.28657217089608</v>
      </c>
      <c r="D54" s="28"/>
      <c r="E54" s="28"/>
      <c r="G54" s="28"/>
      <c r="H54" s="28"/>
      <c r="I54" s="28"/>
      <c r="J54" s="28"/>
      <c r="K54" s="28"/>
      <c r="L54" s="28"/>
      <c r="M54" s="28"/>
      <c r="N54" s="28"/>
      <c r="O54" s="28"/>
      <c r="P54" s="28"/>
      <c r="Q54" s="28"/>
      <c r="R54" s="28"/>
      <c r="S54" s="28"/>
      <c r="T54" s="28"/>
      <c r="U54" s="28"/>
      <c r="V54" s="28"/>
      <c r="W54" s="28"/>
      <c r="X54" s="28"/>
      <c r="Y54" s="28"/>
      <c r="Z54" s="28"/>
    </row>
    <row r="55" spans="1:96" x14ac:dyDescent="0.3">
      <c r="D55" s="28"/>
      <c r="Q55" s="20"/>
      <c r="R55" s="20"/>
      <c r="S55" s="20"/>
      <c r="T55" s="20"/>
      <c r="U55" s="20"/>
      <c r="V55" s="20"/>
      <c r="W55" s="20"/>
      <c r="X55" s="20"/>
      <c r="Y55" s="20"/>
      <c r="Z55" s="20"/>
      <c r="AA55" s="20"/>
      <c r="AB55" s="20"/>
      <c r="AC55" s="20"/>
      <c r="AD55" s="20"/>
      <c r="AE55" s="20"/>
      <c r="AF55" s="20"/>
      <c r="AG55" s="20"/>
      <c r="AH55" s="20"/>
      <c r="AI55" s="20"/>
      <c r="AJ55" s="20"/>
      <c r="AK55" s="20"/>
    </row>
    <row r="57" spans="1:96" ht="20.25" x14ac:dyDescent="0.3">
      <c r="B57" s="218" t="s">
        <v>42</v>
      </c>
      <c r="C57" s="218"/>
      <c r="D57" s="218"/>
      <c r="E57" s="218"/>
      <c r="F57" s="218"/>
      <c r="G57" s="218"/>
      <c r="H57" s="218"/>
      <c r="I57" s="218"/>
      <c r="J57" s="218"/>
      <c r="K57" s="218"/>
      <c r="L57" s="218"/>
      <c r="M57" s="218"/>
      <c r="N57" s="218"/>
      <c r="O57" s="218"/>
      <c r="P57" s="218"/>
      <c r="Q57" s="218"/>
      <c r="R57" s="218"/>
      <c r="S57" s="218"/>
      <c r="T57" s="218"/>
      <c r="U57" s="218"/>
    </row>
    <row r="58" spans="1:96" ht="17.25" x14ac:dyDescent="0.3">
      <c r="B58" s="181" t="s">
        <v>46</v>
      </c>
      <c r="C58" s="2"/>
      <c r="D58" s="2"/>
      <c r="E58" s="2"/>
      <c r="F58" s="143"/>
      <c r="G58" s="2"/>
      <c r="H58" s="2"/>
      <c r="I58" s="2"/>
      <c r="J58" s="2"/>
      <c r="K58" s="2"/>
      <c r="L58" s="2"/>
      <c r="M58" s="2"/>
      <c r="N58" s="2"/>
      <c r="O58" s="2"/>
      <c r="P58" s="2"/>
      <c r="Q58" s="2"/>
      <c r="R58" s="2"/>
      <c r="S58" s="2"/>
      <c r="T58" s="2"/>
      <c r="U58" s="2"/>
    </row>
    <row r="59" spans="1:96" x14ac:dyDescent="0.3">
      <c r="G59" s="145"/>
      <c r="H59" s="145"/>
      <c r="I59" s="145"/>
      <c r="J59" s="145"/>
      <c r="K59" s="145"/>
      <c r="L59" s="145"/>
      <c r="M59" s="145"/>
      <c r="N59" s="145"/>
      <c r="O59" s="145"/>
      <c r="P59" s="145"/>
      <c r="Q59" s="145"/>
      <c r="R59" s="145"/>
      <c r="S59" s="145"/>
    </row>
    <row r="60" spans="1:96" ht="32.25" customHeight="1" x14ac:dyDescent="0.3">
      <c r="F60" s="195">
        <v>2024</v>
      </c>
      <c r="G60" s="195">
        <v>2024</v>
      </c>
      <c r="H60" s="195">
        <v>2025</v>
      </c>
      <c r="I60" s="195">
        <v>2025</v>
      </c>
      <c r="J60" s="195">
        <v>2026</v>
      </c>
      <c r="K60" s="195">
        <v>2026</v>
      </c>
      <c r="L60" s="195">
        <v>2027</v>
      </c>
      <c r="M60" s="195">
        <v>2027</v>
      </c>
      <c r="N60" s="195">
        <v>2028</v>
      </c>
      <c r="O60" s="195">
        <v>2028</v>
      </c>
      <c r="P60" s="195">
        <v>2029</v>
      </c>
      <c r="Q60" s="195">
        <v>2029</v>
      </c>
      <c r="R60" s="196" t="s">
        <v>173</v>
      </c>
      <c r="S60" s="196" t="s">
        <v>173</v>
      </c>
      <c r="T60" s="110"/>
      <c r="AA60" s="111"/>
      <c r="AB60" s="110"/>
      <c r="AC60" s="110"/>
      <c r="AD60" s="110"/>
      <c r="AE60" s="110"/>
      <c r="AF60" s="110"/>
      <c r="AG60" s="110"/>
      <c r="AH60" s="110"/>
      <c r="AI60" s="110"/>
      <c r="AJ60" s="110"/>
      <c r="AK60" s="110"/>
      <c r="AL60" s="110"/>
      <c r="AM60" s="110"/>
      <c r="AN60" s="110"/>
      <c r="AO60" s="110"/>
      <c r="AP60" s="110"/>
      <c r="AQ60" s="110"/>
      <c r="AR60" s="110"/>
      <c r="AS60" s="110"/>
      <c r="AT60" s="110"/>
      <c r="AU60" s="110"/>
      <c r="AV60" s="110"/>
      <c r="AW60" s="110"/>
      <c r="AX60" s="110"/>
      <c r="AY60" s="110"/>
      <c r="AZ60" s="110"/>
      <c r="BA60" s="110"/>
      <c r="BB60" s="110"/>
      <c r="BC60" s="110"/>
      <c r="BD60" s="110"/>
      <c r="BE60" s="110"/>
      <c r="BF60" s="110"/>
      <c r="BG60" s="110"/>
      <c r="BH60" s="110"/>
      <c r="BI60" s="110"/>
      <c r="BJ60" s="110"/>
      <c r="BK60" s="110"/>
      <c r="BL60" s="110"/>
      <c r="BM60" s="110"/>
      <c r="BN60" s="110"/>
      <c r="BO60" s="110"/>
      <c r="BP60" s="110"/>
      <c r="BQ60" s="110"/>
      <c r="BR60" s="110"/>
      <c r="BS60" s="110"/>
      <c r="BT60" s="110"/>
    </row>
    <row r="61" spans="1:96" ht="33.75" customHeight="1" x14ac:dyDescent="0.3">
      <c r="B61" s="182" t="s">
        <v>0</v>
      </c>
      <c r="C61" s="182" t="s">
        <v>1</v>
      </c>
      <c r="D61" s="183" t="s">
        <v>132</v>
      </c>
      <c r="E61" s="183" t="s">
        <v>95</v>
      </c>
      <c r="F61" s="182" t="s">
        <v>2</v>
      </c>
      <c r="G61" s="197" t="s">
        <v>99</v>
      </c>
      <c r="H61" s="182" t="s">
        <v>2</v>
      </c>
      <c r="I61" s="197" t="s">
        <v>99</v>
      </c>
      <c r="J61" s="182" t="s">
        <v>2</v>
      </c>
      <c r="K61" s="197" t="s">
        <v>99</v>
      </c>
      <c r="L61" s="182" t="s">
        <v>2</v>
      </c>
      <c r="M61" s="197" t="s">
        <v>99</v>
      </c>
      <c r="N61" s="182" t="s">
        <v>2</v>
      </c>
      <c r="O61" s="197" t="s">
        <v>99</v>
      </c>
      <c r="P61" s="182" t="s">
        <v>2</v>
      </c>
      <c r="Q61" s="197" t="s">
        <v>99</v>
      </c>
      <c r="R61" s="182" t="s">
        <v>2</v>
      </c>
      <c r="S61" s="182" t="s">
        <v>99</v>
      </c>
      <c r="T61" s="23"/>
      <c r="AA61" s="23"/>
      <c r="AB61" s="23"/>
      <c r="AC61" s="23"/>
      <c r="AD61" s="23"/>
      <c r="AE61" s="23"/>
      <c r="AF61" s="23"/>
      <c r="AG61" s="23"/>
      <c r="AH61" s="23"/>
      <c r="AI61" s="23"/>
      <c r="AJ61" s="23"/>
      <c r="AK61" s="23"/>
      <c r="AL61" s="23"/>
      <c r="AM61" s="23"/>
      <c r="AN61" s="23"/>
      <c r="AO61" s="23"/>
      <c r="AP61" s="23"/>
      <c r="AQ61" s="23"/>
      <c r="AR61" s="23"/>
      <c r="AS61" s="23"/>
      <c r="AT61" s="23"/>
      <c r="AU61" s="23"/>
      <c r="AV61" s="23"/>
      <c r="AW61" s="23"/>
      <c r="AX61" s="23"/>
      <c r="AY61" s="23"/>
      <c r="AZ61" s="23"/>
      <c r="BA61" s="23"/>
      <c r="BB61" s="23"/>
      <c r="BC61" s="23"/>
      <c r="BD61" s="23"/>
      <c r="BE61" s="23"/>
      <c r="BF61" s="23"/>
      <c r="BG61" s="23"/>
      <c r="BH61" s="23"/>
      <c r="BI61" s="23"/>
      <c r="BJ61" s="23"/>
      <c r="BK61" s="23"/>
      <c r="BL61" s="23"/>
      <c r="BM61" s="23"/>
      <c r="BN61" s="23"/>
      <c r="BO61" s="23"/>
      <c r="BP61" s="23"/>
      <c r="BQ61" s="23"/>
      <c r="BR61" s="23"/>
      <c r="BS61" s="23"/>
      <c r="BT61" s="23"/>
    </row>
    <row r="62" spans="1:96" ht="27.95" customHeight="1" x14ac:dyDescent="0.3">
      <c r="B62" s="185" t="s">
        <v>89</v>
      </c>
      <c r="C62" s="185"/>
      <c r="D62" s="185"/>
      <c r="E62" s="185"/>
      <c r="F62" s="198">
        <f t="shared" ref="F62:S62" si="41">+SUM(F63:F67)</f>
        <v>1385.6894104056969</v>
      </c>
      <c r="G62" s="198">
        <f t="shared" si="41"/>
        <v>0</v>
      </c>
      <c r="H62" s="198">
        <f t="shared" si="41"/>
        <v>236.95360536204134</v>
      </c>
      <c r="I62" s="198">
        <f t="shared" si="41"/>
        <v>0</v>
      </c>
      <c r="J62" s="198">
        <f t="shared" si="41"/>
        <v>104.79805855624609</v>
      </c>
      <c r="K62" s="198">
        <f t="shared" si="41"/>
        <v>0</v>
      </c>
      <c r="L62" s="198">
        <f t="shared" si="41"/>
        <v>61.406876491469063</v>
      </c>
      <c r="M62" s="198">
        <f t="shared" si="41"/>
        <v>0</v>
      </c>
      <c r="N62" s="198">
        <f t="shared" si="41"/>
        <v>61.406876491469063</v>
      </c>
      <c r="O62" s="198">
        <f t="shared" si="41"/>
        <v>0</v>
      </c>
      <c r="P62" s="198">
        <f t="shared" si="41"/>
        <v>61.406876491469063</v>
      </c>
      <c r="Q62" s="198">
        <f t="shared" si="41"/>
        <v>0</v>
      </c>
      <c r="R62" s="198">
        <f t="shared" si="41"/>
        <v>58.848256637657848</v>
      </c>
      <c r="S62" s="198">
        <f t="shared" si="41"/>
        <v>0</v>
      </c>
      <c r="T62" s="112"/>
      <c r="AA62" s="112"/>
      <c r="AB62" s="112"/>
      <c r="AC62" s="112"/>
      <c r="AD62" s="112"/>
      <c r="AE62" s="112"/>
      <c r="AF62" s="112"/>
      <c r="AG62" s="112"/>
      <c r="AH62" s="112"/>
      <c r="AI62" s="112"/>
      <c r="AJ62" s="112"/>
      <c r="AK62" s="112"/>
      <c r="AL62" s="112"/>
      <c r="AM62" s="112"/>
      <c r="AN62" s="112"/>
      <c r="AO62" s="112"/>
      <c r="AP62" s="112"/>
      <c r="AQ62" s="112"/>
      <c r="AR62" s="112"/>
      <c r="AS62" s="112"/>
      <c r="AT62" s="112"/>
      <c r="AU62" s="112"/>
      <c r="AV62" s="112"/>
      <c r="AW62" s="112"/>
      <c r="AX62" s="112"/>
      <c r="AY62" s="112"/>
      <c r="AZ62" s="112"/>
      <c r="BA62" s="112"/>
      <c r="BB62" s="112"/>
      <c r="BC62" s="112"/>
      <c r="BD62" s="112"/>
      <c r="BE62" s="112"/>
      <c r="BF62" s="112"/>
      <c r="BG62" s="112"/>
      <c r="BH62" s="112"/>
      <c r="BI62" s="112"/>
      <c r="BJ62" s="112"/>
      <c r="BK62" s="112"/>
      <c r="BL62" s="112"/>
      <c r="BM62" s="112"/>
      <c r="BN62" s="112"/>
      <c r="BO62" s="112"/>
      <c r="BP62" s="112"/>
      <c r="BQ62" s="112"/>
      <c r="BR62" s="112"/>
      <c r="BS62" s="112"/>
      <c r="BT62" s="112"/>
    </row>
    <row r="63" spans="1:96" ht="27.95" customHeight="1" x14ac:dyDescent="0.3">
      <c r="A63" s="67"/>
      <c r="B63" s="9" t="s">
        <v>3</v>
      </c>
      <c r="C63" s="9" t="s">
        <v>4</v>
      </c>
      <c r="D63" s="9" t="s">
        <v>2</v>
      </c>
      <c r="E63" s="9" t="s">
        <v>89</v>
      </c>
      <c r="F63" s="74">
        <v>1201.3540269160526</v>
      </c>
      <c r="G63" s="74">
        <v>0</v>
      </c>
      <c r="H63" s="74">
        <v>0</v>
      </c>
      <c r="I63" s="74">
        <v>0</v>
      </c>
      <c r="J63" s="74">
        <v>0</v>
      </c>
      <c r="K63" s="74">
        <v>0</v>
      </c>
      <c r="L63" s="74">
        <v>0</v>
      </c>
      <c r="M63" s="74">
        <v>0</v>
      </c>
      <c r="N63" s="74">
        <v>0</v>
      </c>
      <c r="O63" s="74">
        <v>0</v>
      </c>
      <c r="P63" s="74">
        <v>0</v>
      </c>
      <c r="Q63" s="74">
        <v>0</v>
      </c>
      <c r="R63" s="74">
        <v>0</v>
      </c>
      <c r="S63" s="74">
        <v>0</v>
      </c>
      <c r="T63" s="77"/>
      <c r="AA63" s="77"/>
      <c r="AB63" s="77"/>
      <c r="AC63" s="77"/>
      <c r="AD63" s="77"/>
      <c r="AE63" s="77"/>
      <c r="AF63" s="77"/>
      <c r="AG63" s="77"/>
      <c r="AH63" s="77"/>
      <c r="AI63" s="77"/>
      <c r="AJ63" s="77"/>
      <c r="AK63" s="77"/>
      <c r="AL63" s="77"/>
      <c r="AM63" s="77"/>
      <c r="AN63" s="77"/>
      <c r="AO63" s="77"/>
      <c r="AP63" s="77"/>
      <c r="AQ63" s="77"/>
      <c r="AR63" s="77"/>
      <c r="AS63" s="77"/>
      <c r="AT63" s="77"/>
      <c r="AU63" s="77"/>
      <c r="AV63" s="77"/>
      <c r="AW63" s="77"/>
      <c r="AX63" s="77"/>
      <c r="AY63" s="77"/>
      <c r="AZ63" s="77"/>
      <c r="BA63" s="77"/>
      <c r="BB63" s="77"/>
      <c r="BC63" s="77"/>
      <c r="BD63" s="77"/>
      <c r="BE63" s="77"/>
      <c r="BF63" s="77"/>
      <c r="BG63" s="77"/>
      <c r="BH63" s="77"/>
      <c r="BI63" s="77"/>
      <c r="BJ63" s="77"/>
      <c r="BK63" s="77"/>
      <c r="BL63" s="77"/>
      <c r="BM63" s="77"/>
      <c r="BN63" s="77"/>
      <c r="BO63" s="77"/>
      <c r="BP63" s="77"/>
      <c r="BQ63" s="77"/>
      <c r="BR63" s="77"/>
      <c r="BS63" s="77"/>
      <c r="BT63" s="77"/>
    </row>
    <row r="64" spans="1:96" ht="27.95" customHeight="1" x14ac:dyDescent="0.3">
      <c r="A64" s="67"/>
      <c r="B64" s="9" t="s">
        <v>192</v>
      </c>
      <c r="C64" s="9" t="s">
        <v>243</v>
      </c>
      <c r="D64" s="9" t="str">
        <f>+VLOOKUP($C64,$C$10:$D$43,2,FALSE)</f>
        <v>Pesos</v>
      </c>
      <c r="E64" s="9" t="s">
        <v>89</v>
      </c>
      <c r="F64" s="74">
        <v>15.351719122867264</v>
      </c>
      <c r="G64" s="74">
        <v>0</v>
      </c>
      <c r="H64" s="74">
        <v>61.406876491469063</v>
      </c>
      <c r="I64" s="74">
        <v>0</v>
      </c>
      <c r="J64" s="74">
        <v>61.406876491469063</v>
      </c>
      <c r="K64" s="74">
        <v>0</v>
      </c>
      <c r="L64" s="74">
        <v>61.406876491469063</v>
      </c>
      <c r="M64" s="74">
        <v>0</v>
      </c>
      <c r="N64" s="74">
        <v>61.406876491469063</v>
      </c>
      <c r="O64" s="74">
        <v>0</v>
      </c>
      <c r="P64" s="74">
        <v>61.406876491469063</v>
      </c>
      <c r="Q64" s="74">
        <v>0</v>
      </c>
      <c r="R64" s="74">
        <v>58.848256637657848</v>
      </c>
      <c r="S64" s="74">
        <v>0</v>
      </c>
      <c r="T64" s="77"/>
      <c r="AA64" s="77"/>
      <c r="AB64" s="77"/>
      <c r="AC64" s="77"/>
      <c r="AD64" s="77"/>
      <c r="AE64" s="77"/>
      <c r="AF64" s="77"/>
      <c r="AG64" s="77"/>
      <c r="AH64" s="77"/>
      <c r="AI64" s="77"/>
      <c r="AJ64" s="77"/>
      <c r="AK64" s="77"/>
      <c r="AL64" s="77"/>
      <c r="AM64" s="77"/>
      <c r="AN64" s="77"/>
      <c r="AO64" s="77"/>
      <c r="AP64" s="77"/>
      <c r="AQ64" s="77"/>
      <c r="AR64" s="77"/>
      <c r="AS64" s="77"/>
      <c r="AT64" s="77"/>
      <c r="AU64" s="77"/>
      <c r="AV64" s="77"/>
      <c r="AW64" s="77"/>
      <c r="AX64" s="77"/>
      <c r="AY64" s="77"/>
      <c r="AZ64" s="77"/>
      <c r="BA64" s="77"/>
      <c r="BB64" s="77"/>
      <c r="BC64" s="77"/>
      <c r="BD64" s="77"/>
      <c r="BE64" s="77"/>
      <c r="BF64" s="77"/>
      <c r="BG64" s="77"/>
      <c r="BH64" s="77"/>
      <c r="BI64" s="77"/>
      <c r="BJ64" s="77"/>
      <c r="BK64" s="77"/>
      <c r="BL64" s="77"/>
      <c r="BM64" s="77"/>
      <c r="BN64" s="77"/>
      <c r="BO64" s="77"/>
      <c r="BP64" s="77"/>
      <c r="BQ64" s="77"/>
      <c r="BR64" s="77"/>
      <c r="BS64" s="77"/>
      <c r="BT64" s="77"/>
    </row>
    <row r="65" spans="1:86" ht="27.95" customHeight="1" x14ac:dyDescent="0.3">
      <c r="A65" s="67"/>
      <c r="B65" s="9" t="s">
        <v>5</v>
      </c>
      <c r="C65" s="9" t="s">
        <v>6</v>
      </c>
      <c r="D65" s="9" t="str">
        <f>+VLOOKUP($C65,$C$10:$D$43,2,FALSE)</f>
        <v>Pesos</v>
      </c>
      <c r="E65" s="9" t="s">
        <v>89</v>
      </c>
      <c r="F65" s="74">
        <v>135.71256294838017</v>
      </c>
      <c r="G65" s="74">
        <v>0</v>
      </c>
      <c r="H65" s="74">
        <v>136.59262281675169</v>
      </c>
      <c r="I65" s="74">
        <v>0</v>
      </c>
      <c r="J65" s="74">
        <v>22.765437136125311</v>
      </c>
      <c r="K65" s="74">
        <v>0</v>
      </c>
      <c r="L65" s="74">
        <v>0</v>
      </c>
      <c r="M65" s="74">
        <v>0</v>
      </c>
      <c r="N65" s="74">
        <v>0</v>
      </c>
      <c r="O65" s="74">
        <v>0</v>
      </c>
      <c r="P65" s="74">
        <v>0</v>
      </c>
      <c r="Q65" s="74">
        <v>0</v>
      </c>
      <c r="R65" s="74">
        <v>0</v>
      </c>
      <c r="S65" s="74">
        <v>0</v>
      </c>
      <c r="T65" s="77"/>
      <c r="AA65" s="77"/>
      <c r="AB65" s="77"/>
      <c r="AC65" s="77"/>
      <c r="AD65" s="77"/>
      <c r="AE65" s="77"/>
      <c r="AF65" s="77"/>
      <c r="AG65" s="77"/>
      <c r="AH65" s="77"/>
      <c r="AI65" s="77"/>
      <c r="AJ65" s="77"/>
      <c r="AK65" s="77"/>
      <c r="AL65" s="77"/>
      <c r="AM65" s="77"/>
      <c r="AN65" s="77"/>
      <c r="AO65" s="77"/>
      <c r="AP65" s="77"/>
      <c r="AQ65" s="77"/>
      <c r="AR65" s="77"/>
      <c r="AS65" s="77"/>
      <c r="AT65" s="77"/>
      <c r="AU65" s="77"/>
      <c r="AV65" s="77"/>
      <c r="AW65" s="77"/>
      <c r="AX65" s="77"/>
      <c r="AY65" s="77"/>
      <c r="AZ65" s="77"/>
      <c r="BA65" s="77"/>
      <c r="BB65" s="77"/>
      <c r="BC65" s="77"/>
      <c r="BD65" s="77"/>
      <c r="BE65" s="77"/>
      <c r="BF65" s="77"/>
      <c r="BG65" s="77"/>
      <c r="BH65" s="77"/>
      <c r="BI65" s="77"/>
      <c r="BJ65" s="77"/>
      <c r="BK65" s="77"/>
      <c r="BL65" s="77"/>
      <c r="BM65" s="77"/>
      <c r="BN65" s="77"/>
      <c r="BO65" s="77"/>
      <c r="BP65" s="77"/>
      <c r="BQ65" s="77"/>
      <c r="BR65" s="77"/>
      <c r="BS65" s="77"/>
      <c r="BT65" s="77"/>
    </row>
    <row r="66" spans="1:86" ht="27.95" customHeight="1" x14ac:dyDescent="0.3">
      <c r="A66" s="67"/>
      <c r="B66" s="9" t="s">
        <v>7</v>
      </c>
      <c r="C66" s="9" t="s">
        <v>8</v>
      </c>
      <c r="D66" s="9" t="str">
        <f>+VLOOKUP($C66,$C$10:$D$43,2,FALSE)</f>
        <v>Pesos</v>
      </c>
      <c r="E66" s="9" t="s">
        <v>89</v>
      </c>
      <c r="F66" s="74">
        <v>18.61126715</v>
      </c>
      <c r="G66" s="74">
        <v>0</v>
      </c>
      <c r="H66" s="74">
        <v>24.199206670000002</v>
      </c>
      <c r="I66" s="74">
        <v>0</v>
      </c>
      <c r="J66" s="74">
        <v>19.39616998</v>
      </c>
      <c r="K66" s="74">
        <v>0</v>
      </c>
      <c r="L66" s="74">
        <v>0</v>
      </c>
      <c r="M66" s="74">
        <v>0</v>
      </c>
      <c r="N66" s="74">
        <v>0</v>
      </c>
      <c r="O66" s="74">
        <v>0</v>
      </c>
      <c r="P66" s="74">
        <v>0</v>
      </c>
      <c r="Q66" s="74">
        <v>0</v>
      </c>
      <c r="R66" s="74">
        <v>0</v>
      </c>
      <c r="S66" s="74">
        <v>0</v>
      </c>
      <c r="T66" s="77"/>
      <c r="AA66" s="77"/>
      <c r="AB66" s="77"/>
      <c r="AC66" s="77"/>
      <c r="AD66" s="77"/>
      <c r="AE66" s="77"/>
      <c r="AF66" s="77"/>
      <c r="AG66" s="77"/>
      <c r="AH66" s="77"/>
      <c r="AI66" s="77"/>
      <c r="AJ66" s="77"/>
      <c r="AK66" s="77"/>
      <c r="AL66" s="77"/>
      <c r="AM66" s="77"/>
      <c r="AN66" s="77"/>
      <c r="AO66" s="77"/>
      <c r="AP66" s="77"/>
      <c r="AQ66" s="77"/>
      <c r="AR66" s="77"/>
      <c r="AS66" s="77"/>
      <c r="AT66" s="77"/>
      <c r="AU66" s="77"/>
      <c r="AV66" s="77"/>
      <c r="AW66" s="77"/>
      <c r="AX66" s="77"/>
      <c r="AY66" s="77"/>
      <c r="AZ66" s="77"/>
      <c r="BA66" s="77"/>
      <c r="BB66" s="77"/>
      <c r="BC66" s="77"/>
      <c r="BD66" s="77"/>
      <c r="BE66" s="77"/>
      <c r="BF66" s="77"/>
      <c r="BG66" s="77"/>
      <c r="BH66" s="77"/>
      <c r="BI66" s="77"/>
      <c r="BJ66" s="77"/>
      <c r="BK66" s="77"/>
      <c r="BL66" s="77"/>
      <c r="BM66" s="77"/>
      <c r="BN66" s="77"/>
      <c r="BO66" s="77"/>
      <c r="BP66" s="77"/>
      <c r="BQ66" s="77"/>
      <c r="BR66" s="77"/>
      <c r="BS66" s="77"/>
      <c r="BT66" s="77"/>
    </row>
    <row r="67" spans="1:86" ht="27.95" customHeight="1" x14ac:dyDescent="0.3">
      <c r="A67" s="67"/>
      <c r="B67" s="9" t="s">
        <v>9</v>
      </c>
      <c r="C67" s="9" t="s">
        <v>10</v>
      </c>
      <c r="D67" s="9" t="str">
        <f>+VLOOKUP($C67,$C$10:$D$43,2,FALSE)</f>
        <v>Pesos</v>
      </c>
      <c r="E67" s="9" t="s">
        <v>89</v>
      </c>
      <c r="F67" s="74">
        <v>14.659834268397008</v>
      </c>
      <c r="G67" s="74">
        <v>0</v>
      </c>
      <c r="H67" s="74">
        <v>14.754899383820595</v>
      </c>
      <c r="I67" s="74">
        <v>0</v>
      </c>
      <c r="J67" s="74">
        <v>1.2295749486517167</v>
      </c>
      <c r="K67" s="74">
        <v>0</v>
      </c>
      <c r="L67" s="74">
        <v>0</v>
      </c>
      <c r="M67" s="74">
        <v>0</v>
      </c>
      <c r="N67" s="74">
        <v>0</v>
      </c>
      <c r="O67" s="74">
        <v>0</v>
      </c>
      <c r="P67" s="74">
        <v>0</v>
      </c>
      <c r="Q67" s="74">
        <v>0</v>
      </c>
      <c r="R67" s="74">
        <v>0</v>
      </c>
      <c r="S67" s="74">
        <v>0</v>
      </c>
      <c r="T67" s="77"/>
      <c r="AA67" s="77"/>
      <c r="AB67" s="77"/>
      <c r="AC67" s="77"/>
      <c r="AD67" s="77"/>
      <c r="AE67" s="77"/>
      <c r="AF67" s="77"/>
      <c r="AG67" s="77"/>
      <c r="AH67" s="77"/>
      <c r="AI67" s="77"/>
      <c r="AJ67" s="77"/>
      <c r="AK67" s="77"/>
      <c r="AL67" s="77"/>
      <c r="AM67" s="77"/>
      <c r="AN67" s="77"/>
      <c r="AO67" s="77"/>
      <c r="AP67" s="77"/>
      <c r="AQ67" s="77"/>
      <c r="AR67" s="77"/>
      <c r="AS67" s="77"/>
      <c r="AT67" s="77"/>
      <c r="AU67" s="77"/>
      <c r="AV67" s="77"/>
      <c r="AW67" s="77"/>
      <c r="AX67" s="77"/>
      <c r="AY67" s="77"/>
      <c r="AZ67" s="77"/>
      <c r="BA67" s="77"/>
      <c r="BB67" s="77"/>
      <c r="BC67" s="77"/>
      <c r="BD67" s="77"/>
      <c r="BE67" s="77"/>
      <c r="BF67" s="77"/>
      <c r="BG67" s="77"/>
      <c r="BH67" s="77"/>
      <c r="BI67" s="77"/>
      <c r="BJ67" s="77"/>
      <c r="BK67" s="77"/>
      <c r="BL67" s="77"/>
      <c r="BM67" s="77"/>
      <c r="BN67" s="77"/>
      <c r="BO67" s="77"/>
      <c r="BP67" s="77"/>
      <c r="BQ67" s="77"/>
      <c r="BR67" s="77"/>
      <c r="BS67" s="77"/>
      <c r="BT67" s="77"/>
      <c r="CH67" s="114"/>
    </row>
    <row r="68" spans="1:86" ht="27.95" customHeight="1" x14ac:dyDescent="0.3">
      <c r="A68" s="67"/>
      <c r="B68" s="185" t="s">
        <v>90</v>
      </c>
      <c r="C68" s="185"/>
      <c r="D68" s="185"/>
      <c r="E68" s="185"/>
      <c r="F68" s="198">
        <f t="shared" ref="F68:S68" si="42">+F69</f>
        <v>4306.9815159600003</v>
      </c>
      <c r="G68" s="198">
        <f t="shared" si="42"/>
        <v>0</v>
      </c>
      <c r="H68" s="198">
        <f t="shared" si="42"/>
        <v>4306.9815159600003</v>
      </c>
      <c r="I68" s="198">
        <f t="shared" si="42"/>
        <v>0</v>
      </c>
      <c r="J68" s="198">
        <f t="shared" si="42"/>
        <v>4306.9815159600003</v>
      </c>
      <c r="K68" s="198">
        <f t="shared" si="42"/>
        <v>0</v>
      </c>
      <c r="L68" s="198">
        <f t="shared" si="42"/>
        <v>1794.5756316499999</v>
      </c>
      <c r="M68" s="198">
        <f t="shared" si="42"/>
        <v>0</v>
      </c>
      <c r="N68" s="198">
        <f t="shared" si="42"/>
        <v>0</v>
      </c>
      <c r="O68" s="198">
        <f t="shared" si="42"/>
        <v>0</v>
      </c>
      <c r="P68" s="198">
        <f t="shared" si="42"/>
        <v>0</v>
      </c>
      <c r="Q68" s="198">
        <f t="shared" si="42"/>
        <v>0</v>
      </c>
      <c r="R68" s="198">
        <f t="shared" si="42"/>
        <v>0</v>
      </c>
      <c r="S68" s="198">
        <f t="shared" si="42"/>
        <v>0</v>
      </c>
      <c r="T68" s="112"/>
      <c r="AA68" s="112"/>
      <c r="AB68" s="112"/>
      <c r="AC68" s="112"/>
      <c r="AD68" s="112"/>
      <c r="AE68" s="112"/>
      <c r="AF68" s="112"/>
      <c r="AG68" s="112"/>
      <c r="AH68" s="112"/>
      <c r="AI68" s="112"/>
      <c r="AJ68" s="112"/>
      <c r="AK68" s="112"/>
      <c r="AL68" s="112"/>
      <c r="AM68" s="112"/>
      <c r="AN68" s="112"/>
      <c r="AO68" s="112"/>
      <c r="AP68" s="112"/>
      <c r="AQ68" s="112"/>
      <c r="AR68" s="112"/>
      <c r="AS68" s="112"/>
      <c r="AT68" s="112"/>
      <c r="AU68" s="112"/>
      <c r="AV68" s="112"/>
      <c r="AW68" s="112"/>
      <c r="AX68" s="112"/>
      <c r="AY68" s="112"/>
      <c r="AZ68" s="112"/>
      <c r="BA68" s="112"/>
      <c r="BB68" s="112"/>
      <c r="BC68" s="112"/>
      <c r="BD68" s="112"/>
      <c r="BE68" s="112"/>
      <c r="BF68" s="112"/>
      <c r="BG68" s="112"/>
      <c r="BH68" s="112"/>
      <c r="BI68" s="112"/>
      <c r="BJ68" s="112"/>
      <c r="BK68" s="112"/>
      <c r="BL68" s="112"/>
      <c r="BM68" s="112"/>
      <c r="BN68" s="112"/>
      <c r="BO68" s="112"/>
      <c r="BP68" s="112"/>
      <c r="BQ68" s="112"/>
      <c r="BR68" s="112"/>
      <c r="BS68" s="112"/>
      <c r="BT68" s="112"/>
    </row>
    <row r="69" spans="1:86" ht="27.95" customHeight="1" x14ac:dyDescent="0.3">
      <c r="A69" s="67"/>
      <c r="B69" s="9" t="s">
        <v>142</v>
      </c>
      <c r="C69" s="9" t="s">
        <v>143</v>
      </c>
      <c r="D69" s="9" t="str">
        <f>+VLOOKUP($C69,$C$10:$D$43,2,FALSE)</f>
        <v>Pesos</v>
      </c>
      <c r="E69" s="9" t="s">
        <v>90</v>
      </c>
      <c r="F69" s="74">
        <v>4306.9815159600003</v>
      </c>
      <c r="G69" s="74">
        <v>0</v>
      </c>
      <c r="H69" s="74">
        <v>4306.9815159600003</v>
      </c>
      <c r="I69" s="74">
        <v>0</v>
      </c>
      <c r="J69" s="74">
        <v>4306.9815159600003</v>
      </c>
      <c r="K69" s="74">
        <v>0</v>
      </c>
      <c r="L69" s="74">
        <v>1794.5756316499999</v>
      </c>
      <c r="M69" s="74">
        <v>0</v>
      </c>
      <c r="N69" s="74">
        <v>0</v>
      </c>
      <c r="O69" s="74">
        <v>0</v>
      </c>
      <c r="P69" s="74">
        <v>0</v>
      </c>
      <c r="Q69" s="74">
        <v>0</v>
      </c>
      <c r="R69" s="74">
        <v>0</v>
      </c>
      <c r="S69" s="74">
        <v>0</v>
      </c>
      <c r="T69" s="77"/>
      <c r="AA69" s="77"/>
      <c r="AB69" s="77"/>
      <c r="AC69" s="77"/>
      <c r="AD69" s="77"/>
      <c r="AE69" s="77"/>
      <c r="AF69" s="77"/>
      <c r="AG69" s="77"/>
      <c r="AH69" s="77"/>
      <c r="AI69" s="77"/>
      <c r="AJ69" s="77"/>
      <c r="AK69" s="77"/>
      <c r="AL69" s="77"/>
      <c r="AM69" s="77"/>
      <c r="AN69" s="77"/>
      <c r="AO69" s="77"/>
      <c r="AP69" s="77"/>
      <c r="AQ69" s="77"/>
      <c r="AR69" s="77"/>
      <c r="AS69" s="77"/>
      <c r="AT69" s="77"/>
      <c r="AU69" s="77"/>
      <c r="AV69" s="77"/>
      <c r="AW69" s="77"/>
      <c r="AX69" s="77"/>
      <c r="AY69" s="77"/>
      <c r="AZ69" s="77"/>
      <c r="BA69" s="77"/>
      <c r="BB69" s="77"/>
      <c r="BC69" s="77"/>
      <c r="BD69" s="77"/>
      <c r="BE69" s="77"/>
      <c r="BF69" s="77"/>
      <c r="BG69" s="77"/>
      <c r="BH69" s="77"/>
      <c r="BI69" s="77"/>
      <c r="BJ69" s="77"/>
      <c r="BK69" s="77"/>
      <c r="BL69" s="77"/>
      <c r="BM69" s="77"/>
      <c r="BN69" s="77"/>
      <c r="BO69" s="77"/>
      <c r="BP69" s="77"/>
      <c r="BQ69" s="77"/>
      <c r="BR69" s="77"/>
      <c r="BS69" s="77"/>
      <c r="BT69" s="77"/>
    </row>
    <row r="70" spans="1:86" ht="27.95" customHeight="1" x14ac:dyDescent="0.3">
      <c r="A70" s="67"/>
      <c r="B70" s="185" t="s">
        <v>11</v>
      </c>
      <c r="C70" s="185"/>
      <c r="D70" s="185"/>
      <c r="E70" s="185"/>
      <c r="F70" s="198">
        <f t="shared" ref="F70:S70" si="43">+SUM(F71,F83)</f>
        <v>0</v>
      </c>
      <c r="G70" s="198">
        <f t="shared" si="43"/>
        <v>16.338917203865883</v>
      </c>
      <c r="H70" s="198">
        <f t="shared" si="43"/>
        <v>0</v>
      </c>
      <c r="I70" s="198">
        <f t="shared" si="43"/>
        <v>18.039812704332675</v>
      </c>
      <c r="J70" s="198">
        <f t="shared" si="43"/>
        <v>0</v>
      </c>
      <c r="K70" s="198">
        <f t="shared" si="43"/>
        <v>13.450142251414091</v>
      </c>
      <c r="L70" s="198">
        <f t="shared" si="43"/>
        <v>0</v>
      </c>
      <c r="M70" s="198">
        <f t="shared" si="43"/>
        <v>13.450142251414091</v>
      </c>
      <c r="N70" s="198">
        <f t="shared" si="43"/>
        <v>0</v>
      </c>
      <c r="O70" s="198">
        <f t="shared" si="43"/>
        <v>13.450142251414091</v>
      </c>
      <c r="P70" s="198">
        <f t="shared" si="43"/>
        <v>0</v>
      </c>
      <c r="Q70" s="198">
        <f t="shared" si="43"/>
        <v>13.450142251414091</v>
      </c>
      <c r="R70" s="198">
        <f t="shared" si="43"/>
        <v>0</v>
      </c>
      <c r="S70" s="198">
        <f t="shared" si="43"/>
        <v>12.903823886504258</v>
      </c>
      <c r="T70" s="112"/>
      <c r="AA70" s="112"/>
      <c r="AB70" s="112"/>
      <c r="AC70" s="112"/>
      <c r="AD70" s="112"/>
      <c r="AE70" s="112"/>
      <c r="AF70" s="112"/>
      <c r="AG70" s="112"/>
      <c r="AH70" s="112"/>
      <c r="AI70" s="112"/>
      <c r="AJ70" s="112"/>
      <c r="AK70" s="112"/>
      <c r="AL70" s="112"/>
      <c r="AM70" s="112"/>
      <c r="AN70" s="112"/>
      <c r="AO70" s="112"/>
      <c r="AP70" s="112"/>
      <c r="AQ70" s="112"/>
      <c r="AR70" s="112"/>
      <c r="AS70" s="112"/>
      <c r="AT70" s="112"/>
      <c r="AU70" s="112"/>
      <c r="AV70" s="112"/>
      <c r="AW70" s="112"/>
      <c r="AX70" s="112"/>
      <c r="AY70" s="112"/>
      <c r="AZ70" s="112"/>
      <c r="BA70" s="112"/>
      <c r="BB70" s="112"/>
      <c r="BC70" s="112"/>
      <c r="BD70" s="112"/>
      <c r="BE70" s="112"/>
      <c r="BF70" s="112"/>
      <c r="BG70" s="112"/>
      <c r="BH70" s="112"/>
      <c r="BI70" s="112"/>
      <c r="BJ70" s="112"/>
      <c r="BK70" s="112"/>
      <c r="BL70" s="112"/>
      <c r="BM70" s="112"/>
      <c r="BN70" s="112"/>
      <c r="BO70" s="112"/>
      <c r="BP70" s="112"/>
      <c r="BQ70" s="112"/>
      <c r="BR70" s="112"/>
      <c r="BS70" s="112"/>
      <c r="BT70" s="112"/>
    </row>
    <row r="71" spans="1:86" ht="27.95" customHeight="1" x14ac:dyDescent="0.3">
      <c r="A71" s="67"/>
      <c r="B71" s="190" t="s">
        <v>12</v>
      </c>
      <c r="C71" s="190"/>
      <c r="D71" s="190"/>
      <c r="E71" s="190"/>
      <c r="F71" s="201">
        <f t="shared" ref="F71:S71" si="44">+SUM(F72:F82)</f>
        <v>0</v>
      </c>
      <c r="G71" s="201">
        <f t="shared" si="44"/>
        <v>14.55435950100874</v>
      </c>
      <c r="H71" s="201">
        <f t="shared" si="44"/>
        <v>0</v>
      </c>
      <c r="I71" s="201">
        <f t="shared" si="44"/>
        <v>15.875837635642201</v>
      </c>
      <c r="J71" s="201">
        <f t="shared" si="44"/>
        <v>0</v>
      </c>
      <c r="K71" s="201">
        <f t="shared" si="44"/>
        <v>11.208505251744144</v>
      </c>
      <c r="L71" s="201">
        <f t="shared" si="44"/>
        <v>0</v>
      </c>
      <c r="M71" s="201">
        <f t="shared" si="44"/>
        <v>11.208505251744144</v>
      </c>
      <c r="N71" s="201">
        <f t="shared" si="44"/>
        <v>0</v>
      </c>
      <c r="O71" s="201">
        <f t="shared" si="44"/>
        <v>11.208505251744144</v>
      </c>
      <c r="P71" s="201">
        <f t="shared" si="44"/>
        <v>0</v>
      </c>
      <c r="Q71" s="201">
        <f t="shared" si="44"/>
        <v>11.208505251744144</v>
      </c>
      <c r="R71" s="201">
        <f t="shared" si="44"/>
        <v>0</v>
      </c>
      <c r="S71" s="201">
        <f t="shared" si="44"/>
        <v>10.663999723691909</v>
      </c>
      <c r="T71" s="115"/>
      <c r="AA71" s="115"/>
      <c r="AB71" s="115"/>
      <c r="AC71" s="115"/>
      <c r="AD71" s="115"/>
      <c r="AE71" s="115"/>
      <c r="AF71" s="115"/>
      <c r="AG71" s="115"/>
      <c r="AH71" s="115"/>
      <c r="AI71" s="115"/>
      <c r="AJ71" s="115"/>
      <c r="AK71" s="115"/>
      <c r="AL71" s="115"/>
      <c r="AM71" s="115"/>
      <c r="AN71" s="115"/>
      <c r="AO71" s="115"/>
      <c r="AP71" s="115"/>
      <c r="AQ71" s="115"/>
      <c r="AR71" s="115"/>
      <c r="AS71" s="115"/>
      <c r="AT71" s="115"/>
      <c r="AU71" s="115"/>
      <c r="AV71" s="115"/>
      <c r="AW71" s="115"/>
      <c r="AX71" s="115"/>
      <c r="AY71" s="115"/>
      <c r="AZ71" s="115"/>
      <c r="BA71" s="115"/>
      <c r="BB71" s="115"/>
      <c r="BC71" s="115"/>
      <c r="BD71" s="115"/>
      <c r="BE71" s="115"/>
      <c r="BF71" s="115"/>
      <c r="BG71" s="115"/>
      <c r="BH71" s="115"/>
      <c r="BI71" s="115"/>
      <c r="BJ71" s="115"/>
      <c r="BK71" s="115"/>
      <c r="BL71" s="115"/>
      <c r="BM71" s="115"/>
      <c r="BN71" s="115"/>
      <c r="BO71" s="115"/>
      <c r="BP71" s="115"/>
      <c r="BQ71" s="115"/>
      <c r="BR71" s="115"/>
      <c r="BS71" s="115"/>
      <c r="BT71" s="115"/>
    </row>
    <row r="72" spans="1:86" ht="27.95" customHeight="1" x14ac:dyDescent="0.3">
      <c r="A72" s="67"/>
      <c r="B72" s="9" t="s">
        <v>19</v>
      </c>
      <c r="C72" s="9" t="s">
        <v>20</v>
      </c>
      <c r="D72" s="9" t="str">
        <f>+VLOOKUP($C72,$C$10:$D$43,2,FALSE)</f>
        <v>USD</v>
      </c>
      <c r="E72" s="9" t="s">
        <v>92</v>
      </c>
      <c r="F72" s="74">
        <v>0</v>
      </c>
      <c r="G72" s="74">
        <v>2.5411806210443753</v>
      </c>
      <c r="H72" s="74">
        <v>0</v>
      </c>
      <c r="I72" s="74">
        <v>2.5411806210443753</v>
      </c>
      <c r="J72" s="74">
        <v>0</v>
      </c>
      <c r="K72" s="74">
        <v>2.5411806210443753</v>
      </c>
      <c r="L72" s="74">
        <v>0</v>
      </c>
      <c r="M72" s="74">
        <v>2.5411806210443753</v>
      </c>
      <c r="N72" s="74">
        <v>0</v>
      </c>
      <c r="O72" s="74">
        <v>2.5411806210443748</v>
      </c>
      <c r="P72" s="74">
        <v>0</v>
      </c>
      <c r="Q72" s="74">
        <v>2.5411806210443748</v>
      </c>
      <c r="R72" s="74">
        <v>0</v>
      </c>
      <c r="S72" s="74">
        <v>2.4256724109969032</v>
      </c>
      <c r="T72" s="77"/>
      <c r="AA72" s="77"/>
      <c r="AB72" s="77"/>
      <c r="AC72" s="77"/>
      <c r="AD72" s="77"/>
      <c r="AE72" s="77"/>
      <c r="AF72" s="77"/>
      <c r="AG72" s="77"/>
      <c r="AH72" s="77"/>
      <c r="AI72" s="77"/>
      <c r="AJ72" s="77"/>
      <c r="AK72" s="77"/>
      <c r="AL72" s="77"/>
      <c r="AM72" s="77"/>
      <c r="AN72" s="77"/>
      <c r="AO72" s="77"/>
      <c r="AP72" s="77"/>
      <c r="AQ72" s="77"/>
      <c r="AR72" s="77"/>
      <c r="AS72" s="77"/>
      <c r="AT72" s="77"/>
      <c r="AU72" s="77"/>
      <c r="AV72" s="77"/>
      <c r="AW72" s="77"/>
      <c r="AX72" s="77"/>
      <c r="AY72" s="77"/>
      <c r="AZ72" s="77"/>
      <c r="BA72" s="77"/>
      <c r="BB72" s="77"/>
      <c r="BC72" s="77"/>
      <c r="BD72" s="77"/>
      <c r="BE72" s="77"/>
      <c r="BF72" s="77"/>
      <c r="BG72" s="77"/>
      <c r="BH72" s="77"/>
      <c r="BI72" s="77"/>
      <c r="BJ72" s="77"/>
      <c r="BK72" s="77"/>
      <c r="BL72" s="77"/>
      <c r="BM72" s="77"/>
      <c r="BN72" s="77"/>
      <c r="BO72" s="77"/>
      <c r="BP72" s="77"/>
      <c r="BQ72" s="77"/>
      <c r="BR72" s="77"/>
      <c r="BS72" s="77"/>
      <c r="BT72" s="77"/>
    </row>
    <row r="73" spans="1:86" ht="27.95" customHeight="1" x14ac:dyDescent="0.3">
      <c r="A73" s="67"/>
      <c r="B73" s="9" t="s">
        <v>13</v>
      </c>
      <c r="C73" s="9" t="s">
        <v>14</v>
      </c>
      <c r="D73" s="9" t="str">
        <f>+VLOOKUP($C73,$C$10:$D$43,2,FALSE)</f>
        <v>USD</v>
      </c>
      <c r="E73" s="9" t="s">
        <v>92</v>
      </c>
      <c r="F73" s="74">
        <v>0</v>
      </c>
      <c r="G73" s="74">
        <v>2.8515320943328861</v>
      </c>
      <c r="H73" s="74">
        <v>0</v>
      </c>
      <c r="I73" s="74">
        <v>2.8515320943328861</v>
      </c>
      <c r="J73" s="74">
        <v>0</v>
      </c>
      <c r="K73" s="74">
        <v>2.8515320943328861</v>
      </c>
      <c r="L73" s="74">
        <v>0</v>
      </c>
      <c r="M73" s="74">
        <v>2.8515320943328861</v>
      </c>
      <c r="N73" s="74">
        <v>0</v>
      </c>
      <c r="O73" s="74">
        <v>2.8515320943328861</v>
      </c>
      <c r="P73" s="74">
        <v>0</v>
      </c>
      <c r="Q73" s="74">
        <v>2.8515320943328861</v>
      </c>
      <c r="R73" s="74">
        <v>0</v>
      </c>
      <c r="S73" s="74">
        <v>2.8515320943328861</v>
      </c>
      <c r="T73" s="77"/>
      <c r="AA73" s="77"/>
      <c r="AB73" s="77"/>
      <c r="AC73" s="77"/>
      <c r="AD73" s="77"/>
      <c r="AE73" s="77"/>
      <c r="AF73" s="77"/>
      <c r="AG73" s="77"/>
      <c r="AH73" s="77"/>
      <c r="AI73" s="77"/>
      <c r="AJ73" s="77"/>
      <c r="AK73" s="77"/>
      <c r="AL73" s="77"/>
      <c r="AM73" s="77"/>
      <c r="AN73" s="77"/>
      <c r="AO73" s="77"/>
      <c r="AP73" s="77"/>
      <c r="AQ73" s="77"/>
      <c r="AR73" s="77"/>
      <c r="AS73" s="77"/>
      <c r="AT73" s="77"/>
      <c r="AU73" s="77"/>
      <c r="AV73" s="77"/>
      <c r="AW73" s="77"/>
      <c r="AX73" s="77"/>
      <c r="AY73" s="77"/>
      <c r="AZ73" s="77"/>
      <c r="BA73" s="77"/>
      <c r="BB73" s="77"/>
      <c r="BC73" s="77"/>
      <c r="BD73" s="77"/>
      <c r="BE73" s="77"/>
      <c r="BF73" s="77"/>
      <c r="BG73" s="77"/>
      <c r="BH73" s="77"/>
      <c r="BI73" s="77"/>
      <c r="BJ73" s="77"/>
      <c r="BK73" s="77"/>
      <c r="BL73" s="77"/>
      <c r="BM73" s="77"/>
      <c r="BN73" s="77"/>
      <c r="BO73" s="77"/>
      <c r="BP73" s="77"/>
      <c r="BQ73" s="77"/>
      <c r="BR73" s="77"/>
      <c r="BS73" s="77"/>
      <c r="BT73" s="77"/>
    </row>
    <row r="74" spans="1:86" ht="27.95" customHeight="1" x14ac:dyDescent="0.3">
      <c r="A74" s="67"/>
      <c r="B74" s="9" t="s">
        <v>15</v>
      </c>
      <c r="C74" s="9" t="s">
        <v>16</v>
      </c>
      <c r="D74" s="9" t="str">
        <f>+VLOOKUP($C74,$C$10:$D$43,2,FALSE)</f>
        <v>USD</v>
      </c>
      <c r="E74" s="9" t="s">
        <v>92</v>
      </c>
      <c r="F74" s="74">
        <v>0</v>
      </c>
      <c r="G74" s="74">
        <v>2.8918855299999993</v>
      </c>
      <c r="H74" s="74">
        <v>0</v>
      </c>
      <c r="I74" s="74">
        <v>2.891885519999998</v>
      </c>
      <c r="J74" s="74">
        <v>0</v>
      </c>
      <c r="K74" s="74">
        <v>2.891885519999998</v>
      </c>
      <c r="L74" s="74">
        <v>0</v>
      </c>
      <c r="M74" s="74">
        <v>2.891885519999998</v>
      </c>
      <c r="N74" s="74">
        <v>0</v>
      </c>
      <c r="O74" s="74">
        <v>2.891885519999998</v>
      </c>
      <c r="P74" s="74">
        <v>0</v>
      </c>
      <c r="Q74" s="74">
        <v>2.891885519999998</v>
      </c>
      <c r="R74" s="74">
        <v>0</v>
      </c>
      <c r="S74" s="74">
        <v>2.5303998299999986</v>
      </c>
      <c r="T74" s="77"/>
      <c r="AA74" s="77"/>
      <c r="AB74" s="77"/>
      <c r="AC74" s="77"/>
      <c r="AD74" s="77"/>
      <c r="AE74" s="77"/>
      <c r="AF74" s="77"/>
      <c r="AG74" s="77"/>
      <c r="AH74" s="77"/>
      <c r="AI74" s="77"/>
      <c r="AJ74" s="77"/>
      <c r="AK74" s="77"/>
      <c r="AL74" s="77"/>
      <c r="AM74" s="77"/>
      <c r="AN74" s="77"/>
      <c r="AO74" s="77"/>
      <c r="AP74" s="77"/>
      <c r="AQ74" s="77"/>
      <c r="AR74" s="77"/>
      <c r="AS74" s="77"/>
      <c r="AT74" s="77"/>
      <c r="AU74" s="77"/>
      <c r="AV74" s="77"/>
      <c r="AW74" s="77"/>
      <c r="AX74" s="77"/>
      <c r="AY74" s="77"/>
      <c r="AZ74" s="77"/>
      <c r="BA74" s="77"/>
      <c r="BB74" s="77"/>
      <c r="BC74" s="77"/>
      <c r="BD74" s="77"/>
      <c r="BE74" s="77"/>
      <c r="BF74" s="77"/>
      <c r="BG74" s="77"/>
      <c r="BH74" s="77"/>
      <c r="BI74" s="77"/>
      <c r="BJ74" s="77"/>
      <c r="BK74" s="77"/>
      <c r="BL74" s="77"/>
      <c r="BM74" s="77"/>
      <c r="BN74" s="77"/>
      <c r="BO74" s="77"/>
      <c r="BP74" s="77"/>
      <c r="BQ74" s="77"/>
      <c r="BR74" s="77"/>
      <c r="BS74" s="77"/>
      <c r="BT74" s="77"/>
    </row>
    <row r="75" spans="1:86" ht="27.95" customHeight="1" x14ac:dyDescent="0.3">
      <c r="A75" s="67"/>
      <c r="B75" s="9" t="s">
        <v>125</v>
      </c>
      <c r="C75" s="9" t="s">
        <v>126</v>
      </c>
      <c r="D75" s="9" t="str">
        <f>+VLOOKUP($C75,$C$10:$D$43,2,FALSE)</f>
        <v>USD</v>
      </c>
      <c r="E75" s="9" t="s">
        <v>92</v>
      </c>
      <c r="F75" s="74">
        <v>0</v>
      </c>
      <c r="G75" s="74">
        <v>0</v>
      </c>
      <c r="H75" s="74">
        <v>0</v>
      </c>
      <c r="I75" s="74">
        <v>1.36575</v>
      </c>
      <c r="J75" s="74">
        <v>0</v>
      </c>
      <c r="K75" s="74">
        <v>1.36575</v>
      </c>
      <c r="L75" s="74">
        <v>0</v>
      </c>
      <c r="M75" s="74">
        <v>1.36575</v>
      </c>
      <c r="N75" s="74">
        <v>0</v>
      </c>
      <c r="O75" s="74">
        <v>1.36575</v>
      </c>
      <c r="P75" s="74">
        <v>0</v>
      </c>
      <c r="Q75" s="74">
        <v>1.36575</v>
      </c>
      <c r="R75" s="74">
        <v>0</v>
      </c>
      <c r="S75" s="74">
        <v>1.3657499999999998</v>
      </c>
      <c r="T75" s="77"/>
      <c r="AA75" s="77"/>
      <c r="AB75" s="77"/>
      <c r="AC75" s="77"/>
      <c r="AD75" s="77"/>
      <c r="AE75" s="77"/>
      <c r="AF75" s="77"/>
      <c r="AG75" s="77"/>
      <c r="AH75" s="77"/>
      <c r="AI75" s="77"/>
      <c r="AJ75" s="77"/>
      <c r="AK75" s="77"/>
      <c r="AL75" s="77"/>
      <c r="AM75" s="77"/>
      <c r="AN75" s="77"/>
      <c r="AO75" s="77"/>
      <c r="AP75" s="77"/>
      <c r="AQ75" s="77"/>
      <c r="AR75" s="77"/>
      <c r="AS75" s="77"/>
      <c r="AT75" s="77"/>
      <c r="AU75" s="77"/>
      <c r="AV75" s="77"/>
      <c r="AW75" s="77"/>
      <c r="AX75" s="77"/>
      <c r="AY75" s="77"/>
      <c r="AZ75" s="77"/>
      <c r="BA75" s="77"/>
      <c r="BB75" s="77"/>
      <c r="BC75" s="77"/>
      <c r="BD75" s="77"/>
      <c r="BE75" s="77"/>
      <c r="BF75" s="77"/>
      <c r="BG75" s="77"/>
      <c r="BH75" s="77"/>
      <c r="BI75" s="77"/>
      <c r="BJ75" s="77"/>
      <c r="BK75" s="77"/>
      <c r="BL75" s="77"/>
      <c r="BM75" s="77"/>
      <c r="BN75" s="77"/>
      <c r="BO75" s="77"/>
      <c r="BP75" s="77"/>
      <c r="BQ75" s="77"/>
      <c r="BR75" s="77"/>
      <c r="BS75" s="77"/>
      <c r="BT75" s="77"/>
    </row>
    <row r="76" spans="1:86" ht="27.95" customHeight="1" x14ac:dyDescent="0.3">
      <c r="A76" s="67"/>
      <c r="B76" s="9" t="s">
        <v>23</v>
      </c>
      <c r="C76" s="9" t="s">
        <v>24</v>
      </c>
      <c r="D76" s="9" t="str">
        <f>+VLOOKUP($C76,$C$10:$D$43,2,FALSE)</f>
        <v>USD</v>
      </c>
      <c r="E76" s="9" t="s">
        <v>92</v>
      </c>
      <c r="F76" s="74">
        <v>0</v>
      </c>
      <c r="G76" s="74">
        <v>0.76131518416960064</v>
      </c>
      <c r="H76" s="74">
        <v>0</v>
      </c>
      <c r="I76" s="74">
        <v>0.75738500214211368</v>
      </c>
      <c r="J76" s="74">
        <v>0</v>
      </c>
      <c r="K76" s="74">
        <v>0.75738500214211368</v>
      </c>
      <c r="L76" s="74">
        <v>0</v>
      </c>
      <c r="M76" s="74">
        <v>0.75738500214211357</v>
      </c>
      <c r="N76" s="74">
        <v>0</v>
      </c>
      <c r="O76" s="74">
        <v>0.75738500214211357</v>
      </c>
      <c r="P76" s="74">
        <v>0</v>
      </c>
      <c r="Q76" s="74">
        <v>0.75738500214211335</v>
      </c>
      <c r="R76" s="74">
        <v>0</v>
      </c>
      <c r="S76" s="74">
        <v>0.71530805757866256</v>
      </c>
      <c r="T76" s="77"/>
      <c r="AA76" s="77"/>
      <c r="AB76" s="77"/>
      <c r="AC76" s="77"/>
      <c r="AD76" s="77"/>
      <c r="AE76" s="77"/>
      <c r="AF76" s="77"/>
      <c r="AG76" s="77"/>
      <c r="AH76" s="77"/>
      <c r="AI76" s="77"/>
      <c r="AJ76" s="77"/>
      <c r="AK76" s="77"/>
      <c r="AL76" s="77"/>
      <c r="AM76" s="77"/>
      <c r="AN76" s="77"/>
      <c r="AO76" s="77"/>
      <c r="AP76" s="77"/>
      <c r="AQ76" s="77"/>
      <c r="AR76" s="77"/>
      <c r="AS76" s="77"/>
      <c r="AT76" s="77"/>
      <c r="AU76" s="77"/>
      <c r="AV76" s="77"/>
      <c r="AW76" s="77"/>
      <c r="AX76" s="77"/>
      <c r="AY76" s="77"/>
      <c r="AZ76" s="77"/>
      <c r="BA76" s="77"/>
      <c r="BB76" s="77"/>
      <c r="BC76" s="77"/>
      <c r="BD76" s="77"/>
      <c r="BE76" s="77"/>
      <c r="BF76" s="77"/>
      <c r="BG76" s="77"/>
      <c r="BH76" s="77"/>
      <c r="BI76" s="77"/>
      <c r="BJ76" s="77"/>
      <c r="BK76" s="77"/>
      <c r="BL76" s="77"/>
      <c r="BM76" s="77"/>
      <c r="BN76" s="77"/>
      <c r="BO76" s="77"/>
      <c r="BP76" s="77"/>
      <c r="BQ76" s="77"/>
      <c r="BR76" s="77"/>
      <c r="BS76" s="77"/>
      <c r="BT76" s="77"/>
    </row>
    <row r="77" spans="1:86" ht="27.95" customHeight="1" x14ac:dyDescent="0.3">
      <c r="A77" s="67"/>
      <c r="B77" s="9" t="s">
        <v>17</v>
      </c>
      <c r="C77" s="9" t="s">
        <v>18</v>
      </c>
      <c r="D77" s="9" t="s">
        <v>99</v>
      </c>
      <c r="E77" s="9" t="s">
        <v>92</v>
      </c>
      <c r="F77" s="74">
        <v>0</v>
      </c>
      <c r="G77" s="74">
        <v>4.8708098514285698</v>
      </c>
      <c r="H77" s="74">
        <v>0</v>
      </c>
      <c r="I77" s="74">
        <v>4.8708098514285698</v>
      </c>
      <c r="J77" s="74">
        <v>0</v>
      </c>
      <c r="K77" s="74">
        <v>0</v>
      </c>
      <c r="L77" s="74">
        <v>0</v>
      </c>
      <c r="M77" s="74">
        <v>0</v>
      </c>
      <c r="N77" s="74">
        <v>0</v>
      </c>
      <c r="O77" s="74">
        <v>0</v>
      </c>
      <c r="P77" s="74">
        <v>0</v>
      </c>
      <c r="Q77" s="74">
        <v>0</v>
      </c>
      <c r="R77" s="74">
        <v>0</v>
      </c>
      <c r="S77" s="74">
        <v>0</v>
      </c>
      <c r="T77" s="77"/>
      <c r="AA77" s="77"/>
      <c r="AB77" s="77"/>
      <c r="AC77" s="77"/>
      <c r="AD77" s="77"/>
      <c r="AE77" s="77"/>
      <c r="AF77" s="77"/>
      <c r="AG77" s="77"/>
      <c r="AH77" s="77"/>
      <c r="AI77" s="77"/>
      <c r="AJ77" s="77"/>
      <c r="AK77" s="77"/>
      <c r="AL77" s="77"/>
      <c r="AM77" s="77"/>
      <c r="AN77" s="77"/>
      <c r="AO77" s="77"/>
      <c r="AP77" s="77"/>
      <c r="AQ77" s="77"/>
      <c r="AR77" s="77"/>
      <c r="AS77" s="77"/>
      <c r="AT77" s="77"/>
      <c r="AU77" s="77"/>
      <c r="AV77" s="77"/>
      <c r="AW77" s="77"/>
      <c r="AX77" s="77"/>
      <c r="AY77" s="77"/>
      <c r="AZ77" s="77"/>
      <c r="BA77" s="77"/>
      <c r="BB77" s="77"/>
      <c r="BC77" s="77"/>
      <c r="BD77" s="77"/>
      <c r="BE77" s="77"/>
      <c r="BF77" s="77"/>
      <c r="BG77" s="77"/>
      <c r="BH77" s="77"/>
      <c r="BI77" s="77"/>
      <c r="BJ77" s="77"/>
      <c r="BK77" s="77"/>
      <c r="BL77" s="77"/>
      <c r="BM77" s="77"/>
      <c r="BN77" s="77"/>
      <c r="BO77" s="77"/>
      <c r="BP77" s="77"/>
      <c r="BQ77" s="77"/>
      <c r="BR77" s="77"/>
      <c r="BS77" s="77"/>
      <c r="BT77" s="77"/>
    </row>
    <row r="78" spans="1:86" ht="27.95" customHeight="1" x14ac:dyDescent="0.3">
      <c r="A78" s="67"/>
      <c r="B78" s="9" t="s">
        <v>145</v>
      </c>
      <c r="C78" s="9" t="s">
        <v>217</v>
      </c>
      <c r="D78" s="9" t="s">
        <v>99</v>
      </c>
      <c r="E78" s="9" t="s">
        <v>92</v>
      </c>
      <c r="F78" s="74">
        <v>0</v>
      </c>
      <c r="G78" s="74">
        <v>0</v>
      </c>
      <c r="H78" s="74">
        <v>0</v>
      </c>
      <c r="I78" s="74">
        <v>0.20347746753051452</v>
      </c>
      <c r="J78" s="74">
        <v>0</v>
      </c>
      <c r="K78" s="74">
        <v>0.40695493506102903</v>
      </c>
      <c r="L78" s="74">
        <v>0</v>
      </c>
      <c r="M78" s="74">
        <v>0.40695493506102903</v>
      </c>
      <c r="N78" s="74">
        <v>0</v>
      </c>
      <c r="O78" s="74">
        <v>0.40695493506102903</v>
      </c>
      <c r="P78" s="74">
        <v>0</v>
      </c>
      <c r="Q78" s="74">
        <v>0.40695493506102903</v>
      </c>
      <c r="R78" s="74">
        <v>0</v>
      </c>
      <c r="S78" s="74">
        <v>0.38152025161971476</v>
      </c>
      <c r="T78" s="77"/>
      <c r="AA78" s="77"/>
      <c r="AB78" s="77"/>
      <c r="AC78" s="77"/>
      <c r="AD78" s="77"/>
      <c r="AE78" s="77"/>
      <c r="AF78" s="77"/>
      <c r="AG78" s="77"/>
      <c r="AH78" s="77"/>
      <c r="AI78" s="77"/>
      <c r="AJ78" s="77"/>
      <c r="AK78" s="77"/>
      <c r="AL78" s="77"/>
      <c r="AM78" s="77"/>
      <c r="AN78" s="77"/>
      <c r="AO78" s="77"/>
      <c r="AP78" s="77"/>
      <c r="AQ78" s="77"/>
      <c r="AR78" s="77"/>
      <c r="AS78" s="77"/>
      <c r="AT78" s="77"/>
      <c r="AU78" s="77"/>
      <c r="AV78" s="77"/>
      <c r="AW78" s="77"/>
      <c r="AX78" s="77"/>
      <c r="AY78" s="77"/>
      <c r="AZ78" s="77"/>
      <c r="BA78" s="77"/>
      <c r="BB78" s="77"/>
      <c r="BC78" s="77"/>
      <c r="BD78" s="77"/>
      <c r="BE78" s="77"/>
      <c r="BF78" s="77"/>
      <c r="BG78" s="77"/>
      <c r="BH78" s="77"/>
      <c r="BI78" s="77"/>
      <c r="BJ78" s="77"/>
      <c r="BK78" s="77"/>
      <c r="BL78" s="77"/>
      <c r="BM78" s="77"/>
      <c r="BN78" s="77"/>
      <c r="BO78" s="77"/>
      <c r="BP78" s="77"/>
      <c r="BQ78" s="77"/>
      <c r="BR78" s="77"/>
      <c r="BS78" s="77"/>
      <c r="BT78" s="77"/>
    </row>
    <row r="79" spans="1:86" ht="27.95" customHeight="1" x14ac:dyDescent="0.3">
      <c r="A79" s="67"/>
      <c r="B79" s="9" t="s">
        <v>21</v>
      </c>
      <c r="C79" s="9" t="s">
        <v>22</v>
      </c>
      <c r="D79" s="9" t="s">
        <v>99</v>
      </c>
      <c r="E79" s="9" t="s">
        <v>92</v>
      </c>
      <c r="F79" s="74">
        <v>0</v>
      </c>
      <c r="G79" s="74">
        <v>0.39381707916374237</v>
      </c>
      <c r="H79" s="74">
        <v>0</v>
      </c>
      <c r="I79" s="74">
        <v>0.39381707916374237</v>
      </c>
      <c r="J79" s="74">
        <v>0</v>
      </c>
      <c r="K79" s="74">
        <v>0.39381707916374231</v>
      </c>
      <c r="L79" s="74">
        <v>0</v>
      </c>
      <c r="M79" s="74">
        <v>0.39381707916374226</v>
      </c>
      <c r="N79" s="74">
        <v>0</v>
      </c>
      <c r="O79" s="74">
        <v>0.39381707916374226</v>
      </c>
      <c r="P79" s="74">
        <v>0</v>
      </c>
      <c r="Q79" s="74">
        <v>0.39381707916374226</v>
      </c>
      <c r="R79" s="74">
        <v>0</v>
      </c>
      <c r="S79" s="74">
        <v>0.39381707916374226</v>
      </c>
      <c r="T79" s="77"/>
      <c r="AA79" s="77"/>
      <c r="AB79" s="77"/>
      <c r="AC79" s="77"/>
      <c r="AD79" s="77"/>
      <c r="AE79" s="77"/>
      <c r="AF79" s="77"/>
      <c r="AG79" s="77"/>
      <c r="AH79" s="77"/>
      <c r="AI79" s="77"/>
      <c r="AJ79" s="77"/>
      <c r="AK79" s="77"/>
      <c r="AL79" s="77"/>
      <c r="AM79" s="77"/>
      <c r="AN79" s="77"/>
      <c r="AO79" s="77"/>
      <c r="AP79" s="77"/>
      <c r="AQ79" s="77"/>
      <c r="AR79" s="77"/>
      <c r="AS79" s="77"/>
      <c r="AT79" s="77"/>
      <c r="AU79" s="77"/>
      <c r="AV79" s="77"/>
      <c r="AW79" s="77"/>
      <c r="AX79" s="77"/>
      <c r="AY79" s="77"/>
      <c r="AZ79" s="77"/>
      <c r="BA79" s="77"/>
      <c r="BB79" s="77"/>
      <c r="BC79" s="77"/>
      <c r="BD79" s="77"/>
      <c r="BE79" s="77"/>
      <c r="BF79" s="77"/>
      <c r="BG79" s="77"/>
      <c r="BH79" s="77"/>
      <c r="BI79" s="77"/>
      <c r="BJ79" s="77"/>
      <c r="BK79" s="77"/>
      <c r="BL79" s="77"/>
      <c r="BM79" s="77"/>
      <c r="BN79" s="77"/>
      <c r="BO79" s="77"/>
      <c r="BP79" s="77"/>
      <c r="BQ79" s="77"/>
      <c r="BR79" s="77"/>
      <c r="BS79" s="77"/>
      <c r="BT79" s="77"/>
    </row>
    <row r="80" spans="1:86" ht="27.95" customHeight="1" x14ac:dyDescent="0.3">
      <c r="A80" s="67"/>
      <c r="B80" s="168" t="s">
        <v>27</v>
      </c>
      <c r="C80" s="9" t="s">
        <v>28</v>
      </c>
      <c r="D80" s="9" t="str">
        <f>+VLOOKUP($C80,$C$10:$D$43,2,FALSE)</f>
        <v>USD</v>
      </c>
      <c r="E80" s="9" t="s">
        <v>92</v>
      </c>
      <c r="F80" s="74">
        <v>0</v>
      </c>
      <c r="G80" s="74">
        <v>0</v>
      </c>
      <c r="H80" s="74">
        <v>0</v>
      </c>
      <c r="I80" s="74">
        <v>0</v>
      </c>
      <c r="J80" s="74">
        <v>0</v>
      </c>
      <c r="K80" s="74">
        <v>0</v>
      </c>
      <c r="L80" s="74">
        <v>0</v>
      </c>
      <c r="M80" s="74">
        <v>0</v>
      </c>
      <c r="N80" s="74">
        <v>0</v>
      </c>
      <c r="O80" s="74">
        <v>0</v>
      </c>
      <c r="P80" s="74">
        <v>0</v>
      </c>
      <c r="Q80" s="74">
        <v>0</v>
      </c>
      <c r="R80" s="74">
        <v>0</v>
      </c>
      <c r="S80" s="74">
        <v>0</v>
      </c>
      <c r="T80" s="77"/>
      <c r="AA80" s="77"/>
      <c r="AB80" s="77"/>
      <c r="AC80" s="77"/>
      <c r="AD80" s="77"/>
      <c r="AE80" s="77"/>
      <c r="AF80" s="77"/>
      <c r="AG80" s="77"/>
      <c r="AH80" s="77"/>
      <c r="AI80" s="77"/>
      <c r="AJ80" s="77"/>
      <c r="AK80" s="77"/>
      <c r="AL80" s="77"/>
      <c r="AM80" s="77"/>
      <c r="AN80" s="77"/>
      <c r="AO80" s="77"/>
      <c r="AP80" s="77"/>
      <c r="AQ80" s="77"/>
      <c r="AR80" s="77"/>
      <c r="AS80" s="77"/>
      <c r="AT80" s="77"/>
      <c r="AU80" s="77"/>
      <c r="AV80" s="77"/>
      <c r="AW80" s="77"/>
      <c r="AX80" s="77"/>
      <c r="AY80" s="77"/>
      <c r="AZ80" s="77"/>
      <c r="BA80" s="77"/>
      <c r="BB80" s="77"/>
      <c r="BC80" s="77"/>
      <c r="BD80" s="77"/>
      <c r="BE80" s="77"/>
      <c r="BF80" s="77"/>
      <c r="BG80" s="77"/>
      <c r="BH80" s="77"/>
      <c r="BI80" s="77"/>
      <c r="BJ80" s="77"/>
      <c r="BK80" s="77"/>
      <c r="BL80" s="77"/>
      <c r="BM80" s="77"/>
      <c r="BN80" s="77"/>
      <c r="BO80" s="77"/>
      <c r="BP80" s="77"/>
      <c r="BQ80" s="77"/>
      <c r="BR80" s="77"/>
      <c r="BS80" s="77"/>
      <c r="BT80" s="77"/>
    </row>
    <row r="81" spans="1:72" ht="27.95" customHeight="1" x14ac:dyDescent="0.3">
      <c r="A81" s="67"/>
      <c r="B81" s="9" t="s">
        <v>25</v>
      </c>
      <c r="C81" s="9" t="s">
        <v>26</v>
      </c>
      <c r="D81" s="9" t="str">
        <f>+VLOOKUP($C81,$C$10:$D$43,2,FALSE)</f>
        <v>USD</v>
      </c>
      <c r="E81" s="9" t="s">
        <v>92</v>
      </c>
      <c r="F81" s="74">
        <v>0</v>
      </c>
      <c r="G81" s="74">
        <v>0.24051971000000044</v>
      </c>
      <c r="H81" s="74">
        <v>0</v>
      </c>
      <c r="I81" s="74">
        <v>0</v>
      </c>
      <c r="J81" s="74">
        <v>0</v>
      </c>
      <c r="K81" s="74">
        <v>0</v>
      </c>
      <c r="L81" s="74">
        <v>0</v>
      </c>
      <c r="M81" s="74">
        <v>0</v>
      </c>
      <c r="N81" s="74">
        <v>0</v>
      </c>
      <c r="O81" s="74">
        <v>0</v>
      </c>
      <c r="P81" s="74">
        <v>0</v>
      </c>
      <c r="Q81" s="74">
        <v>0</v>
      </c>
      <c r="R81" s="74">
        <v>0</v>
      </c>
      <c r="S81" s="74">
        <v>0</v>
      </c>
      <c r="T81" s="77"/>
      <c r="AA81" s="77"/>
      <c r="AB81" s="77"/>
      <c r="AC81" s="77"/>
      <c r="AD81" s="77"/>
      <c r="AE81" s="77"/>
      <c r="AF81" s="77"/>
      <c r="AG81" s="77"/>
      <c r="AH81" s="77"/>
      <c r="AI81" s="77"/>
      <c r="AJ81" s="77"/>
      <c r="AK81" s="77"/>
      <c r="AL81" s="77"/>
      <c r="AM81" s="77"/>
      <c r="AN81" s="77"/>
      <c r="AO81" s="77"/>
      <c r="AP81" s="77"/>
      <c r="AQ81" s="77"/>
      <c r="AR81" s="77"/>
      <c r="AS81" s="77"/>
      <c r="AT81" s="77"/>
      <c r="AU81" s="77"/>
      <c r="AV81" s="77"/>
      <c r="AW81" s="77"/>
      <c r="AX81" s="77"/>
      <c r="AY81" s="77"/>
      <c r="AZ81" s="77"/>
      <c r="BA81" s="77"/>
      <c r="BB81" s="77"/>
      <c r="BC81" s="77"/>
      <c r="BD81" s="77"/>
      <c r="BE81" s="77"/>
      <c r="BF81" s="77"/>
      <c r="BG81" s="77"/>
      <c r="BH81" s="77"/>
      <c r="BI81" s="77"/>
      <c r="BJ81" s="77"/>
      <c r="BK81" s="77"/>
      <c r="BL81" s="77"/>
      <c r="BM81" s="77"/>
      <c r="BN81" s="77"/>
      <c r="BO81" s="77"/>
      <c r="BP81" s="77"/>
      <c r="BQ81" s="77"/>
      <c r="BR81" s="77"/>
      <c r="BS81" s="77"/>
      <c r="BT81" s="77"/>
    </row>
    <row r="82" spans="1:72" ht="27.95" customHeight="1" x14ac:dyDescent="0.3">
      <c r="A82" s="67"/>
      <c r="B82" s="168" t="s">
        <v>29</v>
      </c>
      <c r="C82" s="9" t="s">
        <v>30</v>
      </c>
      <c r="D82" s="9" t="str">
        <f>+VLOOKUP($C82,$C$10:$D$43,2,FALSE)</f>
        <v>USD</v>
      </c>
      <c r="E82" s="9" t="s">
        <v>92</v>
      </c>
      <c r="F82" s="74">
        <v>0</v>
      </c>
      <c r="G82" s="74">
        <v>3.2994308695652179E-3</v>
      </c>
      <c r="H82" s="74">
        <v>0</v>
      </c>
      <c r="I82" s="74">
        <v>0</v>
      </c>
      <c r="J82" s="74">
        <v>0</v>
      </c>
      <c r="K82" s="74">
        <v>0</v>
      </c>
      <c r="L82" s="74">
        <v>0</v>
      </c>
      <c r="M82" s="74">
        <v>0</v>
      </c>
      <c r="N82" s="74">
        <v>0</v>
      </c>
      <c r="O82" s="74">
        <v>0</v>
      </c>
      <c r="P82" s="74">
        <v>0</v>
      </c>
      <c r="Q82" s="74">
        <v>0</v>
      </c>
      <c r="R82" s="74">
        <v>0</v>
      </c>
      <c r="S82" s="74">
        <v>0</v>
      </c>
      <c r="T82" s="77"/>
      <c r="AA82" s="77"/>
      <c r="AB82" s="77"/>
      <c r="AC82" s="77"/>
      <c r="AD82" s="77"/>
      <c r="AE82" s="77"/>
      <c r="AF82" s="77"/>
      <c r="AG82" s="77"/>
      <c r="AH82" s="77"/>
      <c r="AI82" s="77"/>
      <c r="AJ82" s="77"/>
      <c r="AK82" s="77"/>
      <c r="AL82" s="77"/>
      <c r="AM82" s="77"/>
      <c r="AN82" s="77"/>
      <c r="AO82" s="77"/>
      <c r="AP82" s="77"/>
      <c r="AQ82" s="77"/>
      <c r="AR82" s="77"/>
      <c r="AS82" s="77"/>
      <c r="AT82" s="77"/>
      <c r="AU82" s="77"/>
      <c r="AV82" s="77"/>
      <c r="AW82" s="77"/>
      <c r="AX82" s="77"/>
      <c r="AY82" s="77"/>
      <c r="AZ82" s="77"/>
      <c r="BA82" s="77"/>
      <c r="BB82" s="77"/>
      <c r="BC82" s="77"/>
      <c r="BD82" s="77"/>
      <c r="BE82" s="77"/>
      <c r="BF82" s="77"/>
      <c r="BG82" s="77"/>
      <c r="BH82" s="77"/>
      <c r="BI82" s="77"/>
      <c r="BJ82" s="77"/>
      <c r="BK82" s="77"/>
      <c r="BL82" s="77"/>
      <c r="BM82" s="77"/>
      <c r="BN82" s="77"/>
      <c r="BO82" s="77"/>
      <c r="BP82" s="77"/>
      <c r="BQ82" s="77"/>
      <c r="BR82" s="77"/>
      <c r="BS82" s="77"/>
      <c r="BT82" s="77"/>
    </row>
    <row r="83" spans="1:72" ht="27.95" customHeight="1" x14ac:dyDescent="0.3">
      <c r="A83" s="67"/>
      <c r="B83" s="190" t="s">
        <v>31</v>
      </c>
      <c r="C83" s="190"/>
      <c r="D83" s="190"/>
      <c r="E83" s="190"/>
      <c r="F83" s="201">
        <f t="shared" ref="F83:S83" si="45">+SUM(F84:F86)</f>
        <v>0</v>
      </c>
      <c r="G83" s="201">
        <f t="shared" si="45"/>
        <v>1.7845577028571411</v>
      </c>
      <c r="H83" s="201">
        <f t="shared" si="45"/>
        <v>0</v>
      </c>
      <c r="I83" s="201">
        <f t="shared" si="45"/>
        <v>2.1639750686904744</v>
      </c>
      <c r="J83" s="201">
        <f t="shared" si="45"/>
        <v>0</v>
      </c>
      <c r="K83" s="201">
        <f t="shared" si="45"/>
        <v>2.2416369996699466</v>
      </c>
      <c r="L83" s="201">
        <f t="shared" si="45"/>
        <v>0</v>
      </c>
      <c r="M83" s="201">
        <f t="shared" si="45"/>
        <v>2.2416369996699466</v>
      </c>
      <c r="N83" s="201">
        <f t="shared" si="45"/>
        <v>0</v>
      </c>
      <c r="O83" s="201">
        <f t="shared" si="45"/>
        <v>2.2416369996699466</v>
      </c>
      <c r="P83" s="201">
        <f t="shared" si="45"/>
        <v>0</v>
      </c>
      <c r="Q83" s="201">
        <f t="shared" si="45"/>
        <v>2.2416369996699466</v>
      </c>
      <c r="R83" s="201">
        <f t="shared" si="45"/>
        <v>0</v>
      </c>
      <c r="S83" s="201">
        <f t="shared" si="45"/>
        <v>2.2398241628123485</v>
      </c>
      <c r="T83" s="115"/>
      <c r="AA83" s="115"/>
      <c r="AB83" s="115"/>
      <c r="AC83" s="115"/>
      <c r="AD83" s="115"/>
      <c r="AE83" s="115"/>
      <c r="AF83" s="115"/>
      <c r="AG83" s="115"/>
      <c r="AH83" s="115"/>
      <c r="AI83" s="115"/>
      <c r="AJ83" s="115"/>
      <c r="AK83" s="115"/>
      <c r="AL83" s="115"/>
      <c r="AM83" s="115"/>
      <c r="AN83" s="115"/>
      <c r="AO83" s="115"/>
      <c r="AP83" s="115"/>
      <c r="AQ83" s="115"/>
      <c r="AR83" s="115"/>
      <c r="AS83" s="115"/>
      <c r="AT83" s="115"/>
      <c r="AU83" s="115"/>
      <c r="AV83" s="115"/>
      <c r="AW83" s="115"/>
      <c r="AX83" s="115"/>
      <c r="AY83" s="115"/>
      <c r="AZ83" s="115"/>
      <c r="BA83" s="115"/>
      <c r="BB83" s="115"/>
      <c r="BC83" s="115"/>
      <c r="BD83" s="115"/>
      <c r="BE83" s="115"/>
      <c r="BF83" s="115"/>
      <c r="BG83" s="115"/>
      <c r="BH83" s="115"/>
      <c r="BI83" s="115"/>
      <c r="BJ83" s="115"/>
      <c r="BK83" s="115"/>
      <c r="BL83" s="115"/>
      <c r="BM83" s="115"/>
      <c r="BN83" s="115"/>
      <c r="BO83" s="115"/>
      <c r="BP83" s="115"/>
      <c r="BQ83" s="115"/>
      <c r="BR83" s="115"/>
      <c r="BS83" s="115"/>
      <c r="BT83" s="115"/>
    </row>
    <row r="84" spans="1:72" ht="27.95" customHeight="1" x14ac:dyDescent="0.3">
      <c r="A84" s="67"/>
      <c r="B84" s="9" t="s">
        <v>32</v>
      </c>
      <c r="C84" s="9" t="s">
        <v>33</v>
      </c>
      <c r="D84" s="9" t="str">
        <f>+VLOOKUP($C84,$C$10:$D$43,2,FALSE)</f>
        <v>USD</v>
      </c>
      <c r="E84" s="9" t="s">
        <v>92</v>
      </c>
      <c r="F84" s="74">
        <v>0</v>
      </c>
      <c r="G84" s="74">
        <v>1.7845577028571411</v>
      </c>
      <c r="H84" s="74">
        <v>0</v>
      </c>
      <c r="I84" s="74">
        <v>1.7845577028571411</v>
      </c>
      <c r="J84" s="74">
        <v>0</v>
      </c>
      <c r="K84" s="74">
        <v>1.7845577028571411</v>
      </c>
      <c r="L84" s="74">
        <v>0</v>
      </c>
      <c r="M84" s="74">
        <v>1.7845577028571411</v>
      </c>
      <c r="N84" s="74">
        <v>0</v>
      </c>
      <c r="O84" s="74">
        <v>1.7845577028571411</v>
      </c>
      <c r="P84" s="74">
        <v>0</v>
      </c>
      <c r="Q84" s="74">
        <v>1.7845577028571411</v>
      </c>
      <c r="R84" s="74">
        <v>0</v>
      </c>
      <c r="S84" s="74">
        <v>1.7845577028571407</v>
      </c>
      <c r="T84" s="77"/>
      <c r="AA84" s="77"/>
      <c r="AB84" s="77"/>
      <c r="AC84" s="77"/>
      <c r="AD84" s="77"/>
      <c r="AE84" s="77"/>
      <c r="AF84" s="77"/>
      <c r="AG84" s="77"/>
      <c r="AH84" s="77"/>
      <c r="AI84" s="77"/>
      <c r="AJ84" s="77"/>
      <c r="AK84" s="77"/>
      <c r="AL84" s="77"/>
      <c r="AM84" s="77"/>
      <c r="AN84" s="77"/>
      <c r="AO84" s="77"/>
      <c r="AP84" s="77"/>
      <c r="AQ84" s="77"/>
      <c r="AR84" s="77"/>
      <c r="AS84" s="77"/>
      <c r="AT84" s="77"/>
      <c r="AU84" s="77"/>
      <c r="AV84" s="77"/>
      <c r="AW84" s="77"/>
      <c r="AX84" s="77"/>
      <c r="AY84" s="77"/>
      <c r="AZ84" s="77"/>
      <c r="BA84" s="77"/>
      <c r="BB84" s="77"/>
      <c r="BC84" s="77"/>
      <c r="BD84" s="77"/>
      <c r="BE84" s="77"/>
      <c r="BF84" s="77"/>
      <c r="BG84" s="77"/>
      <c r="BH84" s="77"/>
      <c r="BI84" s="77"/>
      <c r="BJ84" s="77"/>
      <c r="BK84" s="77"/>
      <c r="BL84" s="77"/>
      <c r="BM84" s="77"/>
      <c r="BN84" s="77"/>
      <c r="BO84" s="77"/>
      <c r="BP84" s="77"/>
      <c r="BQ84" s="77"/>
      <c r="BR84" s="77"/>
      <c r="BS84" s="77"/>
      <c r="BT84" s="77"/>
    </row>
    <row r="85" spans="1:72" ht="27.95" customHeight="1" x14ac:dyDescent="0.3">
      <c r="A85" s="67"/>
      <c r="B85" s="9" t="s">
        <v>171</v>
      </c>
      <c r="C85" s="9" t="s">
        <v>172</v>
      </c>
      <c r="D85" s="9" t="s">
        <v>99</v>
      </c>
      <c r="E85" s="9" t="s">
        <v>92</v>
      </c>
      <c r="F85" s="74">
        <v>0</v>
      </c>
      <c r="G85" s="74">
        <v>0</v>
      </c>
      <c r="H85" s="74">
        <v>0</v>
      </c>
      <c r="I85" s="74">
        <v>0.37941736583333335</v>
      </c>
      <c r="J85" s="74">
        <v>0</v>
      </c>
      <c r="K85" s="74">
        <v>0.37941736583333335</v>
      </c>
      <c r="L85" s="74">
        <v>0</v>
      </c>
      <c r="M85" s="74">
        <v>0.37941736583333335</v>
      </c>
      <c r="N85" s="74">
        <v>0</v>
      </c>
      <c r="O85" s="74">
        <v>0.37941736583333335</v>
      </c>
      <c r="P85" s="74">
        <v>0</v>
      </c>
      <c r="Q85" s="74">
        <v>0.37941736583333335</v>
      </c>
      <c r="R85" s="74">
        <v>0</v>
      </c>
      <c r="S85" s="74">
        <v>0.37941736583333335</v>
      </c>
      <c r="T85" s="77"/>
      <c r="AA85" s="77"/>
      <c r="AB85" s="77"/>
      <c r="AC85" s="77"/>
      <c r="AD85" s="77"/>
      <c r="AE85" s="77"/>
      <c r="AF85" s="77"/>
      <c r="AG85" s="77"/>
      <c r="AH85" s="77"/>
      <c r="AI85" s="77"/>
      <c r="AJ85" s="77"/>
      <c r="AK85" s="77"/>
      <c r="AL85" s="77"/>
      <c r="AM85" s="77"/>
      <c r="AN85" s="77"/>
      <c r="AO85" s="77"/>
      <c r="AP85" s="77"/>
      <c r="AQ85" s="77"/>
      <c r="AR85" s="77"/>
      <c r="AS85" s="77"/>
      <c r="AT85" s="77"/>
      <c r="AU85" s="77"/>
      <c r="AV85" s="77"/>
      <c r="AW85" s="77"/>
      <c r="AX85" s="77"/>
      <c r="AY85" s="77"/>
      <c r="AZ85" s="77"/>
      <c r="BA85" s="77"/>
      <c r="BB85" s="77"/>
      <c r="BC85" s="77"/>
      <c r="BD85" s="77"/>
      <c r="BE85" s="77"/>
      <c r="BF85" s="77"/>
      <c r="BG85" s="77"/>
      <c r="BH85" s="77"/>
      <c r="BI85" s="77"/>
      <c r="BJ85" s="77"/>
      <c r="BK85" s="77"/>
      <c r="BL85" s="77"/>
      <c r="BM85" s="77"/>
      <c r="BN85" s="77"/>
      <c r="BO85" s="77"/>
      <c r="BP85" s="77"/>
      <c r="BQ85" s="77"/>
      <c r="BR85" s="77"/>
      <c r="BS85" s="77"/>
      <c r="BT85" s="77"/>
    </row>
    <row r="86" spans="1:72" ht="27.95" customHeight="1" x14ac:dyDescent="0.3">
      <c r="A86" s="67"/>
      <c r="B86" s="9" t="s">
        <v>146</v>
      </c>
      <c r="C86" s="9" t="s">
        <v>147</v>
      </c>
      <c r="D86" s="9" t="s">
        <v>99</v>
      </c>
      <c r="E86" s="9" t="s">
        <v>92</v>
      </c>
      <c r="F86" s="74">
        <v>0</v>
      </c>
      <c r="G86" s="74">
        <v>0</v>
      </c>
      <c r="H86" s="74">
        <v>0</v>
      </c>
      <c r="I86" s="74">
        <v>0</v>
      </c>
      <c r="J86" s="74">
        <v>0</v>
      </c>
      <c r="K86" s="74">
        <v>7.7661930979472049E-2</v>
      </c>
      <c r="L86" s="74">
        <v>0</v>
      </c>
      <c r="M86" s="74">
        <v>7.7661930979472049E-2</v>
      </c>
      <c r="N86" s="74">
        <v>0</v>
      </c>
      <c r="O86" s="74">
        <v>7.7661930979472049E-2</v>
      </c>
      <c r="P86" s="74">
        <v>0</v>
      </c>
      <c r="Q86" s="74">
        <v>7.7661930979472049E-2</v>
      </c>
      <c r="R86" s="74">
        <v>0</v>
      </c>
      <c r="S86" s="74">
        <v>7.5849094121874697E-2</v>
      </c>
      <c r="T86" s="77"/>
      <c r="AA86" s="77"/>
      <c r="AB86" s="77"/>
      <c r="AC86" s="77"/>
      <c r="AD86" s="77"/>
      <c r="AE86" s="77"/>
      <c r="AF86" s="77"/>
      <c r="AG86" s="77"/>
      <c r="AH86" s="77"/>
      <c r="AI86" s="77"/>
      <c r="AJ86" s="77"/>
      <c r="AK86" s="77"/>
      <c r="AL86" s="77"/>
      <c r="AM86" s="77"/>
      <c r="AN86" s="77"/>
      <c r="AO86" s="77"/>
      <c r="AP86" s="77"/>
      <c r="AQ86" s="77"/>
      <c r="AR86" s="77"/>
      <c r="AS86" s="77"/>
      <c r="AT86" s="77"/>
      <c r="AU86" s="77"/>
      <c r="AV86" s="77"/>
      <c r="AW86" s="77"/>
      <c r="AX86" s="77"/>
      <c r="AY86" s="77"/>
      <c r="AZ86" s="77"/>
      <c r="BA86" s="77"/>
      <c r="BB86" s="77"/>
      <c r="BC86" s="77"/>
      <c r="BD86" s="77"/>
      <c r="BE86" s="77"/>
      <c r="BF86" s="77"/>
      <c r="BG86" s="77"/>
      <c r="BH86" s="77"/>
      <c r="BI86" s="77"/>
      <c r="BJ86" s="77"/>
      <c r="BK86" s="77"/>
      <c r="BL86" s="77"/>
      <c r="BM86" s="77"/>
      <c r="BN86" s="77"/>
      <c r="BO86" s="77"/>
      <c r="BP86" s="77"/>
      <c r="BQ86" s="77"/>
      <c r="BR86" s="77"/>
      <c r="BS86" s="77"/>
      <c r="BT86" s="77"/>
    </row>
    <row r="87" spans="1:72" ht="27.95" customHeight="1" x14ac:dyDescent="0.3">
      <c r="A87" s="67"/>
      <c r="B87" s="185" t="s">
        <v>93</v>
      </c>
      <c r="C87" s="185"/>
      <c r="D87" s="185"/>
      <c r="E87" s="185"/>
      <c r="F87" s="198">
        <f t="shared" ref="F87:S87" si="46">+SUM(F88:F96)</f>
        <v>15608.389041546936</v>
      </c>
      <c r="G87" s="198">
        <f t="shared" si="46"/>
        <v>79.695538461538462</v>
      </c>
      <c r="H87" s="198">
        <f t="shared" si="46"/>
        <v>40149.73637755082</v>
      </c>
      <c r="I87" s="198">
        <f t="shared" si="46"/>
        <v>79.695538461538462</v>
      </c>
      <c r="J87" s="198">
        <f t="shared" si="46"/>
        <v>14514.410309673332</v>
      </c>
      <c r="K87" s="198">
        <f t="shared" si="46"/>
        <v>79.695538461538462</v>
      </c>
      <c r="L87" s="198">
        <f t="shared" si="46"/>
        <v>7665.8150439933333</v>
      </c>
      <c r="M87" s="198">
        <f t="shared" si="46"/>
        <v>79.695538461538462</v>
      </c>
      <c r="N87" s="198">
        <f t="shared" si="46"/>
        <v>813.10897683333326</v>
      </c>
      <c r="O87" s="198">
        <f t="shared" si="46"/>
        <v>79.695538461538462</v>
      </c>
      <c r="P87" s="198">
        <f t="shared" si="46"/>
        <v>813.10897683333326</v>
      </c>
      <c r="Q87" s="198">
        <f t="shared" si="46"/>
        <v>39.847769230769231</v>
      </c>
      <c r="R87" s="198">
        <f t="shared" si="46"/>
        <v>609.83173262499997</v>
      </c>
      <c r="S87" s="198">
        <f t="shared" si="46"/>
        <v>0</v>
      </c>
      <c r="T87" s="112"/>
      <c r="AA87" s="112"/>
      <c r="AB87" s="112"/>
      <c r="AC87" s="112"/>
      <c r="AD87" s="112"/>
      <c r="AE87" s="112"/>
      <c r="AF87" s="112"/>
      <c r="AG87" s="112"/>
      <c r="AH87" s="112"/>
      <c r="AI87" s="112"/>
      <c r="AJ87" s="112"/>
      <c r="AK87" s="112"/>
      <c r="AL87" s="112"/>
      <c r="AM87" s="112"/>
      <c r="AN87" s="112"/>
      <c r="AO87" s="112"/>
      <c r="AP87" s="112"/>
      <c r="AQ87" s="112"/>
      <c r="AR87" s="112"/>
      <c r="AS87" s="112"/>
      <c r="AT87" s="112"/>
      <c r="AU87" s="112"/>
      <c r="AV87" s="112"/>
      <c r="AW87" s="112"/>
      <c r="AX87" s="112"/>
      <c r="AY87" s="112"/>
      <c r="AZ87" s="112"/>
      <c r="BA87" s="112"/>
      <c r="BB87" s="112"/>
      <c r="BC87" s="112"/>
      <c r="BD87" s="112"/>
      <c r="BE87" s="112"/>
      <c r="BF87" s="112"/>
      <c r="BG87" s="112"/>
      <c r="BH87" s="112"/>
      <c r="BI87" s="112"/>
      <c r="BJ87" s="112"/>
      <c r="BK87" s="112"/>
      <c r="BL87" s="112"/>
      <c r="BM87" s="112"/>
      <c r="BN87" s="112"/>
      <c r="BO87" s="112"/>
      <c r="BP87" s="112"/>
      <c r="BQ87" s="112"/>
      <c r="BR87" s="112"/>
      <c r="BS87" s="112"/>
      <c r="BT87" s="112"/>
    </row>
    <row r="88" spans="1:72" ht="27.95" customHeight="1" x14ac:dyDescent="0.3">
      <c r="A88" s="67"/>
      <c r="B88" s="9" t="s">
        <v>124</v>
      </c>
      <c r="C88" s="9" t="s">
        <v>123</v>
      </c>
      <c r="D88" s="9" t="str">
        <f>+VLOOKUP($C88,$C$10:$D$43,2,FALSE)</f>
        <v>USD</v>
      </c>
      <c r="E88" s="9" t="s">
        <v>93</v>
      </c>
      <c r="F88" s="74">
        <v>0</v>
      </c>
      <c r="G88" s="74">
        <v>79.695538461538462</v>
      </c>
      <c r="H88" s="74">
        <v>0</v>
      </c>
      <c r="I88" s="74">
        <v>79.695538461538462</v>
      </c>
      <c r="J88" s="74">
        <v>0</v>
      </c>
      <c r="K88" s="74">
        <v>79.695538461538462</v>
      </c>
      <c r="L88" s="74">
        <v>0</v>
      </c>
      <c r="M88" s="74">
        <v>79.695538461538462</v>
      </c>
      <c r="N88" s="74">
        <v>0</v>
      </c>
      <c r="O88" s="74">
        <v>79.695538461538462</v>
      </c>
      <c r="P88" s="74">
        <v>0</v>
      </c>
      <c r="Q88" s="74">
        <v>39.847769230769231</v>
      </c>
      <c r="R88" s="74">
        <v>0</v>
      </c>
      <c r="S88" s="74">
        <v>0</v>
      </c>
      <c r="T88" s="77"/>
      <c r="AA88" s="77"/>
      <c r="AB88" s="77"/>
      <c r="AC88" s="77"/>
      <c r="AD88" s="77"/>
      <c r="AE88" s="77"/>
      <c r="AF88" s="77"/>
      <c r="AG88" s="77"/>
      <c r="AH88" s="77"/>
      <c r="AI88" s="77"/>
      <c r="AJ88" s="77"/>
      <c r="AK88" s="77"/>
      <c r="AL88" s="77"/>
      <c r="AM88" s="77"/>
      <c r="AN88" s="77"/>
      <c r="AO88" s="77"/>
      <c r="AP88" s="77"/>
      <c r="AQ88" s="77"/>
      <c r="AR88" s="77"/>
      <c r="AS88" s="77"/>
      <c r="AT88" s="77"/>
      <c r="AU88" s="77"/>
      <c r="AV88" s="77"/>
      <c r="AW88" s="77"/>
      <c r="AX88" s="77"/>
      <c r="AY88" s="77"/>
      <c r="AZ88" s="77"/>
      <c r="BA88" s="77"/>
      <c r="BB88" s="77"/>
      <c r="BC88" s="77"/>
      <c r="BD88" s="77"/>
      <c r="BE88" s="77"/>
      <c r="BF88" s="77"/>
      <c r="BG88" s="77"/>
      <c r="BH88" s="77"/>
      <c r="BI88" s="77"/>
      <c r="BJ88" s="77"/>
      <c r="BK88" s="77"/>
      <c r="BL88" s="77"/>
      <c r="BM88" s="77"/>
      <c r="BN88" s="77"/>
      <c r="BO88" s="77"/>
      <c r="BP88" s="77"/>
      <c r="BQ88" s="77"/>
      <c r="BR88" s="77"/>
      <c r="BS88" s="77"/>
      <c r="BT88" s="77"/>
    </row>
    <row r="89" spans="1:72" ht="27.95" customHeight="1" x14ac:dyDescent="0.3">
      <c r="A89" s="67"/>
      <c r="B89" s="9" t="s">
        <v>236</v>
      </c>
      <c r="C89" s="9" t="s">
        <v>238</v>
      </c>
      <c r="D89" s="9" t="s">
        <v>240</v>
      </c>
      <c r="E89" s="9" t="s">
        <v>93</v>
      </c>
      <c r="F89" s="74">
        <v>0</v>
      </c>
      <c r="G89" s="74">
        <v>0</v>
      </c>
      <c r="H89" s="74">
        <v>37314.775999999998</v>
      </c>
      <c r="I89" s="74">
        <v>0</v>
      </c>
      <c r="J89" s="74">
        <v>0</v>
      </c>
      <c r="K89" s="74">
        <v>0</v>
      </c>
      <c r="L89" s="74">
        <v>0</v>
      </c>
      <c r="M89" s="74">
        <v>0</v>
      </c>
      <c r="N89" s="74">
        <v>0</v>
      </c>
      <c r="O89" s="74">
        <v>0</v>
      </c>
      <c r="P89" s="74">
        <v>0</v>
      </c>
      <c r="Q89" s="74">
        <v>0</v>
      </c>
      <c r="R89" s="74">
        <v>0</v>
      </c>
      <c r="S89" s="74">
        <v>0</v>
      </c>
      <c r="T89" s="77"/>
      <c r="AA89" s="77"/>
      <c r="AB89" s="77"/>
      <c r="AC89" s="77"/>
      <c r="AD89" s="77"/>
      <c r="AE89" s="77"/>
      <c r="AF89" s="77"/>
      <c r="AG89" s="77"/>
      <c r="AH89" s="77"/>
      <c r="AI89" s="77"/>
      <c r="AJ89" s="77"/>
      <c r="AK89" s="77"/>
      <c r="AL89" s="77"/>
      <c r="AM89" s="77"/>
      <c r="AN89" s="77"/>
      <c r="AO89" s="77"/>
      <c r="AP89" s="77"/>
      <c r="AQ89" s="77"/>
      <c r="AR89" s="77"/>
      <c r="AS89" s="77"/>
      <c r="AT89" s="77"/>
      <c r="AU89" s="77"/>
      <c r="AV89" s="77"/>
      <c r="AW89" s="77"/>
      <c r="AX89" s="77"/>
      <c r="AY89" s="77"/>
      <c r="AZ89" s="77"/>
      <c r="BA89" s="77"/>
      <c r="BB89" s="77"/>
      <c r="BC89" s="77"/>
      <c r="BD89" s="77"/>
      <c r="BE89" s="77"/>
      <c r="BF89" s="77"/>
      <c r="BG89" s="77"/>
      <c r="BH89" s="77"/>
      <c r="BI89" s="77"/>
      <c r="BJ89" s="77"/>
      <c r="BK89" s="77"/>
      <c r="BL89" s="77"/>
      <c r="BM89" s="77"/>
      <c r="BN89" s="77"/>
      <c r="BO89" s="77"/>
      <c r="BP89" s="77"/>
      <c r="BQ89" s="77"/>
      <c r="BR89" s="77"/>
      <c r="BS89" s="77"/>
      <c r="BT89" s="77"/>
    </row>
    <row r="90" spans="1:72" ht="27.95" customHeight="1" x14ac:dyDescent="0.3">
      <c r="A90" s="67"/>
      <c r="B90" s="9" t="s">
        <v>237</v>
      </c>
      <c r="C90" s="9" t="s">
        <v>239</v>
      </c>
      <c r="D90" s="9" t="s">
        <v>240</v>
      </c>
      <c r="E90" s="9" t="s">
        <v>93</v>
      </c>
      <c r="F90" s="74">
        <v>0</v>
      </c>
      <c r="G90" s="74">
        <v>0</v>
      </c>
      <c r="H90" s="74">
        <v>0</v>
      </c>
      <c r="I90" s="74">
        <v>0</v>
      </c>
      <c r="J90" s="74">
        <v>13701.301332839999</v>
      </c>
      <c r="K90" s="74">
        <v>0</v>
      </c>
      <c r="L90" s="74">
        <v>6852.7060671600002</v>
      </c>
      <c r="M90" s="74">
        <v>0</v>
      </c>
      <c r="N90" s="74">
        <v>0</v>
      </c>
      <c r="O90" s="74">
        <v>0</v>
      </c>
      <c r="P90" s="74">
        <v>0</v>
      </c>
      <c r="Q90" s="74">
        <v>0</v>
      </c>
      <c r="R90" s="74">
        <v>0</v>
      </c>
      <c r="S90" s="74">
        <v>0</v>
      </c>
      <c r="T90" s="77"/>
      <c r="AA90" s="77"/>
      <c r="AB90" s="77"/>
      <c r="AC90" s="77"/>
      <c r="AD90" s="77"/>
      <c r="AE90" s="77"/>
      <c r="AF90" s="77"/>
      <c r="AG90" s="77"/>
      <c r="AH90" s="77"/>
      <c r="AI90" s="77"/>
      <c r="AJ90" s="77"/>
      <c r="AK90" s="77"/>
      <c r="AL90" s="77"/>
      <c r="AM90" s="77"/>
      <c r="AN90" s="77"/>
      <c r="AO90" s="77"/>
      <c r="AP90" s="77"/>
      <c r="AQ90" s="77"/>
      <c r="AR90" s="77"/>
      <c r="AS90" s="77"/>
      <c r="AT90" s="77"/>
      <c r="AU90" s="77"/>
      <c r="AV90" s="77"/>
      <c r="AW90" s="77"/>
      <c r="AX90" s="77"/>
      <c r="AY90" s="77"/>
      <c r="AZ90" s="77"/>
      <c r="BA90" s="77"/>
      <c r="BB90" s="77"/>
      <c r="BC90" s="77"/>
      <c r="BD90" s="77"/>
      <c r="BE90" s="77"/>
      <c r="BF90" s="77"/>
      <c r="BG90" s="77"/>
      <c r="BH90" s="77"/>
      <c r="BI90" s="77"/>
      <c r="BJ90" s="77"/>
      <c r="BK90" s="77"/>
      <c r="BL90" s="77"/>
      <c r="BM90" s="77"/>
      <c r="BN90" s="77"/>
      <c r="BO90" s="77"/>
      <c r="BP90" s="77"/>
      <c r="BQ90" s="77"/>
      <c r="BR90" s="77"/>
      <c r="BS90" s="77"/>
      <c r="BT90" s="77"/>
    </row>
    <row r="91" spans="1:72" ht="27.95" customHeight="1" x14ac:dyDescent="0.3">
      <c r="A91" s="67"/>
      <c r="B91" s="9" t="s">
        <v>134</v>
      </c>
      <c r="C91" s="9" t="s">
        <v>135</v>
      </c>
      <c r="D91" s="9" t="str">
        <f>+VLOOKUP($C91,$C$10:$D$43,2,FALSE)</f>
        <v>Pesos</v>
      </c>
      <c r="E91" s="9" t="s">
        <v>93</v>
      </c>
      <c r="F91" s="74">
        <v>9003.2402341122288</v>
      </c>
      <c r="G91" s="74">
        <v>0</v>
      </c>
      <c r="H91" s="74">
        <v>0</v>
      </c>
      <c r="I91" s="74">
        <v>0</v>
      </c>
      <c r="J91" s="74">
        <v>0</v>
      </c>
      <c r="K91" s="74">
        <v>0</v>
      </c>
      <c r="L91" s="74">
        <v>0</v>
      </c>
      <c r="M91" s="74">
        <v>0</v>
      </c>
      <c r="N91" s="74">
        <v>0</v>
      </c>
      <c r="O91" s="74">
        <v>0</v>
      </c>
      <c r="P91" s="74">
        <v>0</v>
      </c>
      <c r="Q91" s="74">
        <v>0</v>
      </c>
      <c r="R91" s="74">
        <v>0</v>
      </c>
      <c r="S91" s="74">
        <v>0</v>
      </c>
      <c r="T91" s="77"/>
      <c r="AA91" s="77"/>
      <c r="AB91" s="77"/>
      <c r="AC91" s="77"/>
      <c r="AD91" s="77"/>
      <c r="AE91" s="77"/>
      <c r="AF91" s="77"/>
      <c r="AG91" s="77"/>
      <c r="AH91" s="77"/>
      <c r="AI91" s="77"/>
      <c r="AJ91" s="77"/>
      <c r="AK91" s="77"/>
      <c r="AL91" s="77"/>
      <c r="AM91" s="77"/>
      <c r="AN91" s="77"/>
      <c r="AO91" s="77"/>
      <c r="AP91" s="77"/>
      <c r="AQ91" s="77"/>
      <c r="AR91" s="77"/>
      <c r="AS91" s="77"/>
      <c r="AT91" s="77"/>
      <c r="AU91" s="77"/>
      <c r="AV91" s="77"/>
      <c r="AW91" s="77"/>
      <c r="AX91" s="77"/>
      <c r="AY91" s="77"/>
      <c r="AZ91" s="77"/>
      <c r="BA91" s="77"/>
      <c r="BB91" s="77"/>
      <c r="BC91" s="77"/>
      <c r="BD91" s="77"/>
      <c r="BE91" s="77"/>
      <c r="BF91" s="77"/>
      <c r="BG91" s="77"/>
      <c r="BH91" s="77"/>
      <c r="BI91" s="77"/>
      <c r="BJ91" s="77"/>
      <c r="BK91" s="77"/>
      <c r="BL91" s="77"/>
      <c r="BM91" s="77"/>
      <c r="BN91" s="77"/>
      <c r="BO91" s="77"/>
      <c r="BP91" s="77"/>
      <c r="BQ91" s="77"/>
      <c r="BR91" s="77"/>
      <c r="BS91" s="77"/>
      <c r="BT91" s="77"/>
    </row>
    <row r="92" spans="1:72" ht="27.95" customHeight="1" x14ac:dyDescent="0.3">
      <c r="A92" s="67"/>
      <c r="B92" s="9" t="s">
        <v>136</v>
      </c>
      <c r="C92" s="9" t="s">
        <v>137</v>
      </c>
      <c r="D92" s="9" t="s">
        <v>2</v>
      </c>
      <c r="E92" s="9" t="s">
        <v>93</v>
      </c>
      <c r="F92" s="74">
        <v>0</v>
      </c>
      <c r="G92" s="74">
        <v>0</v>
      </c>
      <c r="H92" s="74">
        <v>406.55448841666663</v>
      </c>
      <c r="I92" s="74">
        <v>0</v>
      </c>
      <c r="J92" s="74">
        <v>813.10897683333326</v>
      </c>
      <c r="K92" s="74">
        <v>0</v>
      </c>
      <c r="L92" s="74">
        <v>813.10897683333326</v>
      </c>
      <c r="M92" s="74">
        <v>0</v>
      </c>
      <c r="N92" s="74">
        <v>813.10897683333326</v>
      </c>
      <c r="O92" s="74">
        <v>0</v>
      </c>
      <c r="P92" s="74">
        <v>813.10897683333326</v>
      </c>
      <c r="Q92" s="74">
        <v>0</v>
      </c>
      <c r="R92" s="74">
        <v>609.83173262499997</v>
      </c>
      <c r="S92" s="74">
        <v>0</v>
      </c>
      <c r="T92" s="77"/>
      <c r="AA92" s="77"/>
      <c r="AB92" s="77"/>
      <c r="AC92" s="77"/>
      <c r="AD92" s="77"/>
      <c r="AE92" s="77"/>
      <c r="AF92" s="77"/>
      <c r="AG92" s="77"/>
      <c r="AH92" s="77"/>
      <c r="AI92" s="77"/>
      <c r="AJ92" s="77"/>
      <c r="AK92" s="77"/>
      <c r="AL92" s="77"/>
      <c r="AM92" s="77"/>
      <c r="AN92" s="77"/>
      <c r="AO92" s="77"/>
      <c r="AP92" s="77"/>
      <c r="AQ92" s="77"/>
      <c r="AR92" s="77"/>
      <c r="AS92" s="77"/>
      <c r="AT92" s="77"/>
      <c r="AU92" s="77"/>
      <c r="AV92" s="77"/>
      <c r="AW92" s="77"/>
      <c r="AX92" s="77"/>
      <c r="AY92" s="77"/>
      <c r="AZ92" s="77"/>
      <c r="BA92" s="77"/>
      <c r="BB92" s="77"/>
      <c r="BC92" s="77"/>
      <c r="BD92" s="77"/>
      <c r="BE92" s="77"/>
      <c r="BF92" s="77"/>
      <c r="BG92" s="77"/>
      <c r="BH92" s="77"/>
      <c r="BI92" s="77"/>
      <c r="BJ92" s="77"/>
      <c r="BK92" s="77"/>
      <c r="BL92" s="77"/>
      <c r="BM92" s="77"/>
      <c r="BN92" s="77"/>
      <c r="BO92" s="77"/>
      <c r="BP92" s="77"/>
      <c r="BQ92" s="77"/>
      <c r="BR92" s="77"/>
      <c r="BS92" s="77"/>
      <c r="BT92" s="77"/>
    </row>
    <row r="93" spans="1:72" ht="27.95" customHeight="1" x14ac:dyDescent="0.3">
      <c r="A93" s="67"/>
      <c r="B93" s="9" t="s">
        <v>165</v>
      </c>
      <c r="C93" s="9" t="s">
        <v>167</v>
      </c>
      <c r="D93" s="9" t="s">
        <v>2</v>
      </c>
      <c r="E93" s="9" t="s">
        <v>93</v>
      </c>
      <c r="F93" s="74">
        <v>4035</v>
      </c>
      <c r="G93" s="74">
        <v>0</v>
      </c>
      <c r="H93" s="74">
        <v>2017.5</v>
      </c>
      <c r="I93" s="74">
        <v>0</v>
      </c>
      <c r="J93" s="74">
        <v>0</v>
      </c>
      <c r="K93" s="74">
        <v>0</v>
      </c>
      <c r="L93" s="74">
        <v>0</v>
      </c>
      <c r="M93" s="74">
        <v>0</v>
      </c>
      <c r="N93" s="74">
        <v>0</v>
      </c>
      <c r="O93" s="74">
        <v>0</v>
      </c>
      <c r="P93" s="74">
        <v>0</v>
      </c>
      <c r="Q93" s="74">
        <v>0</v>
      </c>
      <c r="R93" s="74">
        <v>0</v>
      </c>
      <c r="S93" s="74">
        <v>0</v>
      </c>
      <c r="T93" s="77"/>
      <c r="AA93" s="77"/>
      <c r="AB93" s="77"/>
      <c r="AC93" s="77"/>
      <c r="AD93" s="77"/>
      <c r="AE93" s="77"/>
      <c r="AF93" s="77"/>
      <c r="AG93" s="77"/>
      <c r="AH93" s="77"/>
      <c r="AI93" s="77"/>
      <c r="AJ93" s="77"/>
      <c r="AK93" s="77"/>
      <c r="AL93" s="77"/>
      <c r="AM93" s="77"/>
      <c r="AN93" s="77"/>
      <c r="AO93" s="77"/>
      <c r="AP93" s="77"/>
      <c r="AQ93" s="77"/>
      <c r="AR93" s="77"/>
      <c r="AS93" s="77"/>
      <c r="AT93" s="77"/>
      <c r="AU93" s="77"/>
      <c r="AV93" s="77"/>
      <c r="AW93" s="77"/>
      <c r="AX93" s="77"/>
      <c r="AY93" s="77"/>
      <c r="AZ93" s="77"/>
      <c r="BA93" s="77"/>
      <c r="BB93" s="77"/>
      <c r="BC93" s="77"/>
      <c r="BD93" s="77"/>
      <c r="BE93" s="77"/>
      <c r="BF93" s="77"/>
      <c r="BG93" s="77"/>
      <c r="BH93" s="77"/>
      <c r="BI93" s="77"/>
      <c r="BJ93" s="77"/>
      <c r="BK93" s="77"/>
      <c r="BL93" s="77"/>
      <c r="BM93" s="77"/>
      <c r="BN93" s="77"/>
      <c r="BO93" s="77"/>
      <c r="BP93" s="77"/>
      <c r="BQ93" s="77"/>
      <c r="BR93" s="77"/>
      <c r="BS93" s="77"/>
      <c r="BT93" s="77"/>
    </row>
    <row r="94" spans="1:72" ht="27.95" customHeight="1" x14ac:dyDescent="0.3">
      <c r="A94" s="67"/>
      <c r="B94" s="9" t="s">
        <v>166</v>
      </c>
      <c r="C94" s="9" t="s">
        <v>168</v>
      </c>
      <c r="D94" s="9" t="s">
        <v>2</v>
      </c>
      <c r="E94" s="9" t="s">
        <v>93</v>
      </c>
      <c r="F94" s="74">
        <v>1755.4136739999999</v>
      </c>
      <c r="G94" s="74">
        <v>0</v>
      </c>
      <c r="H94" s="74">
        <v>0</v>
      </c>
      <c r="I94" s="74">
        <v>0</v>
      </c>
      <c r="J94" s="74">
        <v>0</v>
      </c>
      <c r="K94" s="74">
        <v>0</v>
      </c>
      <c r="L94" s="74">
        <v>0</v>
      </c>
      <c r="M94" s="74">
        <v>0</v>
      </c>
      <c r="N94" s="74">
        <v>0</v>
      </c>
      <c r="O94" s="74">
        <v>0</v>
      </c>
      <c r="P94" s="74">
        <v>0</v>
      </c>
      <c r="Q94" s="74">
        <v>0</v>
      </c>
      <c r="R94" s="74">
        <v>0</v>
      </c>
      <c r="S94" s="74">
        <v>0</v>
      </c>
      <c r="T94" s="77"/>
      <c r="AA94" s="77"/>
      <c r="AB94" s="77"/>
      <c r="AC94" s="77"/>
      <c r="AD94" s="77"/>
      <c r="AE94" s="77"/>
      <c r="AF94" s="77"/>
      <c r="AG94" s="77"/>
      <c r="AH94" s="77"/>
      <c r="AI94" s="77"/>
      <c r="AJ94" s="77"/>
      <c r="AK94" s="77"/>
      <c r="AL94" s="77"/>
      <c r="AM94" s="77"/>
      <c r="AN94" s="77"/>
      <c r="AO94" s="77"/>
      <c r="AP94" s="77"/>
      <c r="AQ94" s="77"/>
      <c r="AR94" s="77"/>
      <c r="AS94" s="77"/>
      <c r="AT94" s="77"/>
      <c r="AU94" s="77"/>
      <c r="AV94" s="77"/>
      <c r="AW94" s="77"/>
      <c r="AX94" s="77"/>
      <c r="AY94" s="77"/>
      <c r="AZ94" s="77"/>
      <c r="BA94" s="77"/>
      <c r="BB94" s="77"/>
      <c r="BC94" s="77"/>
      <c r="BD94" s="77"/>
      <c r="BE94" s="77"/>
      <c r="BF94" s="77"/>
      <c r="BG94" s="77"/>
      <c r="BH94" s="77"/>
      <c r="BI94" s="77"/>
      <c r="BJ94" s="77"/>
      <c r="BK94" s="77"/>
      <c r="BL94" s="77"/>
      <c r="BM94" s="77"/>
      <c r="BN94" s="77"/>
      <c r="BO94" s="77"/>
      <c r="BP94" s="77"/>
      <c r="BQ94" s="77"/>
      <c r="BR94" s="77"/>
      <c r="BS94" s="77"/>
      <c r="BT94" s="77"/>
    </row>
    <row r="95" spans="1:72" ht="27.95" customHeight="1" x14ac:dyDescent="0.3">
      <c r="A95" s="67"/>
      <c r="B95" s="9" t="s">
        <v>128</v>
      </c>
      <c r="C95" s="9" t="s">
        <v>129</v>
      </c>
      <c r="D95" s="9" t="s">
        <v>2</v>
      </c>
      <c r="E95" s="9" t="s">
        <v>93</v>
      </c>
      <c r="F95" s="74">
        <v>807.69230769230774</v>
      </c>
      <c r="G95" s="74">
        <v>0</v>
      </c>
      <c r="H95" s="74">
        <v>403.84615384615387</v>
      </c>
      <c r="I95" s="74">
        <v>0</v>
      </c>
      <c r="J95" s="74">
        <v>0</v>
      </c>
      <c r="K95" s="74">
        <v>0</v>
      </c>
      <c r="L95" s="74">
        <v>0</v>
      </c>
      <c r="M95" s="74">
        <v>0</v>
      </c>
      <c r="N95" s="74">
        <v>0</v>
      </c>
      <c r="O95" s="74">
        <v>0</v>
      </c>
      <c r="P95" s="74">
        <v>0</v>
      </c>
      <c r="Q95" s="74">
        <v>0</v>
      </c>
      <c r="R95" s="74">
        <v>0</v>
      </c>
      <c r="S95" s="74">
        <v>0</v>
      </c>
      <c r="T95" s="77"/>
      <c r="AA95" s="77"/>
      <c r="AB95" s="77"/>
      <c r="AC95" s="77"/>
      <c r="AD95" s="77"/>
      <c r="AE95" s="77"/>
      <c r="AF95" s="77"/>
      <c r="AG95" s="77"/>
      <c r="AH95" s="77"/>
      <c r="AI95" s="77"/>
      <c r="AJ95" s="77"/>
      <c r="AK95" s="77"/>
      <c r="AL95" s="77"/>
      <c r="AM95" s="77"/>
      <c r="AN95" s="77"/>
      <c r="AO95" s="77"/>
      <c r="AP95" s="77"/>
      <c r="AQ95" s="77"/>
      <c r="AR95" s="77"/>
      <c r="AS95" s="77"/>
      <c r="AT95" s="77"/>
      <c r="AU95" s="77"/>
      <c r="AV95" s="77"/>
      <c r="AW95" s="77"/>
      <c r="AX95" s="77"/>
      <c r="AY95" s="77"/>
      <c r="AZ95" s="77"/>
      <c r="BA95" s="77"/>
      <c r="BB95" s="77"/>
      <c r="BC95" s="77"/>
      <c r="BD95" s="77"/>
      <c r="BE95" s="77"/>
      <c r="BF95" s="77"/>
      <c r="BG95" s="77"/>
      <c r="BH95" s="77"/>
      <c r="BI95" s="77"/>
      <c r="BJ95" s="77"/>
      <c r="BK95" s="77"/>
      <c r="BL95" s="77"/>
      <c r="BM95" s="77"/>
      <c r="BN95" s="77"/>
      <c r="BO95" s="77"/>
      <c r="BP95" s="77"/>
      <c r="BQ95" s="77"/>
      <c r="BR95" s="77"/>
      <c r="BS95" s="77"/>
      <c r="BT95" s="77"/>
    </row>
    <row r="96" spans="1:72" ht="27.95" customHeight="1" x14ac:dyDescent="0.3">
      <c r="A96" s="67"/>
      <c r="B96" s="9" t="s">
        <v>34</v>
      </c>
      <c r="C96" s="9" t="s">
        <v>35</v>
      </c>
      <c r="D96" s="9" t="s">
        <v>2</v>
      </c>
      <c r="E96" s="9" t="s">
        <v>93</v>
      </c>
      <c r="F96" s="74">
        <v>7.0428257423999998</v>
      </c>
      <c r="G96" s="74">
        <v>0</v>
      </c>
      <c r="H96" s="74">
        <v>7.0597352879999997</v>
      </c>
      <c r="I96" s="74">
        <v>0</v>
      </c>
      <c r="J96" s="74">
        <v>0</v>
      </c>
      <c r="K96" s="74">
        <v>0</v>
      </c>
      <c r="L96" s="74">
        <v>0</v>
      </c>
      <c r="M96" s="74">
        <v>0</v>
      </c>
      <c r="N96" s="74">
        <v>0</v>
      </c>
      <c r="O96" s="74">
        <v>0</v>
      </c>
      <c r="P96" s="74">
        <v>0</v>
      </c>
      <c r="Q96" s="74">
        <v>0</v>
      </c>
      <c r="R96" s="74">
        <v>0</v>
      </c>
      <c r="S96" s="74">
        <v>0</v>
      </c>
      <c r="T96" s="77"/>
      <c r="AA96" s="77"/>
      <c r="AB96" s="77"/>
      <c r="AC96" s="77"/>
      <c r="AD96" s="77"/>
      <c r="AE96" s="77"/>
      <c r="AF96" s="77"/>
      <c r="AG96" s="77"/>
      <c r="AH96" s="77"/>
      <c r="AI96" s="77"/>
      <c r="AJ96" s="77"/>
      <c r="AK96" s="77"/>
      <c r="AL96" s="77"/>
      <c r="AM96" s="77"/>
      <c r="AN96" s="77"/>
      <c r="AO96" s="77"/>
      <c r="AP96" s="77"/>
      <c r="AQ96" s="77"/>
      <c r="AR96" s="77"/>
      <c r="AS96" s="77"/>
      <c r="AT96" s="77"/>
      <c r="AU96" s="77"/>
      <c r="AV96" s="77"/>
      <c r="AW96" s="77"/>
      <c r="AX96" s="77"/>
      <c r="AY96" s="77"/>
      <c r="AZ96" s="77"/>
      <c r="BA96" s="77"/>
      <c r="BB96" s="77"/>
      <c r="BC96" s="77"/>
      <c r="BD96" s="77"/>
      <c r="BE96" s="77"/>
      <c r="BF96" s="77"/>
      <c r="BG96" s="77"/>
      <c r="BH96" s="77"/>
      <c r="BI96" s="77"/>
      <c r="BJ96" s="77"/>
      <c r="BK96" s="77"/>
      <c r="BL96" s="77"/>
      <c r="BM96" s="77"/>
      <c r="BN96" s="77"/>
      <c r="BO96" s="77"/>
      <c r="BP96" s="77"/>
      <c r="BQ96" s="77"/>
      <c r="BR96" s="77"/>
      <c r="BS96" s="77"/>
      <c r="BT96" s="77"/>
    </row>
    <row r="97" spans="1:86" ht="6.75" customHeight="1" x14ac:dyDescent="0.3">
      <c r="B97" s="16"/>
      <c r="C97" s="13"/>
      <c r="D97" s="13"/>
      <c r="E97" s="31"/>
      <c r="F97" s="31"/>
      <c r="G97" s="31"/>
      <c r="H97" s="31"/>
      <c r="I97" s="31"/>
      <c r="J97" s="31"/>
      <c r="K97" s="31"/>
      <c r="L97" s="31"/>
      <c r="M97" s="31"/>
      <c r="N97" s="31"/>
      <c r="O97" s="31"/>
      <c r="P97" s="31"/>
      <c r="Q97" s="31"/>
      <c r="R97" s="31"/>
      <c r="S97" s="31"/>
      <c r="T97" s="31"/>
      <c r="AA97" s="31"/>
      <c r="AB97" s="31"/>
      <c r="AC97" s="31"/>
      <c r="AD97" s="31"/>
      <c r="AE97" s="31"/>
      <c r="AF97" s="31"/>
      <c r="AG97" s="31"/>
      <c r="AH97" s="31"/>
      <c r="AI97" s="31"/>
      <c r="AJ97" s="31"/>
      <c r="AK97" s="31"/>
      <c r="AL97" s="31"/>
      <c r="AM97" s="31"/>
      <c r="AN97" s="31"/>
      <c r="AO97" s="31"/>
      <c r="AP97" s="31"/>
      <c r="AQ97" s="31"/>
      <c r="AR97" s="31"/>
      <c r="AS97" s="31"/>
      <c r="AT97" s="31"/>
      <c r="AU97" s="31"/>
      <c r="AV97" s="31"/>
      <c r="AW97" s="31"/>
      <c r="AX97" s="31"/>
      <c r="AY97" s="31"/>
      <c r="AZ97" s="31"/>
      <c r="BA97" s="31"/>
      <c r="BB97" s="31"/>
      <c r="BC97" s="31"/>
      <c r="BD97" s="31"/>
      <c r="BE97" s="31"/>
      <c r="BF97" s="31"/>
      <c r="BG97" s="31"/>
      <c r="BH97" s="31"/>
      <c r="BI97" s="31"/>
      <c r="BJ97" s="31"/>
      <c r="BK97" s="31"/>
      <c r="BL97" s="31"/>
      <c r="BM97" s="31"/>
      <c r="BN97" s="31"/>
      <c r="BO97" s="31"/>
      <c r="BP97" s="31"/>
      <c r="BQ97" s="31"/>
      <c r="BR97" s="31"/>
      <c r="BS97" s="31"/>
      <c r="BT97" s="31"/>
    </row>
    <row r="98" spans="1:86" ht="29.25" customHeight="1" x14ac:dyDescent="0.3">
      <c r="B98" s="219" t="s">
        <v>36</v>
      </c>
      <c r="C98" s="220"/>
      <c r="D98" s="220"/>
      <c r="E98" s="221"/>
      <c r="F98" s="198">
        <f t="shared" ref="F98:S98" si="47">+F87+F70+F68+F62</f>
        <v>21301.059967912632</v>
      </c>
      <c r="G98" s="198">
        <f t="shared" si="47"/>
        <v>96.034455665404352</v>
      </c>
      <c r="H98" s="198">
        <f t="shared" si="47"/>
        <v>44693.671498872864</v>
      </c>
      <c r="I98" s="198">
        <f t="shared" si="47"/>
        <v>97.735351165871137</v>
      </c>
      <c r="J98" s="198">
        <f t="shared" si="47"/>
        <v>18926.189884189582</v>
      </c>
      <c r="K98" s="198">
        <f t="shared" si="47"/>
        <v>93.145680712952554</v>
      </c>
      <c r="L98" s="198">
        <f t="shared" si="47"/>
        <v>9521.7975521348017</v>
      </c>
      <c r="M98" s="198">
        <f t="shared" si="47"/>
        <v>93.145680712952554</v>
      </c>
      <c r="N98" s="198">
        <f t="shared" si="47"/>
        <v>874.51585332480226</v>
      </c>
      <c r="O98" s="198">
        <f t="shared" si="47"/>
        <v>93.145680712952554</v>
      </c>
      <c r="P98" s="198">
        <f t="shared" si="47"/>
        <v>874.51585332480226</v>
      </c>
      <c r="Q98" s="198">
        <f t="shared" si="47"/>
        <v>53.297911482183324</v>
      </c>
      <c r="R98" s="198">
        <f t="shared" si="47"/>
        <v>668.67998926265784</v>
      </c>
      <c r="S98" s="198">
        <f t="shared" si="47"/>
        <v>12.903823886504258</v>
      </c>
      <c r="T98" s="112"/>
      <c r="AA98" s="112"/>
      <c r="AB98" s="112"/>
      <c r="AC98" s="112"/>
      <c r="AD98" s="112"/>
      <c r="AE98" s="112"/>
      <c r="AF98" s="112"/>
      <c r="AG98" s="112"/>
      <c r="AH98" s="112"/>
      <c r="AI98" s="112"/>
      <c r="AJ98" s="112"/>
      <c r="AK98" s="112"/>
      <c r="AL98" s="112"/>
      <c r="AM98" s="112"/>
      <c r="AN98" s="112"/>
      <c r="AO98" s="112"/>
      <c r="AP98" s="112"/>
      <c r="AQ98" s="112"/>
      <c r="AR98" s="112"/>
      <c r="AS98" s="112"/>
      <c r="AT98" s="112"/>
      <c r="AU98" s="112"/>
      <c r="AV98" s="112"/>
      <c r="AW98" s="112"/>
      <c r="AX98" s="112"/>
      <c r="AY98" s="112"/>
      <c r="AZ98" s="112"/>
      <c r="BA98" s="112"/>
      <c r="BB98" s="112"/>
      <c r="BC98" s="112"/>
      <c r="BD98" s="112"/>
      <c r="BE98" s="112"/>
      <c r="BF98" s="112"/>
      <c r="BG98" s="112"/>
      <c r="BH98" s="112"/>
      <c r="BI98" s="112"/>
      <c r="BJ98" s="112"/>
      <c r="BK98" s="112"/>
      <c r="BL98" s="112"/>
      <c r="BM98" s="112"/>
      <c r="BN98" s="112"/>
      <c r="BO98" s="112"/>
      <c r="BP98" s="112"/>
      <c r="BQ98" s="112"/>
      <c r="BR98" s="112"/>
      <c r="BS98" s="112"/>
      <c r="BT98" s="112"/>
    </row>
    <row r="99" spans="1:86" x14ac:dyDescent="0.3">
      <c r="B99" s="36"/>
      <c r="C99" s="36"/>
      <c r="D99" s="36"/>
      <c r="E99" s="92"/>
      <c r="F99" s="146"/>
      <c r="G99" s="94"/>
      <c r="H99" s="94"/>
      <c r="I99" s="94"/>
      <c r="J99" s="94"/>
      <c r="K99" s="94"/>
      <c r="L99" s="94"/>
      <c r="M99" s="94"/>
      <c r="N99" s="94"/>
      <c r="O99" s="94"/>
      <c r="P99" s="94"/>
      <c r="Q99" s="94"/>
      <c r="R99" s="94"/>
      <c r="S99" s="94"/>
      <c r="T99" s="94"/>
      <c r="U99" s="94"/>
      <c r="V99" s="106"/>
      <c r="W99" s="106"/>
      <c r="X99" s="106"/>
      <c r="Y99" s="106"/>
      <c r="Z99" s="106"/>
      <c r="AA99" s="106"/>
      <c r="AB99" s="106"/>
      <c r="AC99" s="106"/>
      <c r="AD99" s="106"/>
      <c r="AE99" s="106"/>
      <c r="AF99" s="106"/>
      <c r="AG99" s="106"/>
      <c r="AH99" s="106"/>
      <c r="AI99" s="106"/>
      <c r="AJ99" s="106"/>
      <c r="AK99" s="106"/>
      <c r="AL99" s="106"/>
      <c r="AM99" s="106"/>
      <c r="AN99" s="106"/>
      <c r="AO99" s="106"/>
      <c r="AP99" s="106"/>
      <c r="AQ99" s="106"/>
      <c r="AR99" s="106"/>
      <c r="AS99" s="106"/>
      <c r="AT99" s="106"/>
      <c r="AU99" s="106"/>
      <c r="AV99" s="106"/>
      <c r="AW99" s="106"/>
      <c r="AX99" s="106"/>
      <c r="AY99" s="106"/>
      <c r="AZ99" s="106"/>
      <c r="BA99" s="106"/>
      <c r="BB99" s="106"/>
      <c r="BC99" s="106"/>
      <c r="BD99" s="106"/>
      <c r="BE99" s="106"/>
      <c r="BF99" s="106"/>
      <c r="BG99" s="106"/>
      <c r="BH99" s="106"/>
      <c r="BI99" s="106"/>
      <c r="BJ99" s="106"/>
      <c r="BK99" s="106"/>
      <c r="BL99" s="106"/>
      <c r="BM99" s="106"/>
      <c r="BN99" s="106"/>
      <c r="BO99" s="106"/>
      <c r="BP99" s="106"/>
      <c r="BQ99" s="106"/>
      <c r="BR99" s="106"/>
      <c r="BS99" s="106"/>
      <c r="BT99" s="106"/>
      <c r="BU99" s="106"/>
      <c r="BV99" s="106"/>
      <c r="BW99" s="106"/>
      <c r="BX99" s="106"/>
      <c r="BY99" s="106"/>
      <c r="BZ99" s="106"/>
      <c r="CA99" s="106"/>
      <c r="CB99" s="106"/>
      <c r="CC99" s="106"/>
      <c r="CD99" s="106"/>
      <c r="CE99" s="106"/>
      <c r="CF99" s="106"/>
      <c r="CG99" s="106"/>
      <c r="CH99" s="106"/>
    </row>
    <row r="100" spans="1:86" x14ac:dyDescent="0.3">
      <c r="B100" s="37"/>
      <c r="C100" s="37"/>
      <c r="D100" s="37"/>
      <c r="E100" s="37"/>
      <c r="F100" s="147"/>
      <c r="G100" s="37"/>
      <c r="H100" s="37"/>
      <c r="I100" s="37"/>
      <c r="J100" s="37"/>
      <c r="K100" s="37"/>
      <c r="L100" s="37"/>
      <c r="M100" s="37"/>
      <c r="N100" s="37"/>
      <c r="O100" s="37"/>
      <c r="P100" s="37"/>
      <c r="Q100" s="37"/>
      <c r="R100" s="37"/>
      <c r="S100" s="37"/>
      <c r="T100" s="37"/>
      <c r="U100" s="37"/>
      <c r="V100" s="37"/>
      <c r="W100" s="37"/>
      <c r="X100" s="37"/>
      <c r="Y100" s="37"/>
      <c r="Z100" s="37"/>
    </row>
    <row r="101" spans="1:86" x14ac:dyDescent="0.3">
      <c r="B101" s="37"/>
      <c r="C101" s="37"/>
      <c r="D101" s="37"/>
      <c r="E101" s="37"/>
      <c r="F101" s="147"/>
      <c r="G101" s="37"/>
      <c r="H101" s="37"/>
      <c r="I101" s="37"/>
      <c r="J101" s="37"/>
      <c r="K101" s="37"/>
      <c r="L101" s="37"/>
      <c r="M101" s="37"/>
      <c r="N101" s="37"/>
      <c r="O101" s="37"/>
      <c r="P101" s="37"/>
      <c r="Q101" s="37"/>
      <c r="R101" s="37"/>
      <c r="S101" s="37"/>
      <c r="T101" s="37"/>
      <c r="U101" s="37"/>
      <c r="V101" s="37"/>
      <c r="W101" s="37"/>
      <c r="X101" s="37"/>
      <c r="Y101" s="37"/>
      <c r="Z101" s="37"/>
    </row>
    <row r="102" spans="1:86" ht="20.25" x14ac:dyDescent="0.3">
      <c r="B102" s="218" t="s">
        <v>43</v>
      </c>
      <c r="C102" s="218"/>
      <c r="D102" s="218"/>
      <c r="E102" s="218"/>
      <c r="F102" s="218"/>
      <c r="G102" s="218"/>
      <c r="H102" s="218"/>
      <c r="I102" s="218"/>
      <c r="J102" s="218"/>
      <c r="K102" s="218"/>
      <c r="L102" s="218"/>
      <c r="M102" s="218"/>
      <c r="N102" s="218"/>
      <c r="O102" s="218"/>
      <c r="P102" s="218"/>
      <c r="Q102" s="218"/>
      <c r="R102" s="218"/>
      <c r="S102" s="218"/>
      <c r="T102" s="218"/>
      <c r="U102" s="218"/>
    </row>
    <row r="103" spans="1:86" ht="17.25" x14ac:dyDescent="0.3">
      <c r="B103" s="181" t="s">
        <v>46</v>
      </c>
      <c r="C103" s="2"/>
      <c r="D103" s="2"/>
      <c r="E103" s="2"/>
      <c r="F103" s="143"/>
      <c r="G103" s="2"/>
      <c r="H103" s="2"/>
      <c r="I103" s="2"/>
      <c r="J103" s="2"/>
      <c r="K103" s="2"/>
      <c r="L103" s="2"/>
      <c r="M103" s="2"/>
      <c r="N103" s="2"/>
      <c r="O103" s="2"/>
      <c r="P103" s="2"/>
      <c r="Q103" s="2"/>
      <c r="R103" s="1"/>
    </row>
    <row r="104" spans="1:86" x14ac:dyDescent="0.3">
      <c r="G104" s="145"/>
      <c r="H104" s="145"/>
      <c r="I104" s="145"/>
      <c r="J104" s="145"/>
      <c r="K104" s="145"/>
      <c r="L104" s="145"/>
      <c r="M104" s="145"/>
      <c r="N104" s="145"/>
      <c r="O104" s="145"/>
      <c r="P104" s="145"/>
      <c r="Q104" s="145"/>
      <c r="R104" s="145"/>
      <c r="S104" s="145"/>
    </row>
    <row r="105" spans="1:86" ht="32.25" customHeight="1" x14ac:dyDescent="0.3">
      <c r="F105" s="195">
        <v>2024</v>
      </c>
      <c r="G105" s="195">
        <v>2024</v>
      </c>
      <c r="H105" s="195">
        <v>2025</v>
      </c>
      <c r="I105" s="195">
        <v>2025</v>
      </c>
      <c r="J105" s="195">
        <v>2026</v>
      </c>
      <c r="K105" s="195">
        <v>2026</v>
      </c>
      <c r="L105" s="195">
        <v>2027</v>
      </c>
      <c r="M105" s="195">
        <v>2027</v>
      </c>
      <c r="N105" s="195">
        <v>2028</v>
      </c>
      <c r="O105" s="195">
        <v>2028</v>
      </c>
      <c r="P105" s="195">
        <v>2029</v>
      </c>
      <c r="Q105" s="195">
        <v>2029</v>
      </c>
      <c r="R105" s="196" t="s">
        <v>173</v>
      </c>
      <c r="S105" s="196" t="s">
        <v>173</v>
      </c>
      <c r="U105" s="110"/>
      <c r="AA105" s="111"/>
      <c r="AB105" s="110"/>
      <c r="AC105" s="110"/>
      <c r="AD105" s="110"/>
      <c r="AE105" s="110"/>
      <c r="AF105" s="110"/>
      <c r="AG105" s="110"/>
      <c r="AH105" s="110"/>
      <c r="AI105" s="110"/>
      <c r="AJ105" s="110"/>
      <c r="AK105" s="110"/>
      <c r="AL105" s="110"/>
      <c r="AM105" s="110"/>
      <c r="AN105" s="110"/>
      <c r="AO105" s="110"/>
      <c r="AP105" s="110"/>
      <c r="AQ105" s="110"/>
      <c r="AR105" s="110"/>
      <c r="AS105" s="110"/>
      <c r="AT105" s="110"/>
      <c r="AU105" s="110"/>
      <c r="AV105" s="110"/>
      <c r="AW105" s="110"/>
      <c r="AX105" s="110"/>
      <c r="AY105" s="110"/>
      <c r="AZ105" s="110"/>
      <c r="BA105" s="110"/>
      <c r="BB105" s="110"/>
      <c r="BC105" s="110"/>
      <c r="BD105" s="110"/>
      <c r="BE105" s="110"/>
      <c r="BF105" s="110"/>
      <c r="BG105" s="110"/>
      <c r="BH105" s="110"/>
      <c r="BI105" s="110"/>
      <c r="BJ105" s="110"/>
      <c r="BK105" s="110"/>
      <c r="BL105" s="110"/>
      <c r="BM105" s="110"/>
      <c r="BN105" s="110"/>
      <c r="BO105" s="110"/>
      <c r="BP105" s="110"/>
      <c r="BQ105" s="110"/>
      <c r="BR105" s="110"/>
      <c r="BS105" s="110"/>
      <c r="BT105" s="110"/>
    </row>
    <row r="106" spans="1:86" ht="33.75" customHeight="1" x14ac:dyDescent="0.3">
      <c r="B106" s="182" t="s">
        <v>0</v>
      </c>
      <c r="C106" s="182" t="s">
        <v>1</v>
      </c>
      <c r="D106" s="183" t="s">
        <v>132</v>
      </c>
      <c r="E106" s="183" t="s">
        <v>95</v>
      </c>
      <c r="F106" s="182" t="s">
        <v>2</v>
      </c>
      <c r="G106" s="197" t="s">
        <v>99</v>
      </c>
      <c r="H106" s="182" t="s">
        <v>2</v>
      </c>
      <c r="I106" s="197" t="s">
        <v>99</v>
      </c>
      <c r="J106" s="182" t="s">
        <v>2</v>
      </c>
      <c r="K106" s="197" t="s">
        <v>99</v>
      </c>
      <c r="L106" s="182" t="s">
        <v>2</v>
      </c>
      <c r="M106" s="197" t="s">
        <v>99</v>
      </c>
      <c r="N106" s="182" t="s">
        <v>2</v>
      </c>
      <c r="O106" s="197" t="s">
        <v>99</v>
      </c>
      <c r="P106" s="182" t="s">
        <v>2</v>
      </c>
      <c r="Q106" s="197" t="s">
        <v>99</v>
      </c>
      <c r="R106" s="182" t="s">
        <v>2</v>
      </c>
      <c r="S106" s="197" t="s">
        <v>99</v>
      </c>
      <c r="U106" s="23"/>
      <c r="AA106" s="23"/>
      <c r="AB106" s="23"/>
      <c r="AC106" s="23"/>
      <c r="AD106" s="23"/>
      <c r="AE106" s="23"/>
      <c r="AF106" s="23"/>
      <c r="AG106" s="23"/>
      <c r="AH106" s="23"/>
      <c r="AI106" s="23"/>
      <c r="AJ106" s="23"/>
      <c r="AK106" s="23"/>
      <c r="AL106" s="23"/>
      <c r="AM106" s="23"/>
      <c r="AN106" s="23"/>
      <c r="AO106" s="23"/>
      <c r="AP106" s="23"/>
      <c r="AQ106" s="23"/>
      <c r="AR106" s="23"/>
      <c r="AS106" s="23"/>
      <c r="AT106" s="23"/>
      <c r="AU106" s="23"/>
      <c r="AV106" s="23"/>
      <c r="AW106" s="23"/>
      <c r="AX106" s="23"/>
      <c r="AY106" s="23"/>
      <c r="AZ106" s="23"/>
      <c r="BA106" s="23"/>
      <c r="BB106" s="23"/>
      <c r="BC106" s="23"/>
      <c r="BD106" s="23"/>
      <c r="BE106" s="23"/>
      <c r="BF106" s="23"/>
      <c r="BG106" s="23"/>
      <c r="BH106" s="23"/>
      <c r="BI106" s="23"/>
      <c r="BJ106" s="23"/>
      <c r="BK106" s="23"/>
      <c r="BL106" s="23"/>
      <c r="BM106" s="23"/>
      <c r="BN106" s="23"/>
      <c r="BO106" s="23"/>
      <c r="BP106" s="23"/>
      <c r="BQ106" s="23"/>
      <c r="BR106" s="23"/>
      <c r="BS106" s="23"/>
      <c r="BT106" s="23"/>
    </row>
    <row r="107" spans="1:86" ht="27.95" customHeight="1" x14ac:dyDescent="0.3">
      <c r="B107" s="185" t="s">
        <v>89</v>
      </c>
      <c r="C107" s="185"/>
      <c r="D107" s="185"/>
      <c r="E107" s="185"/>
      <c r="F107" s="198">
        <f t="shared" ref="F107:S107" si="48">+SUM(F108:F112)</f>
        <v>149.81960104575322</v>
      </c>
      <c r="G107" s="198">
        <f t="shared" si="48"/>
        <v>0</v>
      </c>
      <c r="H107" s="198">
        <f t="shared" si="48"/>
        <v>77.542688053068602</v>
      </c>
      <c r="I107" s="198">
        <f t="shared" si="48"/>
        <v>0</v>
      </c>
      <c r="J107" s="198">
        <f t="shared" si="48"/>
        <v>50.244319700536536</v>
      </c>
      <c r="K107" s="198">
        <f t="shared" si="48"/>
        <v>0</v>
      </c>
      <c r="L107" s="198">
        <f t="shared" si="48"/>
        <v>42.582983510896398</v>
      </c>
      <c r="M107" s="198">
        <f t="shared" si="48"/>
        <v>0</v>
      </c>
      <c r="N107" s="198">
        <f t="shared" si="48"/>
        <v>41.730307853413194</v>
      </c>
      <c r="O107" s="198">
        <f t="shared" si="48"/>
        <v>0</v>
      </c>
      <c r="P107" s="198">
        <f t="shared" si="48"/>
        <v>41.61629061884102</v>
      </c>
      <c r="Q107" s="198">
        <f t="shared" si="48"/>
        <v>0</v>
      </c>
      <c r="R107" s="198">
        <f t="shared" si="48"/>
        <v>39.934536408901558</v>
      </c>
      <c r="S107" s="198">
        <f t="shared" si="48"/>
        <v>0</v>
      </c>
      <c r="U107" s="112"/>
      <c r="AA107" s="112"/>
      <c r="AB107" s="112"/>
      <c r="AC107" s="112"/>
      <c r="AD107" s="112"/>
      <c r="AE107" s="112"/>
      <c r="AF107" s="112"/>
      <c r="AG107" s="112"/>
      <c r="AH107" s="112"/>
      <c r="AI107" s="112"/>
      <c r="AJ107" s="112"/>
      <c r="AK107" s="112"/>
      <c r="AL107" s="112"/>
      <c r="AM107" s="112"/>
      <c r="AN107" s="112"/>
      <c r="AO107" s="112"/>
      <c r="AP107" s="112"/>
      <c r="AQ107" s="112"/>
      <c r="AR107" s="112"/>
      <c r="AS107" s="112"/>
      <c r="AT107" s="112"/>
      <c r="AU107" s="112"/>
      <c r="AV107" s="112"/>
      <c r="AW107" s="112"/>
      <c r="AX107" s="112"/>
      <c r="AY107" s="112"/>
      <c r="AZ107" s="112"/>
      <c r="BA107" s="112"/>
      <c r="BB107" s="112"/>
      <c r="BC107" s="112"/>
      <c r="BD107" s="112"/>
      <c r="BE107" s="112"/>
      <c r="BF107" s="112"/>
      <c r="BG107" s="112"/>
      <c r="BH107" s="112"/>
      <c r="BI107" s="112"/>
      <c r="BJ107" s="112"/>
      <c r="BK107" s="112"/>
      <c r="BL107" s="112"/>
      <c r="BM107" s="112"/>
      <c r="BN107" s="112"/>
      <c r="BO107" s="112"/>
      <c r="BP107" s="112"/>
      <c r="BQ107" s="112"/>
      <c r="BR107" s="112"/>
      <c r="BS107" s="112"/>
      <c r="BT107" s="112"/>
    </row>
    <row r="108" spans="1:86" ht="27.95" customHeight="1" x14ac:dyDescent="0.3">
      <c r="A108" s="67"/>
      <c r="B108" s="9" t="s">
        <v>3</v>
      </c>
      <c r="C108" s="9" t="s">
        <v>4</v>
      </c>
      <c r="D108" s="9" t="str">
        <f>+VLOOKUP($C108,$C$10:$D$43,2,FALSE)</f>
        <v>Pesos</v>
      </c>
      <c r="E108" s="9" t="s">
        <v>89</v>
      </c>
      <c r="F108" s="74">
        <v>43.015658719999998</v>
      </c>
      <c r="G108" s="74">
        <v>0</v>
      </c>
      <c r="H108" s="74">
        <v>0</v>
      </c>
      <c r="I108" s="74">
        <v>0</v>
      </c>
      <c r="J108" s="74">
        <v>0</v>
      </c>
      <c r="K108" s="74">
        <v>0</v>
      </c>
      <c r="L108" s="74">
        <v>0</v>
      </c>
      <c r="M108" s="74">
        <v>0</v>
      </c>
      <c r="N108" s="74">
        <v>0</v>
      </c>
      <c r="O108" s="74">
        <v>0</v>
      </c>
      <c r="P108" s="74">
        <v>0</v>
      </c>
      <c r="Q108" s="74">
        <v>0</v>
      </c>
      <c r="R108" s="74">
        <v>0</v>
      </c>
      <c r="S108" s="74">
        <v>0</v>
      </c>
      <c r="U108" s="77"/>
      <c r="AA108" s="77"/>
      <c r="AB108" s="77"/>
      <c r="AC108" s="77"/>
      <c r="AD108" s="77"/>
      <c r="AE108" s="77"/>
      <c r="AF108" s="77"/>
      <c r="AG108" s="77"/>
      <c r="AH108" s="77"/>
      <c r="AI108" s="77"/>
      <c r="AJ108" s="77"/>
      <c r="AK108" s="77"/>
      <c r="AL108" s="77"/>
      <c r="AM108" s="77"/>
      <c r="AN108" s="77"/>
      <c r="AO108" s="77"/>
      <c r="AP108" s="77"/>
      <c r="AQ108" s="77"/>
      <c r="AR108" s="77"/>
      <c r="AS108" s="77"/>
      <c r="AT108" s="77"/>
      <c r="AU108" s="77"/>
      <c r="AV108" s="77"/>
      <c r="AW108" s="77"/>
      <c r="AX108" s="77"/>
      <c r="AY108" s="77"/>
      <c r="AZ108" s="77"/>
      <c r="BA108" s="77"/>
      <c r="BB108" s="77"/>
      <c r="BC108" s="77"/>
      <c r="BD108" s="77"/>
      <c r="BE108" s="77"/>
      <c r="BF108" s="77"/>
      <c r="BG108" s="77"/>
      <c r="BH108" s="77"/>
      <c r="BI108" s="77"/>
      <c r="BJ108" s="77"/>
      <c r="BK108" s="77"/>
      <c r="BL108" s="77"/>
      <c r="BM108" s="77"/>
      <c r="BN108" s="77"/>
      <c r="BO108" s="77"/>
      <c r="BP108" s="77"/>
      <c r="BQ108" s="77"/>
      <c r="BR108" s="77"/>
      <c r="BS108" s="77"/>
      <c r="BT108" s="77"/>
    </row>
    <row r="109" spans="1:86" ht="27.95" customHeight="1" x14ac:dyDescent="0.3">
      <c r="A109" s="67"/>
      <c r="B109" s="9" t="s">
        <v>192</v>
      </c>
      <c r="C109" s="9" t="s">
        <v>243</v>
      </c>
      <c r="D109" s="9" t="str">
        <f>+VLOOKUP($C109,$C$10:$D$43,2,FALSE)</f>
        <v>Pesos</v>
      </c>
      <c r="E109" s="9" t="s">
        <v>89</v>
      </c>
      <c r="F109" s="74">
        <v>48.774645891070328</v>
      </c>
      <c r="G109" s="74">
        <v>0</v>
      </c>
      <c r="H109" s="74">
        <v>50.432027313155153</v>
      </c>
      <c r="I109" s="74">
        <v>0</v>
      </c>
      <c r="J109" s="74">
        <v>46.502863971437698</v>
      </c>
      <c r="K109" s="74">
        <v>0</v>
      </c>
      <c r="L109" s="74">
        <v>42.582983510896398</v>
      </c>
      <c r="M109" s="74">
        <v>0</v>
      </c>
      <c r="N109" s="74">
        <v>41.730307853413194</v>
      </c>
      <c r="O109" s="74">
        <v>0</v>
      </c>
      <c r="P109" s="74">
        <v>41.61629061884102</v>
      </c>
      <c r="Q109" s="74">
        <v>0</v>
      </c>
      <c r="R109" s="74">
        <v>39.934536408901558</v>
      </c>
      <c r="S109" s="74">
        <v>0</v>
      </c>
      <c r="U109" s="77"/>
      <c r="AA109" s="77"/>
      <c r="AB109" s="77"/>
      <c r="AC109" s="77"/>
      <c r="AD109" s="77"/>
      <c r="AE109" s="77"/>
      <c r="AF109" s="77"/>
      <c r="AG109" s="77"/>
      <c r="AH109" s="77"/>
      <c r="AI109" s="77"/>
      <c r="AJ109" s="77"/>
      <c r="AK109" s="77"/>
      <c r="AL109" s="77"/>
      <c r="AM109" s="77"/>
      <c r="AN109" s="77"/>
      <c r="AO109" s="77"/>
      <c r="AP109" s="77"/>
      <c r="AQ109" s="77"/>
      <c r="AR109" s="77"/>
      <c r="AS109" s="77"/>
      <c r="AT109" s="77"/>
      <c r="AU109" s="77"/>
      <c r="AV109" s="77"/>
      <c r="AW109" s="77"/>
      <c r="AX109" s="77"/>
      <c r="AY109" s="77"/>
      <c r="AZ109" s="77"/>
      <c r="BA109" s="77"/>
      <c r="BB109" s="77"/>
      <c r="BC109" s="77"/>
      <c r="BD109" s="77"/>
      <c r="BE109" s="77"/>
      <c r="BF109" s="77"/>
      <c r="BG109" s="77"/>
      <c r="BH109" s="77"/>
      <c r="BI109" s="77"/>
      <c r="BJ109" s="77"/>
      <c r="BK109" s="77"/>
      <c r="BL109" s="77"/>
      <c r="BM109" s="77"/>
      <c r="BN109" s="77"/>
      <c r="BO109" s="77"/>
      <c r="BP109" s="77"/>
      <c r="BQ109" s="77"/>
      <c r="BR109" s="77"/>
      <c r="BS109" s="77"/>
      <c r="BT109" s="77"/>
    </row>
    <row r="110" spans="1:86" ht="27.95" customHeight="1" x14ac:dyDescent="0.3">
      <c r="A110" s="67"/>
      <c r="B110" s="9" t="s">
        <v>5</v>
      </c>
      <c r="C110" s="9" t="s">
        <v>6</v>
      </c>
      <c r="D110" s="9" t="str">
        <f>+VLOOKUP($C110,$C$10:$D$43,2,FALSE)</f>
        <v>Pesos</v>
      </c>
      <c r="E110" s="9" t="s">
        <v>89</v>
      </c>
      <c r="F110" s="74">
        <v>19.464536138865501</v>
      </c>
      <c r="G110" s="74">
        <v>0</v>
      </c>
      <c r="H110" s="74">
        <v>8.2762186208202415</v>
      </c>
      <c r="I110" s="74">
        <v>0</v>
      </c>
      <c r="J110" s="74">
        <v>0.2178621516573935</v>
      </c>
      <c r="K110" s="74">
        <v>0</v>
      </c>
      <c r="L110" s="74">
        <v>0</v>
      </c>
      <c r="M110" s="74">
        <v>0</v>
      </c>
      <c r="N110" s="74">
        <v>0</v>
      </c>
      <c r="O110" s="74">
        <v>0</v>
      </c>
      <c r="P110" s="74">
        <v>0</v>
      </c>
      <c r="Q110" s="74">
        <v>0</v>
      </c>
      <c r="R110" s="74">
        <v>0</v>
      </c>
      <c r="S110" s="74">
        <v>0</v>
      </c>
      <c r="U110" s="77"/>
      <c r="AA110" s="77"/>
      <c r="AB110" s="77"/>
      <c r="AC110" s="77"/>
      <c r="AD110" s="77"/>
      <c r="AE110" s="77"/>
      <c r="AF110" s="77"/>
      <c r="AG110" s="77"/>
      <c r="AH110" s="77"/>
      <c r="AI110" s="77"/>
      <c r="AJ110" s="77"/>
      <c r="AK110" s="77"/>
      <c r="AL110" s="77"/>
      <c r="AM110" s="77"/>
      <c r="AN110" s="77"/>
      <c r="AO110" s="77"/>
      <c r="AP110" s="77"/>
      <c r="AQ110" s="77"/>
      <c r="AR110" s="77"/>
      <c r="AS110" s="77"/>
      <c r="AT110" s="77"/>
      <c r="AU110" s="77"/>
      <c r="AV110" s="77"/>
      <c r="AW110" s="77"/>
      <c r="AX110" s="77"/>
      <c r="AY110" s="77"/>
      <c r="AZ110" s="77"/>
      <c r="BA110" s="77"/>
      <c r="BB110" s="77"/>
      <c r="BC110" s="77"/>
      <c r="BD110" s="77"/>
      <c r="BE110" s="77"/>
      <c r="BF110" s="77"/>
      <c r="BG110" s="77"/>
      <c r="BH110" s="77"/>
      <c r="BI110" s="77"/>
      <c r="BJ110" s="77"/>
      <c r="BK110" s="77"/>
      <c r="BL110" s="77"/>
      <c r="BM110" s="77"/>
      <c r="BN110" s="77"/>
      <c r="BO110" s="77"/>
      <c r="BP110" s="77"/>
      <c r="BQ110" s="77"/>
      <c r="BR110" s="77"/>
      <c r="BS110" s="77"/>
      <c r="BT110" s="77"/>
    </row>
    <row r="111" spans="1:86" ht="27.95" customHeight="1" x14ac:dyDescent="0.3">
      <c r="A111" s="67"/>
      <c r="B111" s="9" t="s">
        <v>7</v>
      </c>
      <c r="C111" s="9" t="s">
        <v>8</v>
      </c>
      <c r="D111" s="9" t="str">
        <f>+VLOOKUP($C111,$C$10:$D$43,2,FALSE)</f>
        <v>Pesos</v>
      </c>
      <c r="E111" s="9" t="s">
        <v>89</v>
      </c>
      <c r="F111" s="74">
        <v>36.43517069</v>
      </c>
      <c r="G111" s="74">
        <v>0</v>
      </c>
      <c r="H111" s="74">
        <v>17.984036189999998</v>
      </c>
      <c r="I111" s="74">
        <v>0</v>
      </c>
      <c r="J111" s="74">
        <v>3.5143639400000004</v>
      </c>
      <c r="K111" s="74">
        <v>0</v>
      </c>
      <c r="L111" s="74">
        <v>0</v>
      </c>
      <c r="M111" s="74">
        <v>0</v>
      </c>
      <c r="N111" s="74">
        <v>0</v>
      </c>
      <c r="O111" s="74">
        <v>0</v>
      </c>
      <c r="P111" s="74">
        <v>0</v>
      </c>
      <c r="Q111" s="74">
        <v>0</v>
      </c>
      <c r="R111" s="74">
        <v>0</v>
      </c>
      <c r="S111" s="74">
        <v>0</v>
      </c>
      <c r="U111" s="77"/>
      <c r="AA111" s="77"/>
      <c r="AB111" s="77"/>
      <c r="AC111" s="77"/>
      <c r="AD111" s="77"/>
      <c r="AE111" s="77"/>
      <c r="AF111" s="77"/>
      <c r="AG111" s="77"/>
      <c r="AH111" s="77"/>
      <c r="AI111" s="77"/>
      <c r="AJ111" s="77"/>
      <c r="AK111" s="77"/>
      <c r="AL111" s="77"/>
      <c r="AM111" s="77"/>
      <c r="AN111" s="77"/>
      <c r="AO111" s="77"/>
      <c r="AP111" s="77"/>
      <c r="AQ111" s="77"/>
      <c r="AR111" s="77"/>
      <c r="AS111" s="77"/>
      <c r="AT111" s="77"/>
      <c r="AU111" s="77"/>
      <c r="AV111" s="77"/>
      <c r="AW111" s="77"/>
      <c r="AX111" s="77"/>
      <c r="AY111" s="77"/>
      <c r="AZ111" s="77"/>
      <c r="BA111" s="77"/>
      <c r="BB111" s="77"/>
      <c r="BC111" s="77"/>
      <c r="BD111" s="77"/>
      <c r="BE111" s="77"/>
      <c r="BF111" s="77"/>
      <c r="BG111" s="77"/>
      <c r="BH111" s="77"/>
      <c r="BI111" s="77"/>
      <c r="BJ111" s="77"/>
      <c r="BK111" s="77"/>
      <c r="BL111" s="77"/>
      <c r="BM111" s="77"/>
      <c r="BN111" s="77"/>
      <c r="BO111" s="77"/>
      <c r="BP111" s="77"/>
      <c r="BQ111" s="77"/>
      <c r="BR111" s="77"/>
      <c r="BS111" s="77"/>
      <c r="BT111" s="77"/>
    </row>
    <row r="112" spans="1:86" ht="27.95" customHeight="1" x14ac:dyDescent="0.3">
      <c r="A112" s="67"/>
      <c r="B112" s="9" t="s">
        <v>9</v>
      </c>
      <c r="C112" s="9" t="s">
        <v>10</v>
      </c>
      <c r="D112" s="9" t="str">
        <f>+VLOOKUP($C112,$C$10:$D$43,2,FALSE)</f>
        <v>Pesos</v>
      </c>
      <c r="E112" s="9" t="s">
        <v>89</v>
      </c>
      <c r="F112" s="74">
        <v>2.1295896058173782</v>
      </c>
      <c r="G112" s="74">
        <v>0</v>
      </c>
      <c r="H112" s="74">
        <v>0.85040592909320889</v>
      </c>
      <c r="I112" s="74">
        <v>0</v>
      </c>
      <c r="J112" s="74">
        <v>9.2296374414424613E-3</v>
      </c>
      <c r="K112" s="74">
        <v>0</v>
      </c>
      <c r="L112" s="74">
        <v>0</v>
      </c>
      <c r="M112" s="74">
        <v>0</v>
      </c>
      <c r="N112" s="74">
        <v>0</v>
      </c>
      <c r="O112" s="74">
        <v>0</v>
      </c>
      <c r="P112" s="74">
        <v>0</v>
      </c>
      <c r="Q112" s="74">
        <v>0</v>
      </c>
      <c r="R112" s="74">
        <v>0</v>
      </c>
      <c r="S112" s="74">
        <v>0</v>
      </c>
      <c r="U112" s="77"/>
      <c r="AA112" s="77"/>
      <c r="AB112" s="77"/>
      <c r="AC112" s="77"/>
      <c r="AD112" s="77"/>
      <c r="AE112" s="77"/>
      <c r="AF112" s="77"/>
      <c r="AG112" s="77"/>
      <c r="AH112" s="77"/>
      <c r="AI112" s="77"/>
      <c r="AJ112" s="77"/>
      <c r="AK112" s="77"/>
      <c r="AL112" s="77"/>
      <c r="AM112" s="77"/>
      <c r="AN112" s="77"/>
      <c r="AO112" s="77"/>
      <c r="AP112" s="77"/>
      <c r="AQ112" s="77"/>
      <c r="AR112" s="77"/>
      <c r="AS112" s="77"/>
      <c r="AT112" s="77"/>
      <c r="AU112" s="77"/>
      <c r="AV112" s="77"/>
      <c r="AW112" s="77"/>
      <c r="AX112" s="77"/>
      <c r="AY112" s="77"/>
      <c r="AZ112" s="77"/>
      <c r="BA112" s="77"/>
      <c r="BB112" s="77"/>
      <c r="BC112" s="77"/>
      <c r="BD112" s="77"/>
      <c r="BE112" s="77"/>
      <c r="BF112" s="77"/>
      <c r="BG112" s="77"/>
      <c r="BH112" s="77"/>
      <c r="BI112" s="77"/>
      <c r="BJ112" s="77"/>
      <c r="BK112" s="77"/>
      <c r="BL112" s="77"/>
      <c r="BM112" s="77"/>
      <c r="BN112" s="77"/>
      <c r="BO112" s="77"/>
      <c r="BP112" s="77"/>
      <c r="BQ112" s="77"/>
      <c r="BR112" s="77"/>
      <c r="BS112" s="77"/>
      <c r="BT112" s="77"/>
    </row>
    <row r="113" spans="1:72" ht="27.95" customHeight="1" x14ac:dyDescent="0.3">
      <c r="A113" s="67"/>
      <c r="B113" s="185" t="s">
        <v>90</v>
      </c>
      <c r="C113" s="185"/>
      <c r="D113" s="185"/>
      <c r="E113" s="185"/>
      <c r="F113" s="198">
        <f t="shared" ref="F113:S113" si="49">+F114</f>
        <v>11184.206754048182</v>
      </c>
      <c r="G113" s="198">
        <f t="shared" si="49"/>
        <v>0</v>
      </c>
      <c r="H113" s="198">
        <f t="shared" si="49"/>
        <v>4719.8188659953612</v>
      </c>
      <c r="I113" s="198">
        <f t="shared" si="49"/>
        <v>0</v>
      </c>
      <c r="J113" s="198">
        <f t="shared" si="49"/>
        <v>1427.8483864514253</v>
      </c>
      <c r="K113" s="198">
        <f t="shared" si="49"/>
        <v>0</v>
      </c>
      <c r="L113" s="198">
        <f t="shared" si="49"/>
        <v>58.505997532814519</v>
      </c>
      <c r="M113" s="198">
        <f t="shared" si="49"/>
        <v>0</v>
      </c>
      <c r="N113" s="198">
        <f t="shared" si="49"/>
        <v>0</v>
      </c>
      <c r="O113" s="198">
        <f t="shared" si="49"/>
        <v>0</v>
      </c>
      <c r="P113" s="198">
        <f t="shared" si="49"/>
        <v>0</v>
      </c>
      <c r="Q113" s="198">
        <f t="shared" si="49"/>
        <v>0</v>
      </c>
      <c r="R113" s="198">
        <f t="shared" si="49"/>
        <v>0</v>
      </c>
      <c r="S113" s="198">
        <f t="shared" si="49"/>
        <v>0</v>
      </c>
      <c r="U113" s="112"/>
      <c r="AA113" s="112"/>
      <c r="AB113" s="112"/>
      <c r="AC113" s="112"/>
      <c r="AD113" s="112"/>
      <c r="AE113" s="112"/>
      <c r="AF113" s="112"/>
      <c r="AG113" s="112"/>
      <c r="AH113" s="112"/>
      <c r="AI113" s="112"/>
      <c r="AJ113" s="112"/>
      <c r="AK113" s="112"/>
      <c r="AL113" s="112"/>
      <c r="AM113" s="112"/>
      <c r="AN113" s="112"/>
      <c r="AO113" s="112"/>
      <c r="AP113" s="112"/>
      <c r="AQ113" s="112"/>
      <c r="AR113" s="112"/>
      <c r="AS113" s="112"/>
      <c r="AT113" s="112"/>
      <c r="AU113" s="112"/>
      <c r="AV113" s="112"/>
      <c r="AW113" s="112"/>
      <c r="AX113" s="112"/>
      <c r="AY113" s="112"/>
      <c r="AZ113" s="112"/>
      <c r="BA113" s="112"/>
      <c r="BB113" s="112"/>
      <c r="BC113" s="112"/>
      <c r="BD113" s="112"/>
      <c r="BE113" s="112"/>
      <c r="BF113" s="112"/>
      <c r="BG113" s="112"/>
      <c r="BH113" s="112"/>
      <c r="BI113" s="112"/>
      <c r="BJ113" s="112"/>
      <c r="BK113" s="112"/>
      <c r="BL113" s="112"/>
      <c r="BM113" s="112"/>
      <c r="BN113" s="112"/>
      <c r="BO113" s="112"/>
      <c r="BP113" s="112"/>
      <c r="BQ113" s="112"/>
      <c r="BR113" s="112"/>
      <c r="BS113" s="112"/>
      <c r="BT113" s="112"/>
    </row>
    <row r="114" spans="1:72" ht="27.95" customHeight="1" x14ac:dyDescent="0.3">
      <c r="A114" s="67"/>
      <c r="B114" s="9" t="s">
        <v>142</v>
      </c>
      <c r="C114" s="9" t="s">
        <v>143</v>
      </c>
      <c r="D114" s="9" t="str">
        <f>+VLOOKUP($C114,$C$10:$D$43,2,FALSE)</f>
        <v>Pesos</v>
      </c>
      <c r="E114" s="9" t="s">
        <v>90</v>
      </c>
      <c r="F114" s="74">
        <v>11184.206754048182</v>
      </c>
      <c r="G114" s="74">
        <v>0</v>
      </c>
      <c r="H114" s="74">
        <v>4719.8188659953612</v>
      </c>
      <c r="I114" s="74">
        <v>0</v>
      </c>
      <c r="J114" s="74">
        <v>1427.8483864514253</v>
      </c>
      <c r="K114" s="74">
        <v>0</v>
      </c>
      <c r="L114" s="74">
        <v>58.505997532814519</v>
      </c>
      <c r="M114" s="74">
        <v>0</v>
      </c>
      <c r="N114" s="74">
        <v>0</v>
      </c>
      <c r="O114" s="74">
        <v>0</v>
      </c>
      <c r="P114" s="74">
        <v>0</v>
      </c>
      <c r="Q114" s="74">
        <v>0</v>
      </c>
      <c r="R114" s="74">
        <v>0</v>
      </c>
      <c r="S114" s="74">
        <v>0</v>
      </c>
      <c r="U114" s="77"/>
      <c r="AA114" s="77"/>
      <c r="AB114" s="77"/>
      <c r="AC114" s="77"/>
      <c r="AD114" s="77"/>
      <c r="AE114" s="77"/>
      <c r="AF114" s="77"/>
      <c r="AG114" s="77"/>
      <c r="AH114" s="77"/>
      <c r="AI114" s="77"/>
      <c r="AJ114" s="77"/>
      <c r="AK114" s="77"/>
      <c r="AL114" s="77"/>
      <c r="AM114" s="77"/>
      <c r="AN114" s="77"/>
      <c r="AO114" s="77"/>
      <c r="AP114" s="77"/>
      <c r="AQ114" s="77"/>
      <c r="AR114" s="77"/>
      <c r="AS114" s="77"/>
      <c r="AT114" s="77"/>
      <c r="AU114" s="77"/>
      <c r="AV114" s="77"/>
      <c r="AW114" s="77"/>
      <c r="AX114" s="77"/>
      <c r="AY114" s="77"/>
      <c r="AZ114" s="77"/>
      <c r="BA114" s="77"/>
      <c r="BB114" s="77"/>
      <c r="BC114" s="77"/>
      <c r="BD114" s="77"/>
      <c r="BE114" s="77"/>
      <c r="BF114" s="77"/>
      <c r="BG114" s="77"/>
      <c r="BH114" s="77"/>
      <c r="BI114" s="77"/>
      <c r="BJ114" s="77"/>
      <c r="BK114" s="77"/>
      <c r="BL114" s="77"/>
      <c r="BM114" s="77"/>
      <c r="BN114" s="77"/>
      <c r="BO114" s="77"/>
      <c r="BP114" s="77"/>
      <c r="BQ114" s="77"/>
      <c r="BR114" s="77"/>
      <c r="BS114" s="77"/>
      <c r="BT114" s="77"/>
    </row>
    <row r="115" spans="1:72" ht="27.95" customHeight="1" x14ac:dyDescent="0.3">
      <c r="A115" s="67"/>
      <c r="B115" s="185" t="s">
        <v>11</v>
      </c>
      <c r="C115" s="185"/>
      <c r="D115" s="185"/>
      <c r="E115" s="185"/>
      <c r="F115" s="198">
        <f t="shared" ref="F115:S115" si="50">+F116+F128</f>
        <v>0</v>
      </c>
      <c r="G115" s="198">
        <f t="shared" si="50"/>
        <v>12.077250284406299</v>
      </c>
      <c r="H115" s="198">
        <f t="shared" si="50"/>
        <v>0</v>
      </c>
      <c r="I115" s="198">
        <f t="shared" si="50"/>
        <v>10.644202355939633</v>
      </c>
      <c r="J115" s="198">
        <f t="shared" si="50"/>
        <v>0</v>
      </c>
      <c r="K115" s="198">
        <f t="shared" si="50"/>
        <v>8.5082508334692566</v>
      </c>
      <c r="L115" s="198">
        <f t="shared" si="50"/>
        <v>0</v>
      </c>
      <c r="M115" s="198">
        <f t="shared" si="50"/>
        <v>6.6398660226981221</v>
      </c>
      <c r="N115" s="198">
        <f t="shared" si="50"/>
        <v>0</v>
      </c>
      <c r="O115" s="198">
        <f t="shared" si="50"/>
        <v>5.0648263514909591</v>
      </c>
      <c r="P115" s="198">
        <f t="shared" si="50"/>
        <v>0</v>
      </c>
      <c r="Q115" s="198">
        <f t="shared" si="50"/>
        <v>4.2639490606038652</v>
      </c>
      <c r="R115" s="198">
        <f t="shared" si="50"/>
        <v>0</v>
      </c>
      <c r="S115" s="198">
        <f t="shared" si="50"/>
        <v>2.0478204259416994</v>
      </c>
      <c r="U115" s="112"/>
      <c r="AA115" s="112"/>
      <c r="AB115" s="112"/>
      <c r="AC115" s="112"/>
      <c r="AD115" s="112"/>
      <c r="AE115" s="112"/>
      <c r="AF115" s="112"/>
      <c r="AG115" s="112"/>
      <c r="AH115" s="112"/>
      <c r="AI115" s="112"/>
      <c r="AJ115" s="112"/>
      <c r="AK115" s="112"/>
      <c r="AL115" s="112"/>
      <c r="AM115" s="112"/>
      <c r="AN115" s="112"/>
      <c r="AO115" s="112"/>
      <c r="AP115" s="112"/>
      <c r="AQ115" s="112"/>
      <c r="AR115" s="112"/>
      <c r="AS115" s="112"/>
      <c r="AT115" s="112"/>
      <c r="AU115" s="112"/>
      <c r="AV115" s="112"/>
      <c r="AW115" s="112"/>
      <c r="AX115" s="112"/>
      <c r="AY115" s="112"/>
      <c r="AZ115" s="112"/>
      <c r="BA115" s="112"/>
      <c r="BB115" s="112"/>
      <c r="BC115" s="112"/>
      <c r="BD115" s="112"/>
      <c r="BE115" s="112"/>
      <c r="BF115" s="112"/>
      <c r="BG115" s="112"/>
      <c r="BH115" s="112"/>
      <c r="BI115" s="112"/>
      <c r="BJ115" s="112"/>
      <c r="BK115" s="112"/>
      <c r="BL115" s="112"/>
      <c r="BM115" s="112"/>
      <c r="BN115" s="112"/>
      <c r="BO115" s="112"/>
      <c r="BP115" s="112"/>
      <c r="BQ115" s="112"/>
      <c r="BR115" s="112"/>
      <c r="BS115" s="112"/>
      <c r="BT115" s="112"/>
    </row>
    <row r="116" spans="1:72" ht="27.95" customHeight="1" x14ac:dyDescent="0.3">
      <c r="A116" s="67"/>
      <c r="B116" s="190" t="s">
        <v>12</v>
      </c>
      <c r="C116" s="190"/>
      <c r="D116" s="190"/>
      <c r="E116" s="190"/>
      <c r="F116" s="201">
        <f t="shared" ref="F116:S116" si="51">+SUM(F117:F127)</f>
        <v>0</v>
      </c>
      <c r="G116" s="201">
        <f t="shared" si="51"/>
        <v>10.220463879915865</v>
      </c>
      <c r="H116" s="201">
        <f t="shared" si="51"/>
        <v>0</v>
      </c>
      <c r="I116" s="201">
        <f t="shared" si="51"/>
        <v>8.6638230076497482</v>
      </c>
      <c r="J116" s="201">
        <f t="shared" si="51"/>
        <v>0</v>
      </c>
      <c r="K116" s="201">
        <f t="shared" si="51"/>
        <v>6.8564264434637625</v>
      </c>
      <c r="L116" s="201">
        <f t="shared" si="51"/>
        <v>0</v>
      </c>
      <c r="M116" s="201">
        <f t="shared" si="51"/>
        <v>5.3019926941111901</v>
      </c>
      <c r="N116" s="201">
        <f t="shared" si="51"/>
        <v>0</v>
      </c>
      <c r="O116" s="201">
        <f t="shared" si="51"/>
        <v>3.8681117720687528</v>
      </c>
      <c r="P116" s="201">
        <f t="shared" si="51"/>
        <v>0</v>
      </c>
      <c r="Q116" s="201">
        <f t="shared" si="51"/>
        <v>3.1809954585827338</v>
      </c>
      <c r="R116" s="201">
        <f t="shared" si="51"/>
        <v>0</v>
      </c>
      <c r="S116" s="201">
        <f t="shared" si="51"/>
        <v>1.5208417869108108</v>
      </c>
      <c r="U116" s="115"/>
      <c r="AA116" s="115"/>
      <c r="AB116" s="115"/>
      <c r="AC116" s="115"/>
      <c r="AD116" s="115"/>
      <c r="AE116" s="115"/>
      <c r="AF116" s="115"/>
      <c r="AG116" s="115"/>
      <c r="AH116" s="115"/>
      <c r="AI116" s="115"/>
      <c r="AJ116" s="115"/>
      <c r="AK116" s="115"/>
      <c r="AL116" s="115"/>
      <c r="AM116" s="115"/>
      <c r="AN116" s="115"/>
      <c r="AO116" s="115"/>
      <c r="AP116" s="115"/>
      <c r="AQ116" s="115"/>
      <c r="AR116" s="115"/>
      <c r="AS116" s="115"/>
      <c r="AT116" s="115"/>
      <c r="AU116" s="115"/>
      <c r="AV116" s="115"/>
      <c r="AW116" s="115"/>
      <c r="AX116" s="115"/>
      <c r="AY116" s="115"/>
      <c r="AZ116" s="115"/>
      <c r="BA116" s="115"/>
      <c r="BB116" s="115"/>
      <c r="BC116" s="115"/>
      <c r="BD116" s="115"/>
      <c r="BE116" s="115"/>
      <c r="BF116" s="115"/>
      <c r="BG116" s="115"/>
      <c r="BH116" s="115"/>
      <c r="BI116" s="115"/>
      <c r="BJ116" s="115"/>
      <c r="BK116" s="115"/>
      <c r="BL116" s="115"/>
      <c r="BM116" s="115"/>
      <c r="BN116" s="115"/>
      <c r="BO116" s="115"/>
      <c r="BP116" s="115"/>
      <c r="BQ116" s="115"/>
      <c r="BR116" s="115"/>
      <c r="BS116" s="115"/>
      <c r="BT116" s="115"/>
    </row>
    <row r="117" spans="1:72" ht="27.95" customHeight="1" x14ac:dyDescent="0.3">
      <c r="A117" s="67"/>
      <c r="B117" s="9" t="s">
        <v>19</v>
      </c>
      <c r="C117" s="9" t="s">
        <v>20</v>
      </c>
      <c r="D117" s="9" t="str">
        <f>+VLOOKUP($C117,$C$10:$D$43,2,FALSE)</f>
        <v>USD</v>
      </c>
      <c r="E117" s="9" t="s">
        <v>92</v>
      </c>
      <c r="F117" s="74">
        <v>0</v>
      </c>
      <c r="G117" s="74">
        <v>2.7628427249781713</v>
      </c>
      <c r="H117" s="74">
        <v>0</v>
      </c>
      <c r="I117" s="74">
        <v>2.2397325477125851</v>
      </c>
      <c r="J117" s="74">
        <v>0</v>
      </c>
      <c r="K117" s="74">
        <v>1.8479876242417279</v>
      </c>
      <c r="L117" s="74">
        <v>0</v>
      </c>
      <c r="M117" s="74">
        <v>1.4528918234204362</v>
      </c>
      <c r="N117" s="74">
        <v>0</v>
      </c>
      <c r="O117" s="74">
        <v>1.069062155423731</v>
      </c>
      <c r="P117" s="74">
        <v>0</v>
      </c>
      <c r="Q117" s="74">
        <v>0.86590764472780513</v>
      </c>
      <c r="R117" s="74">
        <v>0</v>
      </c>
      <c r="S117" s="74">
        <v>0.4006204477465648</v>
      </c>
      <c r="T117" s="77"/>
      <c r="U117" s="77"/>
      <c r="AA117" s="77"/>
      <c r="AB117" s="77"/>
      <c r="AC117" s="77"/>
      <c r="AD117" s="77"/>
      <c r="AE117" s="77"/>
      <c r="AF117" s="77"/>
      <c r="AG117" s="77"/>
      <c r="AH117" s="77"/>
      <c r="AI117" s="77"/>
      <c r="AJ117" s="77"/>
      <c r="AK117" s="77"/>
      <c r="AL117" s="77"/>
      <c r="AM117" s="77"/>
      <c r="AN117" s="77"/>
      <c r="AO117" s="77"/>
      <c r="AP117" s="77"/>
      <c r="AQ117" s="77"/>
      <c r="AR117" s="77"/>
      <c r="AS117" s="77"/>
      <c r="AT117" s="77"/>
      <c r="AU117" s="77"/>
      <c r="AV117" s="77"/>
      <c r="AW117" s="77"/>
      <c r="AX117" s="77"/>
      <c r="AY117" s="77"/>
      <c r="AZ117" s="77"/>
      <c r="BA117" s="77"/>
      <c r="BB117" s="77"/>
      <c r="BC117" s="77"/>
      <c r="BD117" s="77"/>
      <c r="BE117" s="77"/>
      <c r="BF117" s="77"/>
      <c r="BG117" s="77"/>
      <c r="BH117" s="77"/>
      <c r="BI117" s="77"/>
      <c r="BJ117" s="77"/>
      <c r="BK117" s="77"/>
      <c r="BL117" s="77"/>
      <c r="BM117" s="77"/>
      <c r="BN117" s="77"/>
      <c r="BO117" s="77"/>
      <c r="BP117" s="77"/>
      <c r="BQ117" s="77"/>
      <c r="BR117" s="77"/>
      <c r="BS117" s="77"/>
      <c r="BT117" s="77"/>
    </row>
    <row r="118" spans="1:72" ht="27.95" customHeight="1" x14ac:dyDescent="0.3">
      <c r="A118" s="67"/>
      <c r="B118" s="9" t="s">
        <v>13</v>
      </c>
      <c r="C118" s="9" t="s">
        <v>14</v>
      </c>
      <c r="D118" s="9" t="str">
        <f>+VLOOKUP($C118,$C$10:$D$43,2,FALSE)</f>
        <v>USD</v>
      </c>
      <c r="E118" s="9" t="s">
        <v>92</v>
      </c>
      <c r="F118" s="74">
        <v>0</v>
      </c>
      <c r="G118" s="74">
        <v>2.3041394936380284</v>
      </c>
      <c r="H118" s="74">
        <v>0</v>
      </c>
      <c r="I118" s="74">
        <v>1.8686175750747054</v>
      </c>
      <c r="J118" s="74">
        <v>0</v>
      </c>
      <c r="K118" s="74">
        <v>1.4856767364683752</v>
      </c>
      <c r="L118" s="74">
        <v>0</v>
      </c>
      <c r="M118" s="74">
        <v>1.1254438588538063</v>
      </c>
      <c r="N118" s="74">
        <v>0</v>
      </c>
      <c r="O118" s="74">
        <v>0.7971012661955853</v>
      </c>
      <c r="P118" s="74">
        <v>0</v>
      </c>
      <c r="Q118" s="74">
        <v>0.66342261347576392</v>
      </c>
      <c r="R118" s="74">
        <v>0</v>
      </c>
      <c r="S118" s="74">
        <v>0.32093965820228293</v>
      </c>
      <c r="T118" s="77"/>
      <c r="U118" s="77"/>
      <c r="AA118" s="77"/>
      <c r="AB118" s="77"/>
      <c r="AC118" s="77"/>
      <c r="AD118" s="77"/>
      <c r="AE118" s="77"/>
      <c r="AF118" s="77"/>
      <c r="AG118" s="77"/>
      <c r="AH118" s="77"/>
      <c r="AI118" s="77"/>
      <c r="AJ118" s="77"/>
      <c r="AK118" s="77"/>
      <c r="AL118" s="77"/>
      <c r="AM118" s="77"/>
      <c r="AN118" s="77"/>
      <c r="AO118" s="77"/>
      <c r="AP118" s="77"/>
      <c r="AQ118" s="77"/>
      <c r="AR118" s="77"/>
      <c r="AS118" s="77"/>
      <c r="AT118" s="77"/>
      <c r="AU118" s="77"/>
      <c r="AV118" s="77"/>
      <c r="AW118" s="77"/>
      <c r="AX118" s="77"/>
      <c r="AY118" s="77"/>
      <c r="AZ118" s="77"/>
      <c r="BA118" s="77"/>
      <c r="BB118" s="77"/>
      <c r="BC118" s="77"/>
      <c r="BD118" s="77"/>
      <c r="BE118" s="77"/>
      <c r="BF118" s="77"/>
      <c r="BG118" s="77"/>
      <c r="BH118" s="77"/>
      <c r="BI118" s="77"/>
      <c r="BJ118" s="77"/>
      <c r="BK118" s="77"/>
      <c r="BL118" s="77"/>
      <c r="BM118" s="77"/>
      <c r="BN118" s="77"/>
      <c r="BO118" s="77"/>
      <c r="BP118" s="77"/>
      <c r="BQ118" s="77"/>
      <c r="BR118" s="77"/>
      <c r="BS118" s="77"/>
      <c r="BT118" s="77"/>
    </row>
    <row r="119" spans="1:72" ht="27.95" customHeight="1" x14ac:dyDescent="0.3">
      <c r="A119" s="67"/>
      <c r="B119" s="9" t="s">
        <v>15</v>
      </c>
      <c r="C119" s="9" t="s">
        <v>16</v>
      </c>
      <c r="D119" s="9" t="str">
        <f>+VLOOKUP($C119,$C$10:$D$43,2,FALSE)</f>
        <v>USD</v>
      </c>
      <c r="E119" s="9" t="s">
        <v>92</v>
      </c>
      <c r="F119" s="74">
        <v>0</v>
      </c>
      <c r="G119" s="74">
        <v>1.34628192</v>
      </c>
      <c r="H119" s="74">
        <v>0</v>
      </c>
      <c r="I119" s="74">
        <v>1.5702261099999999</v>
      </c>
      <c r="J119" s="74">
        <v>0</v>
      </c>
      <c r="K119" s="74">
        <v>1.2337710699999997</v>
      </c>
      <c r="L119" s="74">
        <v>0</v>
      </c>
      <c r="M119" s="74">
        <v>0.91996980000000006</v>
      </c>
      <c r="N119" s="74">
        <v>0</v>
      </c>
      <c r="O119" s="74">
        <v>0.64046034000000007</v>
      </c>
      <c r="P119" s="74">
        <v>0</v>
      </c>
      <c r="Q119" s="74">
        <v>0.48181864000000002</v>
      </c>
      <c r="R119" s="74">
        <v>0</v>
      </c>
      <c r="S119" s="74">
        <v>0.19791599680031921</v>
      </c>
      <c r="T119" s="77"/>
      <c r="U119" s="77"/>
      <c r="AA119" s="77"/>
      <c r="AB119" s="77"/>
      <c r="AC119" s="77"/>
      <c r="AD119" s="77"/>
      <c r="AE119" s="77"/>
      <c r="AF119" s="77"/>
      <c r="AG119" s="77"/>
      <c r="AH119" s="77"/>
      <c r="AI119" s="77"/>
      <c r="AJ119" s="77"/>
      <c r="AK119" s="77"/>
      <c r="AL119" s="77"/>
      <c r="AM119" s="77"/>
      <c r="AN119" s="77"/>
      <c r="AO119" s="77"/>
      <c r="AP119" s="77"/>
      <c r="AQ119" s="77"/>
      <c r="AR119" s="77"/>
      <c r="AS119" s="77"/>
      <c r="AT119" s="77"/>
      <c r="AU119" s="77"/>
      <c r="AV119" s="77"/>
      <c r="AW119" s="77"/>
      <c r="AX119" s="77"/>
      <c r="AY119" s="77"/>
      <c r="AZ119" s="77"/>
      <c r="BA119" s="77"/>
      <c r="BB119" s="77"/>
      <c r="BC119" s="77"/>
      <c r="BD119" s="77"/>
      <c r="BE119" s="77"/>
      <c r="BF119" s="77"/>
      <c r="BG119" s="77"/>
      <c r="BH119" s="77"/>
      <c r="BI119" s="77"/>
      <c r="BJ119" s="77"/>
      <c r="BK119" s="77"/>
      <c r="BL119" s="77"/>
      <c r="BM119" s="77"/>
      <c r="BN119" s="77"/>
      <c r="BO119" s="77"/>
      <c r="BP119" s="77"/>
      <c r="BQ119" s="77"/>
      <c r="BR119" s="77"/>
      <c r="BS119" s="77"/>
      <c r="BT119" s="77"/>
    </row>
    <row r="120" spans="1:72" ht="27.95" customHeight="1" x14ac:dyDescent="0.3">
      <c r="A120" s="67"/>
      <c r="B120" s="9" t="s">
        <v>125</v>
      </c>
      <c r="C120" s="9" t="s">
        <v>126</v>
      </c>
      <c r="D120" s="9" t="str">
        <f>+VLOOKUP($C120,$C$10:$D$43,2,FALSE)</f>
        <v>USD</v>
      </c>
      <c r="E120" s="9" t="s">
        <v>92</v>
      </c>
      <c r="F120" s="74">
        <v>0</v>
      </c>
      <c r="G120" s="74">
        <v>1.7471796534246571</v>
      </c>
      <c r="H120" s="74">
        <v>0</v>
      </c>
      <c r="I120" s="74">
        <v>1.5166878256849317</v>
      </c>
      <c r="J120" s="74">
        <v>0</v>
      </c>
      <c r="K120" s="74">
        <v>1.2569558517123289</v>
      </c>
      <c r="L120" s="74">
        <v>0</v>
      </c>
      <c r="M120" s="74">
        <v>0.99665250780821901</v>
      </c>
      <c r="N120" s="74">
        <v>0</v>
      </c>
      <c r="O120" s="74">
        <v>0.74300953376712309</v>
      </c>
      <c r="P120" s="74">
        <v>0</v>
      </c>
      <c r="Q120" s="74">
        <v>0.64660966027397249</v>
      </c>
      <c r="R120" s="74">
        <v>0</v>
      </c>
      <c r="S120" s="74">
        <v>0.3176622246575338</v>
      </c>
      <c r="T120" s="77"/>
      <c r="U120" s="77"/>
      <c r="AA120" s="77"/>
      <c r="AB120" s="77"/>
      <c r="AC120" s="77"/>
      <c r="AD120" s="77"/>
      <c r="AE120" s="77"/>
      <c r="AF120" s="77"/>
      <c r="AG120" s="77"/>
      <c r="AH120" s="77"/>
      <c r="AI120" s="77"/>
      <c r="AJ120" s="77"/>
      <c r="AK120" s="77"/>
      <c r="AL120" s="77"/>
      <c r="AM120" s="77"/>
      <c r="AN120" s="77"/>
      <c r="AO120" s="77"/>
      <c r="AP120" s="77"/>
      <c r="AQ120" s="77"/>
      <c r="AR120" s="77"/>
      <c r="AS120" s="77"/>
      <c r="AT120" s="77"/>
      <c r="AU120" s="77"/>
      <c r="AV120" s="77"/>
      <c r="AW120" s="77"/>
      <c r="AX120" s="77"/>
      <c r="AY120" s="77"/>
      <c r="AZ120" s="77"/>
      <c r="BA120" s="77"/>
      <c r="BB120" s="77"/>
      <c r="BC120" s="77"/>
      <c r="BD120" s="77"/>
      <c r="BE120" s="77"/>
      <c r="BF120" s="77"/>
      <c r="BG120" s="77"/>
      <c r="BH120" s="77"/>
      <c r="BI120" s="77"/>
      <c r="BJ120" s="77"/>
      <c r="BK120" s="77"/>
      <c r="BL120" s="77"/>
      <c r="BM120" s="77"/>
      <c r="BN120" s="77"/>
      <c r="BO120" s="77"/>
      <c r="BP120" s="77"/>
      <c r="BQ120" s="77"/>
      <c r="BR120" s="77"/>
      <c r="BS120" s="77"/>
      <c r="BT120" s="77"/>
    </row>
    <row r="121" spans="1:72" ht="27.95" customHeight="1" x14ac:dyDescent="0.3">
      <c r="A121" s="67"/>
      <c r="B121" s="9" t="s">
        <v>23</v>
      </c>
      <c r="C121" s="9" t="s">
        <v>24</v>
      </c>
      <c r="D121" s="9" t="str">
        <f>+VLOOKUP($C121,$C$10:$D$43,2,FALSE)</f>
        <v>USD</v>
      </c>
      <c r="E121" s="9" t="s">
        <v>92</v>
      </c>
      <c r="F121" s="74">
        <v>0</v>
      </c>
      <c r="G121" s="74">
        <v>0.84837839565763973</v>
      </c>
      <c r="H121" s="74">
        <v>0</v>
      </c>
      <c r="I121" s="74">
        <v>0.74112394614612243</v>
      </c>
      <c r="J121" s="74">
        <v>0</v>
      </c>
      <c r="K121" s="74">
        <v>0.61235303682780962</v>
      </c>
      <c r="L121" s="74">
        <v>0</v>
      </c>
      <c r="M121" s="74">
        <v>0.48278957079287199</v>
      </c>
      <c r="N121" s="74">
        <v>0</v>
      </c>
      <c r="O121" s="74">
        <v>0.35671443332533453</v>
      </c>
      <c r="P121" s="74">
        <v>0</v>
      </c>
      <c r="Q121" s="74">
        <v>0.30212347113874299</v>
      </c>
      <c r="R121" s="74">
        <v>0</v>
      </c>
      <c r="S121" s="74">
        <v>0.18249174334719195</v>
      </c>
      <c r="T121" s="77"/>
      <c r="U121" s="77"/>
      <c r="AA121" s="77"/>
      <c r="AB121" s="77"/>
      <c r="AC121" s="77"/>
      <c r="AD121" s="77"/>
      <c r="AE121" s="77"/>
      <c r="AF121" s="77"/>
      <c r="AG121" s="77"/>
      <c r="AH121" s="77"/>
      <c r="AI121" s="77"/>
      <c r="AJ121" s="77"/>
      <c r="AK121" s="77"/>
      <c r="AL121" s="77"/>
      <c r="AM121" s="77"/>
      <c r="AN121" s="77"/>
      <c r="AO121" s="77"/>
      <c r="AP121" s="77"/>
      <c r="AQ121" s="77"/>
      <c r="AR121" s="77"/>
      <c r="AS121" s="77"/>
      <c r="AT121" s="77"/>
      <c r="AU121" s="77"/>
      <c r="AV121" s="77"/>
      <c r="AW121" s="77"/>
      <c r="AX121" s="77"/>
      <c r="AY121" s="77"/>
      <c r="AZ121" s="77"/>
      <c r="BA121" s="77"/>
      <c r="BB121" s="77"/>
      <c r="BC121" s="77"/>
      <c r="BD121" s="77"/>
      <c r="BE121" s="77"/>
      <c r="BF121" s="77"/>
      <c r="BG121" s="77"/>
      <c r="BH121" s="77"/>
      <c r="BI121" s="77"/>
      <c r="BJ121" s="77"/>
      <c r="BK121" s="77"/>
      <c r="BL121" s="77"/>
      <c r="BM121" s="77"/>
      <c r="BN121" s="77"/>
      <c r="BO121" s="77"/>
      <c r="BP121" s="77"/>
      <c r="BQ121" s="77"/>
      <c r="BR121" s="77"/>
      <c r="BS121" s="77"/>
      <c r="BT121" s="77"/>
    </row>
    <row r="122" spans="1:72" ht="27.95" customHeight="1" x14ac:dyDescent="0.3">
      <c r="A122" s="67"/>
      <c r="B122" s="9" t="s">
        <v>17</v>
      </c>
      <c r="C122" s="9" t="s">
        <v>18</v>
      </c>
      <c r="D122" s="9" t="s">
        <v>99</v>
      </c>
      <c r="E122" s="9" t="s">
        <v>92</v>
      </c>
      <c r="F122" s="74">
        <v>0</v>
      </c>
      <c r="G122" s="74">
        <v>0.56925187678971045</v>
      </c>
      <c r="H122" s="74">
        <v>0</v>
      </c>
      <c r="I122" s="74">
        <v>0.21272828323867096</v>
      </c>
      <c r="J122" s="74">
        <v>0</v>
      </c>
      <c r="K122" s="74">
        <v>0</v>
      </c>
      <c r="L122" s="74">
        <v>0</v>
      </c>
      <c r="M122" s="74">
        <v>0</v>
      </c>
      <c r="N122" s="74">
        <v>0</v>
      </c>
      <c r="O122" s="74">
        <v>0</v>
      </c>
      <c r="P122" s="74">
        <v>0</v>
      </c>
      <c r="Q122" s="74">
        <v>0</v>
      </c>
      <c r="R122" s="74">
        <v>0</v>
      </c>
      <c r="S122" s="74">
        <v>0</v>
      </c>
      <c r="T122" s="77"/>
      <c r="U122" s="77"/>
      <c r="AA122" s="77"/>
      <c r="AB122" s="77"/>
      <c r="AC122" s="77"/>
      <c r="AD122" s="77"/>
      <c r="AE122" s="77"/>
      <c r="AF122" s="77"/>
      <c r="AG122" s="77"/>
      <c r="AH122" s="77"/>
      <c r="AI122" s="77"/>
      <c r="AJ122" s="77"/>
      <c r="AK122" s="77"/>
      <c r="AL122" s="77"/>
      <c r="AM122" s="77"/>
      <c r="AN122" s="77"/>
      <c r="AO122" s="77"/>
      <c r="AP122" s="77"/>
      <c r="AQ122" s="77"/>
      <c r="AR122" s="77"/>
      <c r="AS122" s="77"/>
      <c r="AT122" s="77"/>
      <c r="AU122" s="77"/>
      <c r="AV122" s="77"/>
      <c r="AW122" s="77"/>
      <c r="AX122" s="77"/>
      <c r="AY122" s="77"/>
      <c r="AZ122" s="77"/>
      <c r="BA122" s="77"/>
      <c r="BB122" s="77"/>
      <c r="BC122" s="77"/>
      <c r="BD122" s="77"/>
      <c r="BE122" s="77"/>
      <c r="BF122" s="77"/>
      <c r="BG122" s="77"/>
      <c r="BH122" s="77"/>
      <c r="BI122" s="77"/>
      <c r="BJ122" s="77"/>
      <c r="BK122" s="77"/>
      <c r="BL122" s="77"/>
      <c r="BM122" s="77"/>
      <c r="BN122" s="77"/>
      <c r="BO122" s="77"/>
      <c r="BP122" s="77"/>
      <c r="BQ122" s="77"/>
      <c r="BR122" s="77"/>
      <c r="BS122" s="77"/>
      <c r="BT122" s="77"/>
    </row>
    <row r="123" spans="1:72" ht="27.95" customHeight="1" x14ac:dyDescent="0.3">
      <c r="A123" s="67"/>
      <c r="B123" s="9" t="s">
        <v>145</v>
      </c>
      <c r="C123" s="9" t="s">
        <v>217</v>
      </c>
      <c r="D123" s="9" t="s">
        <v>99</v>
      </c>
      <c r="E123" s="9" t="s">
        <v>92</v>
      </c>
      <c r="F123" s="74">
        <v>0</v>
      </c>
      <c r="G123" s="74">
        <v>0.3180123099604949</v>
      </c>
      <c r="H123" s="74">
        <v>0</v>
      </c>
      <c r="I123" s="74">
        <v>0.31482378231227165</v>
      </c>
      <c r="J123" s="74">
        <v>0</v>
      </c>
      <c r="K123" s="74">
        <v>0.26440857361138159</v>
      </c>
      <c r="L123" s="74">
        <v>0</v>
      </c>
      <c r="M123" s="74">
        <v>0.209991138019052</v>
      </c>
      <c r="N123" s="74">
        <v>0</v>
      </c>
      <c r="O123" s="74">
        <v>0.18355779776992923</v>
      </c>
      <c r="P123" s="74">
        <v>0</v>
      </c>
      <c r="Q123" s="74">
        <v>0.1632829553700611</v>
      </c>
      <c r="R123" s="74">
        <v>0</v>
      </c>
      <c r="S123" s="74">
        <v>7.4282360423581134E-2</v>
      </c>
      <c r="T123" s="77"/>
      <c r="U123" s="170"/>
      <c r="AA123" s="77"/>
      <c r="AB123" s="77"/>
      <c r="AC123" s="77"/>
      <c r="AD123" s="77"/>
      <c r="AE123" s="77"/>
      <c r="AF123" s="77"/>
      <c r="AG123" s="77"/>
      <c r="AH123" s="77"/>
      <c r="AI123" s="77"/>
      <c r="AJ123" s="77"/>
      <c r="AK123" s="77"/>
      <c r="AL123" s="77"/>
      <c r="AM123" s="77"/>
      <c r="AN123" s="77"/>
      <c r="AO123" s="77"/>
      <c r="AP123" s="77"/>
      <c r="AQ123" s="77"/>
      <c r="AR123" s="77"/>
      <c r="AS123" s="77"/>
      <c r="AT123" s="77"/>
      <c r="AU123" s="77"/>
      <c r="AV123" s="77"/>
      <c r="AW123" s="77"/>
      <c r="AX123" s="77"/>
      <c r="AY123" s="77"/>
      <c r="AZ123" s="77"/>
      <c r="BA123" s="77"/>
      <c r="BB123" s="77"/>
      <c r="BC123" s="77"/>
      <c r="BD123" s="77"/>
      <c r="BE123" s="77"/>
      <c r="BF123" s="77"/>
      <c r="BG123" s="77"/>
      <c r="BH123" s="77"/>
      <c r="BI123" s="77"/>
      <c r="BJ123" s="77"/>
      <c r="BK123" s="77"/>
      <c r="BL123" s="77"/>
      <c r="BM123" s="77"/>
      <c r="BN123" s="77"/>
      <c r="BO123" s="77"/>
      <c r="BP123" s="77"/>
      <c r="BQ123" s="77"/>
      <c r="BR123" s="77"/>
      <c r="BS123" s="77"/>
      <c r="BT123" s="77"/>
    </row>
    <row r="124" spans="1:72" ht="27.95" customHeight="1" x14ac:dyDescent="0.3">
      <c r="A124" s="67"/>
      <c r="B124" s="9" t="s">
        <v>21</v>
      </c>
      <c r="C124" s="9" t="s">
        <v>22</v>
      </c>
      <c r="D124" s="9" t="s">
        <v>99</v>
      </c>
      <c r="E124" s="9" t="s">
        <v>92</v>
      </c>
      <c r="F124" s="74">
        <v>0</v>
      </c>
      <c r="G124" s="74">
        <v>0.2526752498408058</v>
      </c>
      <c r="H124" s="74">
        <v>0</v>
      </c>
      <c r="I124" s="74">
        <v>0.19988293748045924</v>
      </c>
      <c r="J124" s="74">
        <v>0</v>
      </c>
      <c r="K124" s="74">
        <v>0.15527355060213921</v>
      </c>
      <c r="L124" s="74">
        <v>0</v>
      </c>
      <c r="M124" s="74">
        <v>0.11425399521680453</v>
      </c>
      <c r="N124" s="74">
        <v>0</v>
      </c>
      <c r="O124" s="74">
        <v>7.8206245587049389E-2</v>
      </c>
      <c r="P124" s="74">
        <v>0</v>
      </c>
      <c r="Q124" s="74">
        <v>5.7830473596387912E-2</v>
      </c>
      <c r="R124" s="74">
        <v>0</v>
      </c>
      <c r="S124" s="74">
        <v>2.6929355733336935E-2</v>
      </c>
      <c r="T124" s="77"/>
      <c r="U124" s="77"/>
      <c r="AA124" s="77"/>
      <c r="AB124" s="77"/>
      <c r="AC124" s="77"/>
      <c r="AD124" s="77"/>
      <c r="AE124" s="77"/>
      <c r="AF124" s="77"/>
      <c r="AG124" s="77"/>
      <c r="AH124" s="77"/>
      <c r="AI124" s="77"/>
      <c r="AJ124" s="77"/>
      <c r="AK124" s="77"/>
      <c r="AL124" s="77"/>
      <c r="AM124" s="77"/>
      <c r="AN124" s="77"/>
      <c r="AO124" s="77"/>
      <c r="AP124" s="77"/>
      <c r="AQ124" s="77"/>
      <c r="AR124" s="77"/>
      <c r="AS124" s="77"/>
      <c r="AT124" s="77"/>
      <c r="AU124" s="77"/>
      <c r="AV124" s="77"/>
      <c r="AW124" s="77"/>
      <c r="AX124" s="77"/>
      <c r="AY124" s="77"/>
      <c r="AZ124" s="77"/>
      <c r="BA124" s="77"/>
      <c r="BB124" s="77"/>
      <c r="BC124" s="77"/>
      <c r="BD124" s="77"/>
      <c r="BE124" s="77"/>
      <c r="BF124" s="77"/>
      <c r="BG124" s="77"/>
      <c r="BH124" s="77"/>
      <c r="BI124" s="77"/>
      <c r="BJ124" s="77"/>
      <c r="BK124" s="77"/>
      <c r="BL124" s="77"/>
      <c r="BM124" s="77"/>
      <c r="BN124" s="77"/>
      <c r="BO124" s="77"/>
      <c r="BP124" s="77"/>
      <c r="BQ124" s="77"/>
      <c r="BR124" s="77"/>
      <c r="BS124" s="77"/>
      <c r="BT124" s="77"/>
    </row>
    <row r="125" spans="1:72" ht="27.95" customHeight="1" x14ac:dyDescent="0.3">
      <c r="A125" s="67"/>
      <c r="B125" s="9" t="s">
        <v>27</v>
      </c>
      <c r="C125" s="9" t="s">
        <v>28</v>
      </c>
      <c r="D125" s="9" t="str">
        <f>+VLOOKUP($C125,$C$10:$D$43,2,FALSE)</f>
        <v>USD</v>
      </c>
      <c r="E125" s="9" t="s">
        <v>92</v>
      </c>
      <c r="F125" s="74">
        <v>0</v>
      </c>
      <c r="G125" s="74">
        <v>0</v>
      </c>
      <c r="H125" s="74">
        <v>0</v>
      </c>
      <c r="I125" s="74">
        <v>0</v>
      </c>
      <c r="J125" s="74">
        <v>0</v>
      </c>
      <c r="K125" s="74">
        <v>0</v>
      </c>
      <c r="L125" s="74">
        <v>0</v>
      </c>
      <c r="M125" s="74">
        <v>0</v>
      </c>
      <c r="N125" s="74">
        <v>0</v>
      </c>
      <c r="O125" s="74">
        <v>0</v>
      </c>
      <c r="P125" s="74">
        <v>0</v>
      </c>
      <c r="Q125" s="74">
        <v>0</v>
      </c>
      <c r="R125" s="74">
        <v>0</v>
      </c>
      <c r="S125" s="74">
        <v>0</v>
      </c>
      <c r="T125" s="77"/>
      <c r="U125" s="77"/>
      <c r="AA125" s="77"/>
      <c r="AB125" s="77"/>
      <c r="AC125" s="77"/>
      <c r="AD125" s="77"/>
      <c r="AE125" s="77"/>
      <c r="AF125" s="77"/>
      <c r="AG125" s="77"/>
      <c r="AH125" s="77"/>
      <c r="AI125" s="77"/>
      <c r="AJ125" s="77"/>
      <c r="AK125" s="77"/>
      <c r="AL125" s="77"/>
      <c r="AM125" s="77"/>
      <c r="AN125" s="77"/>
      <c r="AO125" s="77"/>
      <c r="AP125" s="77"/>
      <c r="AQ125" s="77"/>
      <c r="AR125" s="77"/>
      <c r="AS125" s="77"/>
      <c r="AT125" s="77"/>
      <c r="AU125" s="77"/>
      <c r="AV125" s="77"/>
      <c r="AW125" s="77"/>
      <c r="AX125" s="77"/>
      <c r="AY125" s="77"/>
      <c r="AZ125" s="77"/>
      <c r="BA125" s="77"/>
      <c r="BB125" s="77"/>
      <c r="BC125" s="77"/>
      <c r="BD125" s="77"/>
      <c r="BE125" s="77"/>
      <c r="BF125" s="77"/>
      <c r="BG125" s="77"/>
      <c r="BH125" s="77"/>
      <c r="BI125" s="77"/>
      <c r="BJ125" s="77"/>
      <c r="BK125" s="77"/>
      <c r="BL125" s="77"/>
      <c r="BM125" s="77"/>
      <c r="BN125" s="77"/>
      <c r="BO125" s="77"/>
      <c r="BP125" s="77"/>
      <c r="BQ125" s="77"/>
      <c r="BR125" s="77"/>
      <c r="BS125" s="77"/>
      <c r="BT125" s="77"/>
    </row>
    <row r="126" spans="1:72" ht="27.95" customHeight="1" x14ac:dyDescent="0.3">
      <c r="A126" s="67"/>
      <c r="B126" s="9" t="s">
        <v>25</v>
      </c>
      <c r="C126" s="9" t="s">
        <v>26</v>
      </c>
      <c r="D126" s="9" t="str">
        <f>+VLOOKUP($C126,$C$10:$D$43,2,FALSE)</f>
        <v>USD</v>
      </c>
      <c r="E126" s="9" t="s">
        <v>92</v>
      </c>
      <c r="F126" s="74">
        <v>0</v>
      </c>
      <c r="G126" s="74">
        <v>9.7863546935784557E-3</v>
      </c>
      <c r="H126" s="74">
        <v>0</v>
      </c>
      <c r="I126" s="74">
        <v>0</v>
      </c>
      <c r="J126" s="74">
        <v>0</v>
      </c>
      <c r="K126" s="74">
        <v>0</v>
      </c>
      <c r="L126" s="74">
        <v>0</v>
      </c>
      <c r="M126" s="74">
        <v>0</v>
      </c>
      <c r="N126" s="74">
        <v>0</v>
      </c>
      <c r="O126" s="74">
        <v>0</v>
      </c>
      <c r="P126" s="74">
        <v>0</v>
      </c>
      <c r="Q126" s="74">
        <v>0</v>
      </c>
      <c r="R126" s="74">
        <v>0</v>
      </c>
      <c r="S126" s="74">
        <v>0</v>
      </c>
      <c r="T126" s="77"/>
      <c r="U126" s="77"/>
      <c r="AA126" s="77"/>
      <c r="AB126" s="77"/>
      <c r="AC126" s="77"/>
      <c r="AD126" s="77"/>
      <c r="AE126" s="77"/>
      <c r="AF126" s="77"/>
      <c r="AG126" s="77"/>
      <c r="AH126" s="77"/>
      <c r="AI126" s="77"/>
      <c r="AJ126" s="77"/>
      <c r="AK126" s="77"/>
      <c r="AL126" s="77"/>
      <c r="AM126" s="77"/>
      <c r="AN126" s="77"/>
      <c r="AO126" s="77"/>
      <c r="AP126" s="77"/>
      <c r="AQ126" s="77"/>
      <c r="AR126" s="77"/>
      <c r="AS126" s="77"/>
      <c r="AT126" s="77"/>
      <c r="AU126" s="77"/>
      <c r="AV126" s="77"/>
      <c r="AW126" s="77"/>
      <c r="AX126" s="77"/>
      <c r="AY126" s="77"/>
      <c r="AZ126" s="77"/>
      <c r="BA126" s="77"/>
      <c r="BB126" s="77"/>
      <c r="BC126" s="77"/>
      <c r="BD126" s="77"/>
      <c r="BE126" s="77"/>
      <c r="BF126" s="77"/>
      <c r="BG126" s="77"/>
      <c r="BH126" s="77"/>
      <c r="BI126" s="77"/>
      <c r="BJ126" s="77"/>
      <c r="BK126" s="77"/>
      <c r="BL126" s="77"/>
      <c r="BM126" s="77"/>
      <c r="BN126" s="77"/>
      <c r="BO126" s="77"/>
      <c r="BP126" s="77"/>
      <c r="BQ126" s="77"/>
      <c r="BR126" s="77"/>
      <c r="BS126" s="77"/>
      <c r="BT126" s="77"/>
    </row>
    <row r="127" spans="1:72" ht="27.95" customHeight="1" x14ac:dyDescent="0.3">
      <c r="A127" s="67"/>
      <c r="B127" s="9" t="s">
        <v>29</v>
      </c>
      <c r="C127" s="9" t="s">
        <v>30</v>
      </c>
      <c r="D127" s="9" t="str">
        <f>+VLOOKUP($C127,$C$10:$D$43,2,FALSE)</f>
        <v>USD</v>
      </c>
      <c r="E127" s="9" t="s">
        <v>92</v>
      </c>
      <c r="F127" s="74">
        <v>0</v>
      </c>
      <c r="G127" s="74">
        <v>6.1915900932780397E-2</v>
      </c>
      <c r="H127" s="74">
        <v>0</v>
      </c>
      <c r="I127" s="74">
        <v>0</v>
      </c>
      <c r="J127" s="74">
        <v>0</v>
      </c>
      <c r="K127" s="74">
        <v>0</v>
      </c>
      <c r="L127" s="74">
        <v>0</v>
      </c>
      <c r="M127" s="74">
        <v>0</v>
      </c>
      <c r="N127" s="74">
        <v>0</v>
      </c>
      <c r="O127" s="74">
        <v>0</v>
      </c>
      <c r="P127" s="74">
        <v>0</v>
      </c>
      <c r="Q127" s="74">
        <v>0</v>
      </c>
      <c r="R127" s="74">
        <v>0</v>
      </c>
      <c r="S127" s="74">
        <v>0</v>
      </c>
      <c r="T127" s="77"/>
      <c r="U127" s="77"/>
      <c r="AA127" s="77"/>
      <c r="AB127" s="77"/>
      <c r="AC127" s="77"/>
      <c r="AD127" s="77"/>
      <c r="AE127" s="77"/>
      <c r="AF127" s="77"/>
      <c r="AG127" s="77"/>
      <c r="AH127" s="77"/>
      <c r="AI127" s="77"/>
      <c r="AJ127" s="77"/>
      <c r="AK127" s="77"/>
      <c r="AL127" s="77"/>
      <c r="AM127" s="77"/>
      <c r="AN127" s="77"/>
      <c r="AO127" s="77"/>
      <c r="AP127" s="77"/>
      <c r="AQ127" s="77"/>
      <c r="AR127" s="77"/>
      <c r="AS127" s="77"/>
      <c r="AT127" s="77"/>
      <c r="AU127" s="77"/>
      <c r="AV127" s="77"/>
      <c r="AW127" s="77"/>
      <c r="AX127" s="77"/>
      <c r="AY127" s="77"/>
      <c r="AZ127" s="77"/>
      <c r="BA127" s="77"/>
      <c r="BB127" s="77"/>
      <c r="BC127" s="77"/>
      <c r="BD127" s="77"/>
      <c r="BE127" s="77"/>
      <c r="BF127" s="77"/>
      <c r="BG127" s="77"/>
      <c r="BH127" s="77"/>
      <c r="BI127" s="77"/>
      <c r="BJ127" s="77"/>
      <c r="BK127" s="77"/>
      <c r="BL127" s="77"/>
      <c r="BM127" s="77"/>
      <c r="BN127" s="77"/>
      <c r="BO127" s="77"/>
      <c r="BP127" s="77"/>
      <c r="BQ127" s="77"/>
      <c r="BR127" s="77"/>
      <c r="BS127" s="77"/>
      <c r="BT127" s="77"/>
    </row>
    <row r="128" spans="1:72" ht="27.95" customHeight="1" x14ac:dyDescent="0.3">
      <c r="A128" s="67"/>
      <c r="B128" s="190" t="s">
        <v>31</v>
      </c>
      <c r="C128" s="190"/>
      <c r="D128" s="190"/>
      <c r="E128" s="190"/>
      <c r="F128" s="201">
        <f t="shared" ref="F128:R128" si="52">+SUM(F129:F131)</f>
        <v>0</v>
      </c>
      <c r="G128" s="201">
        <f t="shared" si="52"/>
        <v>1.8567864044904332</v>
      </c>
      <c r="H128" s="201">
        <f t="shared" si="52"/>
        <v>0</v>
      </c>
      <c r="I128" s="201">
        <f t="shared" si="52"/>
        <v>1.9803793482898855</v>
      </c>
      <c r="J128" s="201">
        <f t="shared" si="52"/>
        <v>0</v>
      </c>
      <c r="K128" s="201">
        <f t="shared" si="52"/>
        <v>1.6518243900054943</v>
      </c>
      <c r="L128" s="201">
        <f t="shared" si="52"/>
        <v>0</v>
      </c>
      <c r="M128" s="201">
        <f t="shared" si="52"/>
        <v>1.337873328586932</v>
      </c>
      <c r="N128" s="201">
        <f t="shared" si="52"/>
        <v>0</v>
      </c>
      <c r="O128" s="201">
        <f t="shared" si="52"/>
        <v>1.1967145794222063</v>
      </c>
      <c r="P128" s="201">
        <f t="shared" si="52"/>
        <v>0</v>
      </c>
      <c r="Q128" s="201">
        <f t="shared" si="52"/>
        <v>1.0829536020211314</v>
      </c>
      <c r="R128" s="201">
        <f t="shared" si="52"/>
        <v>0</v>
      </c>
      <c r="S128" s="201">
        <f>+SUM(S129:S131)</f>
        <v>0.52697863903088848</v>
      </c>
      <c r="T128" s="115"/>
      <c r="U128" s="115"/>
      <c r="AA128" s="115"/>
      <c r="AB128" s="115"/>
      <c r="AC128" s="115"/>
      <c r="AD128" s="115"/>
      <c r="AE128" s="115"/>
      <c r="AF128" s="115"/>
      <c r="AG128" s="115"/>
      <c r="AH128" s="115"/>
      <c r="AI128" s="115"/>
      <c r="AJ128" s="115"/>
      <c r="AK128" s="115"/>
      <c r="AL128" s="115"/>
      <c r="AM128" s="115"/>
      <c r="AN128" s="115"/>
      <c r="AO128" s="115"/>
      <c r="AP128" s="115"/>
      <c r="AQ128" s="115"/>
      <c r="AR128" s="115"/>
      <c r="AS128" s="115"/>
      <c r="AT128" s="115"/>
      <c r="AU128" s="115"/>
      <c r="AV128" s="115"/>
      <c r="AW128" s="115"/>
      <c r="AX128" s="115"/>
      <c r="AY128" s="115"/>
      <c r="AZ128" s="115"/>
      <c r="BA128" s="115"/>
      <c r="BB128" s="115"/>
      <c r="BC128" s="115"/>
      <c r="BD128" s="115"/>
      <c r="BE128" s="115"/>
      <c r="BF128" s="115"/>
      <c r="BG128" s="115"/>
      <c r="BH128" s="115"/>
      <c r="BI128" s="115"/>
      <c r="BJ128" s="115"/>
      <c r="BK128" s="115"/>
      <c r="BL128" s="115"/>
      <c r="BM128" s="115"/>
      <c r="BN128" s="115"/>
      <c r="BO128" s="115"/>
      <c r="BP128" s="115"/>
      <c r="BQ128" s="115"/>
      <c r="BR128" s="115"/>
      <c r="BS128" s="115"/>
      <c r="BT128" s="115"/>
    </row>
    <row r="129" spans="1:86" ht="27.95" customHeight="1" x14ac:dyDescent="0.3">
      <c r="A129" s="67"/>
      <c r="B129" s="9" t="s">
        <v>32</v>
      </c>
      <c r="C129" s="9" t="s">
        <v>33</v>
      </c>
      <c r="D129" s="9" t="str">
        <f>+VLOOKUP($C129,$C$10:$D$43,2,FALSE)</f>
        <v>USD</v>
      </c>
      <c r="E129" s="9" t="s">
        <v>92</v>
      </c>
      <c r="F129" s="74">
        <v>0</v>
      </c>
      <c r="G129" s="74">
        <v>1.4354643143531036</v>
      </c>
      <c r="H129" s="74">
        <v>0</v>
      </c>
      <c r="I129" s="74">
        <v>1.5671225802540696</v>
      </c>
      <c r="J129" s="74">
        <v>0</v>
      </c>
      <c r="K129" s="74">
        <v>1.3028100736511825</v>
      </c>
      <c r="L129" s="74">
        <v>0</v>
      </c>
      <c r="M129" s="74">
        <v>1.0572284416212201</v>
      </c>
      <c r="N129" s="74">
        <v>0</v>
      </c>
      <c r="O129" s="74">
        <v>0.95058732655510469</v>
      </c>
      <c r="P129" s="74">
        <v>0</v>
      </c>
      <c r="Q129" s="74">
        <v>0.85973302183097677</v>
      </c>
      <c r="R129" s="74">
        <v>0</v>
      </c>
      <c r="S129" s="74">
        <v>0.41901983860208769</v>
      </c>
      <c r="T129" s="77"/>
      <c r="U129" s="77"/>
      <c r="AA129" s="77"/>
      <c r="AB129" s="77"/>
      <c r="AC129" s="77"/>
      <c r="AD129" s="77"/>
      <c r="AE129" s="77"/>
      <c r="AF129" s="77"/>
      <c r="AG129" s="77"/>
      <c r="AH129" s="77"/>
      <c r="AI129" s="77"/>
      <c r="AJ129" s="77"/>
      <c r="AK129" s="77"/>
      <c r="AL129" s="77"/>
      <c r="AM129" s="77"/>
      <c r="AN129" s="77"/>
      <c r="AO129" s="77"/>
      <c r="AP129" s="77"/>
      <c r="AQ129" s="77"/>
      <c r="AR129" s="77"/>
      <c r="AS129" s="77"/>
      <c r="AT129" s="77"/>
      <c r="AU129" s="77"/>
      <c r="AV129" s="77"/>
      <c r="AW129" s="77"/>
      <c r="AX129" s="77"/>
      <c r="AY129" s="77"/>
      <c r="AZ129" s="77"/>
      <c r="BA129" s="77"/>
      <c r="BB129" s="77"/>
      <c r="BC129" s="77"/>
      <c r="BD129" s="77"/>
      <c r="BE129" s="77"/>
      <c r="BF129" s="77"/>
      <c r="BG129" s="77"/>
      <c r="BH129" s="77"/>
      <c r="BI129" s="77"/>
      <c r="BJ129" s="77"/>
      <c r="BK129" s="77"/>
      <c r="BL129" s="77"/>
      <c r="BM129" s="77"/>
      <c r="BN129" s="77"/>
      <c r="BO129" s="77"/>
      <c r="BP129" s="77"/>
      <c r="BQ129" s="77"/>
      <c r="BR129" s="77"/>
      <c r="BS129" s="77"/>
      <c r="BT129" s="77"/>
    </row>
    <row r="130" spans="1:86" ht="27.95" customHeight="1" x14ac:dyDescent="0.3">
      <c r="A130" s="67"/>
      <c r="B130" s="9" t="s">
        <v>171</v>
      </c>
      <c r="C130" s="9" t="s">
        <v>172</v>
      </c>
      <c r="D130" s="9" t="s">
        <v>99</v>
      </c>
      <c r="E130" s="9" t="s">
        <v>92</v>
      </c>
      <c r="F130" s="74">
        <v>0</v>
      </c>
      <c r="G130" s="74">
        <v>0.31657373091985069</v>
      </c>
      <c r="H130" s="74">
        <v>0</v>
      </c>
      <c r="I130" s="74">
        <v>0.29054449852591929</v>
      </c>
      <c r="J130" s="74">
        <v>0</v>
      </c>
      <c r="K130" s="74">
        <v>0.24025409255171301</v>
      </c>
      <c r="L130" s="74">
        <v>0</v>
      </c>
      <c r="M130" s="74">
        <v>0.18975795955452635</v>
      </c>
      <c r="N130" s="74">
        <v>0</v>
      </c>
      <c r="O130" s="74">
        <v>0.16183710369965493</v>
      </c>
      <c r="P130" s="74">
        <v>0</v>
      </c>
      <c r="Q130" s="74">
        <v>0.14293420651549787</v>
      </c>
      <c r="R130" s="74">
        <v>0</v>
      </c>
      <c r="S130" s="74">
        <v>6.9185470136972196E-2</v>
      </c>
      <c r="T130" s="77"/>
      <c r="U130" s="77"/>
      <c r="AA130" s="77"/>
      <c r="AB130" s="77"/>
      <c r="AC130" s="77"/>
      <c r="AD130" s="77"/>
      <c r="AE130" s="77"/>
      <c r="AF130" s="77"/>
      <c r="AG130" s="77"/>
      <c r="AH130" s="77"/>
      <c r="AI130" s="77"/>
      <c r="AJ130" s="77"/>
      <c r="AK130" s="77"/>
      <c r="AL130" s="77"/>
      <c r="AM130" s="77"/>
      <c r="AN130" s="77"/>
      <c r="AO130" s="77"/>
      <c r="AP130" s="77"/>
      <c r="AQ130" s="77"/>
      <c r="AR130" s="77"/>
      <c r="AS130" s="77"/>
      <c r="AT130" s="77"/>
      <c r="AU130" s="77"/>
      <c r="AV130" s="77"/>
      <c r="AW130" s="77"/>
      <c r="AX130" s="77"/>
      <c r="AY130" s="77"/>
      <c r="AZ130" s="77"/>
      <c r="BA130" s="77"/>
      <c r="BB130" s="77"/>
      <c r="BC130" s="77"/>
      <c r="BD130" s="77"/>
      <c r="BE130" s="77"/>
      <c r="BF130" s="77"/>
      <c r="BG130" s="77"/>
      <c r="BH130" s="77"/>
      <c r="BI130" s="77"/>
      <c r="BJ130" s="77"/>
      <c r="BK130" s="77"/>
      <c r="BL130" s="77"/>
      <c r="BM130" s="77"/>
      <c r="BN130" s="77"/>
      <c r="BO130" s="77"/>
      <c r="BP130" s="77"/>
      <c r="BQ130" s="77"/>
      <c r="BR130" s="77"/>
      <c r="BS130" s="77"/>
      <c r="BT130" s="77"/>
    </row>
    <row r="131" spans="1:86" ht="27.75" customHeight="1" x14ac:dyDescent="0.3">
      <c r="A131" s="67"/>
      <c r="B131" s="9" t="s">
        <v>146</v>
      </c>
      <c r="C131" s="9" t="s">
        <v>147</v>
      </c>
      <c r="D131" s="9" t="s">
        <v>99</v>
      </c>
      <c r="E131" s="9" t="s">
        <v>92</v>
      </c>
      <c r="F131" s="74">
        <v>0</v>
      </c>
      <c r="G131" s="74">
        <v>0.10474835921747888</v>
      </c>
      <c r="H131" s="74">
        <v>0</v>
      </c>
      <c r="I131" s="74">
        <v>0.12271226950989655</v>
      </c>
      <c r="J131" s="74">
        <v>0</v>
      </c>
      <c r="K131" s="74">
        <v>0.10876022380259881</v>
      </c>
      <c r="L131" s="74">
        <v>0</v>
      </c>
      <c r="M131" s="74">
        <v>9.0886927411185536E-2</v>
      </c>
      <c r="N131" s="74">
        <v>0</v>
      </c>
      <c r="O131" s="74">
        <v>8.4290149167446635E-2</v>
      </c>
      <c r="P131" s="74">
        <v>0</v>
      </c>
      <c r="Q131" s="74">
        <v>8.0286373674656811E-2</v>
      </c>
      <c r="R131" s="74">
        <v>0</v>
      </c>
      <c r="S131" s="74">
        <v>3.877333029182857E-2</v>
      </c>
      <c r="T131" s="77"/>
      <c r="U131" s="77"/>
      <c r="AA131" s="77"/>
      <c r="AB131" s="77"/>
      <c r="AC131" s="77"/>
      <c r="AD131" s="77"/>
      <c r="AE131" s="77"/>
      <c r="AF131" s="77"/>
      <c r="AG131" s="77"/>
      <c r="AH131" s="77"/>
      <c r="AI131" s="77"/>
      <c r="AJ131" s="77"/>
      <c r="AK131" s="77"/>
      <c r="AL131" s="77"/>
      <c r="AM131" s="77"/>
      <c r="AN131" s="77"/>
      <c r="AO131" s="77"/>
      <c r="AP131" s="77"/>
      <c r="AQ131" s="77"/>
      <c r="AR131" s="77"/>
      <c r="AS131" s="77"/>
      <c r="AT131" s="77"/>
      <c r="AU131" s="77"/>
      <c r="AV131" s="77"/>
      <c r="AW131" s="77"/>
      <c r="AX131" s="77"/>
      <c r="AY131" s="77"/>
      <c r="AZ131" s="77"/>
      <c r="BA131" s="77"/>
      <c r="BB131" s="77"/>
      <c r="BC131" s="77"/>
      <c r="BD131" s="77"/>
      <c r="BE131" s="77"/>
      <c r="BF131" s="77"/>
      <c r="BG131" s="77"/>
      <c r="BH131" s="77"/>
      <c r="BI131" s="77"/>
      <c r="BJ131" s="77"/>
      <c r="BK131" s="77"/>
      <c r="BL131" s="77"/>
      <c r="BM131" s="77"/>
      <c r="BN131" s="77"/>
      <c r="BO131" s="77"/>
      <c r="BP131" s="77"/>
      <c r="BQ131" s="77"/>
      <c r="BR131" s="77"/>
      <c r="BS131" s="77"/>
      <c r="BT131" s="77"/>
    </row>
    <row r="132" spans="1:86" ht="27.95" customHeight="1" x14ac:dyDescent="0.3">
      <c r="A132" s="67"/>
      <c r="B132" s="185" t="s">
        <v>93</v>
      </c>
      <c r="C132" s="185"/>
      <c r="D132" s="185"/>
      <c r="E132" s="185"/>
      <c r="F132" s="198">
        <f t="shared" ref="F132:S132" si="53">+SUM(F133:F141)</f>
        <v>9994.8609937788096</v>
      </c>
      <c r="G132" s="198">
        <f t="shared" si="53"/>
        <v>24.058090673076929</v>
      </c>
      <c r="H132" s="198">
        <f t="shared" si="53"/>
        <v>2980.7320624910362</v>
      </c>
      <c r="I132" s="198">
        <f t="shared" si="53"/>
        <v>19.475597211538471</v>
      </c>
      <c r="J132" s="198">
        <f t="shared" si="53"/>
        <v>1104.138923978519</v>
      </c>
      <c r="K132" s="198">
        <f t="shared" si="53"/>
        <v>14.893103750000007</v>
      </c>
      <c r="L132" s="198">
        <f t="shared" si="53"/>
        <v>209.15442783482595</v>
      </c>
      <c r="M132" s="198">
        <f t="shared" si="53"/>
        <v>10.310610288461547</v>
      </c>
      <c r="N132" s="198">
        <f t="shared" si="53"/>
        <v>119.58083866482393</v>
      </c>
      <c r="O132" s="198">
        <f t="shared" si="53"/>
        <v>5.7281168269230855</v>
      </c>
      <c r="P132" s="198">
        <f t="shared" si="53"/>
        <v>79.448289440791484</v>
      </c>
      <c r="Q132" s="198">
        <f t="shared" si="53"/>
        <v>1.1456233653846195</v>
      </c>
      <c r="R132" s="198">
        <f t="shared" si="53"/>
        <v>22.29888589856348</v>
      </c>
      <c r="S132" s="198">
        <f t="shared" si="53"/>
        <v>0</v>
      </c>
      <c r="U132" s="112"/>
      <c r="AA132" s="112"/>
      <c r="AB132" s="112"/>
      <c r="AC132" s="112"/>
      <c r="AD132" s="112"/>
      <c r="AE132" s="112"/>
      <c r="AF132" s="112"/>
      <c r="AG132" s="112"/>
      <c r="AH132" s="112"/>
      <c r="AI132" s="112"/>
      <c r="AJ132" s="112"/>
      <c r="AK132" s="112"/>
      <c r="AL132" s="112"/>
      <c r="AM132" s="112"/>
      <c r="AN132" s="112"/>
      <c r="AO132" s="112"/>
      <c r="AP132" s="112"/>
      <c r="AQ132" s="112"/>
      <c r="AR132" s="112"/>
      <c r="AS132" s="112"/>
      <c r="AT132" s="112"/>
      <c r="AU132" s="112"/>
      <c r="AV132" s="112"/>
      <c r="AW132" s="112"/>
      <c r="AX132" s="112"/>
      <c r="AY132" s="112"/>
      <c r="AZ132" s="112"/>
      <c r="BA132" s="112"/>
      <c r="BB132" s="112"/>
      <c r="BC132" s="112"/>
      <c r="BD132" s="112"/>
      <c r="BE132" s="112"/>
      <c r="BF132" s="112"/>
      <c r="BG132" s="112"/>
      <c r="BH132" s="112"/>
      <c r="BI132" s="112"/>
      <c r="BJ132" s="112"/>
      <c r="BK132" s="112"/>
      <c r="BL132" s="112"/>
      <c r="BM132" s="112"/>
      <c r="BN132" s="112"/>
      <c r="BO132" s="112"/>
      <c r="BP132" s="112"/>
      <c r="BQ132" s="112"/>
      <c r="BR132" s="112"/>
      <c r="BS132" s="112"/>
      <c r="BT132" s="112"/>
    </row>
    <row r="133" spans="1:86" ht="27.95" customHeight="1" x14ac:dyDescent="0.3">
      <c r="A133" s="67"/>
      <c r="B133" s="9" t="s">
        <v>124</v>
      </c>
      <c r="C133" s="9" t="s">
        <v>123</v>
      </c>
      <c r="D133" s="9" t="str">
        <f>+VLOOKUP($C133,$C$10:$D$43,2,FALSE)</f>
        <v>USD</v>
      </c>
      <c r="E133" s="9" t="s">
        <v>93</v>
      </c>
      <c r="F133" s="74">
        <v>0</v>
      </c>
      <c r="G133" s="74">
        <v>24.058090673076929</v>
      </c>
      <c r="H133" s="74">
        <v>0</v>
      </c>
      <c r="I133" s="74">
        <v>19.475597211538471</v>
      </c>
      <c r="J133" s="74">
        <v>0</v>
      </c>
      <c r="K133" s="74">
        <v>14.893103750000007</v>
      </c>
      <c r="L133" s="74">
        <v>0</v>
      </c>
      <c r="M133" s="74">
        <v>10.310610288461547</v>
      </c>
      <c r="N133" s="74">
        <v>0</v>
      </c>
      <c r="O133" s="74">
        <v>5.7281168269230855</v>
      </c>
      <c r="P133" s="74">
        <v>0</v>
      </c>
      <c r="Q133" s="74">
        <v>1.1456233653846195</v>
      </c>
      <c r="R133" s="74">
        <v>0</v>
      </c>
      <c r="S133" s="74">
        <v>0</v>
      </c>
      <c r="U133" s="77"/>
      <c r="AA133" s="77"/>
      <c r="AB133" s="77"/>
      <c r="AC133" s="77"/>
      <c r="AD133" s="77"/>
      <c r="AE133" s="77"/>
      <c r="AF133" s="77"/>
      <c r="AG133" s="77"/>
      <c r="AH133" s="77"/>
      <c r="AI133" s="77"/>
      <c r="AJ133" s="77"/>
      <c r="AK133" s="77"/>
      <c r="AL133" s="77"/>
      <c r="AM133" s="77"/>
      <c r="AN133" s="77"/>
      <c r="AO133" s="77"/>
      <c r="AP133" s="77"/>
      <c r="AQ133" s="77"/>
      <c r="AR133" s="77"/>
      <c r="AS133" s="77"/>
      <c r="AT133" s="77"/>
      <c r="AU133" s="77"/>
      <c r="AV133" s="77"/>
      <c r="AW133" s="77"/>
      <c r="AX133" s="77"/>
      <c r="AY133" s="77"/>
      <c r="AZ133" s="77"/>
      <c r="BA133" s="77"/>
      <c r="BB133" s="77"/>
      <c r="BC133" s="77"/>
      <c r="BD133" s="77"/>
      <c r="BE133" s="77"/>
      <c r="BF133" s="77"/>
      <c r="BG133" s="77"/>
      <c r="BH133" s="77"/>
      <c r="BI133" s="77"/>
      <c r="BJ133" s="77"/>
      <c r="BK133" s="77"/>
      <c r="BL133" s="77"/>
      <c r="BM133" s="77"/>
      <c r="BN133" s="77"/>
      <c r="BO133" s="77"/>
      <c r="BP133" s="77"/>
      <c r="BQ133" s="77"/>
      <c r="BR133" s="77"/>
      <c r="BS133" s="77"/>
      <c r="BT133" s="77"/>
    </row>
    <row r="134" spans="1:86" ht="27.95" customHeight="1" x14ac:dyDescent="0.3">
      <c r="A134" s="67"/>
      <c r="B134" s="9" t="s">
        <v>236</v>
      </c>
      <c r="C134" s="9" t="s">
        <v>238</v>
      </c>
      <c r="D134" s="9" t="s">
        <v>240</v>
      </c>
      <c r="E134" s="9" t="s">
        <v>93</v>
      </c>
      <c r="F134" s="74">
        <v>0</v>
      </c>
      <c r="G134" s="74">
        <v>0</v>
      </c>
      <c r="H134" s="74">
        <v>0</v>
      </c>
      <c r="I134" s="74">
        <v>0</v>
      </c>
      <c r="J134" s="74">
        <v>0</v>
      </c>
      <c r="K134" s="74">
        <v>0</v>
      </c>
      <c r="L134" s="74">
        <v>0</v>
      </c>
      <c r="M134" s="74">
        <v>0</v>
      </c>
      <c r="N134" s="74">
        <v>0</v>
      </c>
      <c r="O134" s="74">
        <v>0</v>
      </c>
      <c r="P134" s="74">
        <v>0</v>
      </c>
      <c r="Q134" s="74">
        <v>0</v>
      </c>
      <c r="R134" s="74">
        <v>0</v>
      </c>
      <c r="S134" s="74">
        <v>0</v>
      </c>
      <c r="U134" s="77"/>
      <c r="AA134" s="77"/>
      <c r="AB134" s="77"/>
      <c r="AC134" s="77"/>
      <c r="AD134" s="77"/>
      <c r="AE134" s="77"/>
      <c r="AF134" s="77"/>
      <c r="AG134" s="77"/>
      <c r="AH134" s="77"/>
      <c r="AI134" s="77"/>
      <c r="AJ134" s="77"/>
      <c r="AK134" s="77"/>
      <c r="AL134" s="77"/>
      <c r="AM134" s="77"/>
      <c r="AN134" s="77"/>
      <c r="AO134" s="77"/>
      <c r="AP134" s="77"/>
      <c r="AQ134" s="77"/>
      <c r="AR134" s="77"/>
      <c r="AS134" s="77"/>
      <c r="AT134" s="77"/>
      <c r="AU134" s="77"/>
      <c r="AV134" s="77"/>
      <c r="AW134" s="77"/>
      <c r="AX134" s="77"/>
      <c r="AY134" s="77"/>
      <c r="AZ134" s="77"/>
      <c r="BA134" s="77"/>
      <c r="BB134" s="77"/>
      <c r="BC134" s="77"/>
      <c r="BD134" s="77"/>
      <c r="BE134" s="77"/>
      <c r="BF134" s="77"/>
      <c r="BG134" s="77"/>
      <c r="BH134" s="77"/>
      <c r="BI134" s="77"/>
      <c r="BJ134" s="77"/>
      <c r="BK134" s="77"/>
      <c r="BL134" s="77"/>
      <c r="BM134" s="77"/>
      <c r="BN134" s="77"/>
      <c r="BO134" s="77"/>
      <c r="BP134" s="77"/>
      <c r="BQ134" s="77"/>
      <c r="BR134" s="77"/>
      <c r="BS134" s="77"/>
      <c r="BT134" s="77"/>
    </row>
    <row r="135" spans="1:86" ht="27.95" customHeight="1" x14ac:dyDescent="0.3">
      <c r="A135" s="67"/>
      <c r="B135" s="9" t="s">
        <v>237</v>
      </c>
      <c r="C135" s="9" t="s">
        <v>239</v>
      </c>
      <c r="D135" s="9" t="s">
        <v>240</v>
      </c>
      <c r="E135" s="9" t="s">
        <v>93</v>
      </c>
      <c r="F135" s="74">
        <v>0</v>
      </c>
      <c r="G135" s="74">
        <v>0</v>
      </c>
      <c r="H135" s="74">
        <v>0</v>
      </c>
      <c r="I135" s="74">
        <v>0</v>
      </c>
      <c r="J135" s="74">
        <v>0</v>
      </c>
      <c r="K135" s="74">
        <v>0</v>
      </c>
      <c r="L135" s="74">
        <v>0</v>
      </c>
      <c r="M135" s="74">
        <v>0</v>
      </c>
      <c r="N135" s="74">
        <v>0</v>
      </c>
      <c r="O135" s="74">
        <v>0</v>
      </c>
      <c r="P135" s="74">
        <v>0</v>
      </c>
      <c r="Q135" s="74">
        <v>0</v>
      </c>
      <c r="R135" s="74">
        <v>0</v>
      </c>
      <c r="S135" s="74">
        <v>0</v>
      </c>
      <c r="U135" s="77"/>
      <c r="AA135" s="77"/>
      <c r="AB135" s="77"/>
      <c r="AC135" s="77"/>
      <c r="AD135" s="77"/>
      <c r="AE135" s="77"/>
      <c r="AF135" s="77"/>
      <c r="AG135" s="77"/>
      <c r="AH135" s="77"/>
      <c r="AI135" s="77"/>
      <c r="AJ135" s="77"/>
      <c r="AK135" s="77"/>
      <c r="AL135" s="77"/>
      <c r="AM135" s="77"/>
      <c r="AN135" s="77"/>
      <c r="AO135" s="77"/>
      <c r="AP135" s="77"/>
      <c r="AQ135" s="77"/>
      <c r="AR135" s="77"/>
      <c r="AS135" s="77"/>
      <c r="AT135" s="77"/>
      <c r="AU135" s="77"/>
      <c r="AV135" s="77"/>
      <c r="AW135" s="77"/>
      <c r="AX135" s="77"/>
      <c r="AY135" s="77"/>
      <c r="AZ135" s="77"/>
      <c r="BA135" s="77"/>
      <c r="BB135" s="77"/>
      <c r="BC135" s="77"/>
      <c r="BD135" s="77"/>
      <c r="BE135" s="77"/>
      <c r="BF135" s="77"/>
      <c r="BG135" s="77"/>
      <c r="BH135" s="77"/>
      <c r="BI135" s="77"/>
      <c r="BJ135" s="77"/>
      <c r="BK135" s="77"/>
      <c r="BL135" s="77"/>
      <c r="BM135" s="77"/>
      <c r="BN135" s="77"/>
      <c r="BO135" s="77"/>
      <c r="BP135" s="77"/>
      <c r="BQ135" s="77"/>
      <c r="BR135" s="77"/>
      <c r="BS135" s="77"/>
      <c r="BT135" s="77"/>
    </row>
    <row r="136" spans="1:86" ht="27.95" customHeight="1" x14ac:dyDescent="0.3">
      <c r="A136" s="67"/>
      <c r="B136" s="9" t="s">
        <v>134</v>
      </c>
      <c r="C136" s="9" t="s">
        <v>135</v>
      </c>
      <c r="D136" s="9" t="str">
        <f>+VLOOKUP($C136,$C$10:$D$43,2,FALSE)</f>
        <v>Pesos</v>
      </c>
      <c r="E136" s="9" t="s">
        <v>93</v>
      </c>
      <c r="F136" s="74">
        <v>287.77891183892848</v>
      </c>
      <c r="G136" s="74">
        <v>0</v>
      </c>
      <c r="H136" s="74">
        <v>0</v>
      </c>
      <c r="I136" s="74">
        <v>0</v>
      </c>
      <c r="J136" s="74">
        <v>0</v>
      </c>
      <c r="K136" s="74">
        <v>0</v>
      </c>
      <c r="L136" s="74">
        <v>0</v>
      </c>
      <c r="M136" s="74">
        <v>0</v>
      </c>
      <c r="N136" s="74">
        <v>0</v>
      </c>
      <c r="O136" s="74">
        <v>0</v>
      </c>
      <c r="P136" s="74">
        <v>0</v>
      </c>
      <c r="Q136" s="74">
        <v>0</v>
      </c>
      <c r="R136" s="74">
        <v>0</v>
      </c>
      <c r="S136" s="74">
        <v>0</v>
      </c>
      <c r="U136" s="77"/>
      <c r="AA136" s="77"/>
      <c r="AB136" s="77"/>
      <c r="AC136" s="77"/>
      <c r="AD136" s="77"/>
      <c r="AE136" s="77"/>
      <c r="AF136" s="77"/>
      <c r="AG136" s="77"/>
      <c r="AH136" s="77"/>
      <c r="AI136" s="77"/>
      <c r="AJ136" s="77"/>
      <c r="AK136" s="77"/>
      <c r="AL136" s="77"/>
      <c r="AM136" s="77"/>
      <c r="AN136" s="77"/>
      <c r="AO136" s="77"/>
      <c r="AP136" s="77"/>
      <c r="AQ136" s="77"/>
      <c r="AR136" s="77"/>
      <c r="AS136" s="77"/>
      <c r="AT136" s="77"/>
      <c r="AU136" s="77"/>
      <c r="AV136" s="77"/>
      <c r="AW136" s="77"/>
      <c r="AX136" s="77"/>
      <c r="AY136" s="77"/>
      <c r="AZ136" s="77"/>
      <c r="BA136" s="77"/>
      <c r="BB136" s="77"/>
      <c r="BC136" s="77"/>
      <c r="BD136" s="77"/>
      <c r="BE136" s="77"/>
      <c r="BF136" s="77"/>
      <c r="BG136" s="77"/>
      <c r="BH136" s="77"/>
      <c r="BI136" s="77"/>
      <c r="BJ136" s="77"/>
      <c r="BK136" s="77"/>
      <c r="BL136" s="77"/>
      <c r="BM136" s="77"/>
      <c r="BN136" s="77"/>
      <c r="BO136" s="77"/>
      <c r="BP136" s="77"/>
      <c r="BQ136" s="77"/>
      <c r="BR136" s="77"/>
      <c r="BS136" s="77"/>
      <c r="BT136" s="77"/>
    </row>
    <row r="137" spans="1:86" ht="27.95" customHeight="1" x14ac:dyDescent="0.3">
      <c r="A137" s="67"/>
      <c r="B137" s="9" t="s">
        <v>136</v>
      </c>
      <c r="C137" s="9" t="s">
        <v>137</v>
      </c>
      <c r="D137" s="9" t="s">
        <v>2</v>
      </c>
      <c r="E137" s="9" t="s">
        <v>93</v>
      </c>
      <c r="F137" s="74">
        <v>3849.0998724783999</v>
      </c>
      <c r="G137" s="74">
        <v>0</v>
      </c>
      <c r="H137" s="74">
        <v>2417.7148597486935</v>
      </c>
      <c r="I137" s="74">
        <v>0</v>
      </c>
      <c r="J137" s="74">
        <v>1104.138923978519</v>
      </c>
      <c r="K137" s="74">
        <v>0</v>
      </c>
      <c r="L137" s="74">
        <v>209.15442783482595</v>
      </c>
      <c r="M137" s="74">
        <v>0</v>
      </c>
      <c r="N137" s="74">
        <v>119.58083866482393</v>
      </c>
      <c r="O137" s="74">
        <v>0</v>
      </c>
      <c r="P137" s="74">
        <v>79.448289440791484</v>
      </c>
      <c r="Q137" s="74">
        <v>0</v>
      </c>
      <c r="R137" s="74">
        <v>22.29888589856348</v>
      </c>
      <c r="S137" s="74">
        <v>0</v>
      </c>
      <c r="U137" s="77"/>
      <c r="AA137" s="77"/>
      <c r="AB137" s="77"/>
      <c r="AC137" s="77"/>
      <c r="AD137" s="77"/>
      <c r="AE137" s="77"/>
      <c r="AF137" s="77"/>
      <c r="AG137" s="77"/>
      <c r="AH137" s="77"/>
      <c r="AI137" s="77"/>
      <c r="AJ137" s="77"/>
      <c r="AK137" s="77"/>
      <c r="AL137" s="77"/>
      <c r="AM137" s="77"/>
      <c r="AN137" s="77"/>
      <c r="AO137" s="77"/>
      <c r="AP137" s="77"/>
      <c r="AQ137" s="77"/>
      <c r="AR137" s="77"/>
      <c r="AS137" s="77"/>
      <c r="AT137" s="77"/>
      <c r="AU137" s="77"/>
      <c r="AV137" s="77"/>
      <c r="AW137" s="77"/>
      <c r="AX137" s="77"/>
      <c r="AY137" s="77"/>
      <c r="AZ137" s="77"/>
      <c r="BA137" s="77"/>
      <c r="BB137" s="77"/>
      <c r="BC137" s="77"/>
      <c r="BD137" s="77"/>
      <c r="BE137" s="77"/>
      <c r="BF137" s="77"/>
      <c r="BG137" s="77"/>
      <c r="BH137" s="77"/>
      <c r="BI137" s="77"/>
      <c r="BJ137" s="77"/>
      <c r="BK137" s="77"/>
      <c r="BL137" s="77"/>
      <c r="BM137" s="77"/>
      <c r="BN137" s="77"/>
      <c r="BO137" s="77"/>
      <c r="BP137" s="77"/>
      <c r="BQ137" s="77"/>
      <c r="BR137" s="77"/>
      <c r="BS137" s="77"/>
      <c r="BT137" s="77"/>
    </row>
    <row r="138" spans="1:86" ht="27.95" customHeight="1" x14ac:dyDescent="0.3">
      <c r="A138" s="67"/>
      <c r="B138" s="9" t="s">
        <v>165</v>
      </c>
      <c r="C138" s="9" t="s">
        <v>167</v>
      </c>
      <c r="D138" s="9" t="s">
        <v>2</v>
      </c>
      <c r="E138" s="9" t="s">
        <v>93</v>
      </c>
      <c r="F138" s="74">
        <v>4007.3964323</v>
      </c>
      <c r="G138" s="74">
        <v>0</v>
      </c>
      <c r="H138" s="74">
        <v>466.92443917000003</v>
      </c>
      <c r="I138" s="74">
        <v>0</v>
      </c>
      <c r="J138" s="74">
        <v>0</v>
      </c>
      <c r="K138" s="74">
        <v>0</v>
      </c>
      <c r="L138" s="74">
        <v>0</v>
      </c>
      <c r="M138" s="74">
        <v>0</v>
      </c>
      <c r="N138" s="74">
        <v>0</v>
      </c>
      <c r="O138" s="74">
        <v>0</v>
      </c>
      <c r="P138" s="74">
        <v>0</v>
      </c>
      <c r="Q138" s="74">
        <v>0</v>
      </c>
      <c r="R138" s="74">
        <v>0</v>
      </c>
      <c r="S138" s="74">
        <v>0</v>
      </c>
      <c r="U138" s="77"/>
      <c r="AA138" s="77"/>
      <c r="AB138" s="77"/>
      <c r="AC138" s="77"/>
      <c r="AD138" s="77"/>
      <c r="AE138" s="77"/>
      <c r="AF138" s="77"/>
      <c r="AG138" s="77"/>
      <c r="AH138" s="77"/>
      <c r="AI138" s="77"/>
      <c r="AJ138" s="77"/>
      <c r="AK138" s="77"/>
      <c r="AL138" s="77"/>
      <c r="AM138" s="77"/>
      <c r="AN138" s="77"/>
      <c r="AO138" s="77"/>
      <c r="AP138" s="77"/>
      <c r="AQ138" s="77"/>
      <c r="AR138" s="77"/>
      <c r="AS138" s="77"/>
      <c r="AT138" s="77"/>
      <c r="AU138" s="77"/>
      <c r="AV138" s="77"/>
      <c r="AW138" s="77"/>
      <c r="AX138" s="77"/>
      <c r="AY138" s="77"/>
      <c r="AZ138" s="77"/>
      <c r="BA138" s="77"/>
      <c r="BB138" s="77"/>
      <c r="BC138" s="77"/>
      <c r="BD138" s="77"/>
      <c r="BE138" s="77"/>
      <c r="BF138" s="77"/>
      <c r="BG138" s="77"/>
      <c r="BH138" s="77"/>
      <c r="BI138" s="77"/>
      <c r="BJ138" s="77"/>
      <c r="BK138" s="77"/>
      <c r="BL138" s="77"/>
      <c r="BM138" s="77"/>
      <c r="BN138" s="77"/>
      <c r="BO138" s="77"/>
      <c r="BP138" s="77"/>
      <c r="BQ138" s="77"/>
      <c r="BR138" s="77"/>
      <c r="BS138" s="77"/>
      <c r="BT138" s="77"/>
    </row>
    <row r="139" spans="1:86" ht="27.95" customHeight="1" x14ac:dyDescent="0.3">
      <c r="A139" s="67"/>
      <c r="B139" s="9" t="s">
        <v>166</v>
      </c>
      <c r="C139" s="9" t="s">
        <v>168</v>
      </c>
      <c r="D139" s="9" t="s">
        <v>2</v>
      </c>
      <c r="E139" s="9" t="s">
        <v>93</v>
      </c>
      <c r="F139" s="74">
        <v>1005.1878349866525</v>
      </c>
      <c r="G139" s="74">
        <v>0</v>
      </c>
      <c r="H139" s="74">
        <v>0</v>
      </c>
      <c r="I139" s="74">
        <v>0</v>
      </c>
      <c r="J139" s="74">
        <v>0</v>
      </c>
      <c r="K139" s="74">
        <v>0</v>
      </c>
      <c r="L139" s="74">
        <v>0</v>
      </c>
      <c r="M139" s="74">
        <v>0</v>
      </c>
      <c r="N139" s="74">
        <v>0</v>
      </c>
      <c r="O139" s="74">
        <v>0</v>
      </c>
      <c r="P139" s="74">
        <v>0</v>
      </c>
      <c r="Q139" s="74">
        <v>0</v>
      </c>
      <c r="R139" s="74">
        <v>0</v>
      </c>
      <c r="S139" s="74">
        <v>0</v>
      </c>
      <c r="U139" s="77"/>
      <c r="AA139" s="77"/>
      <c r="AB139" s="77"/>
      <c r="AC139" s="77"/>
      <c r="AD139" s="77"/>
      <c r="AE139" s="77"/>
      <c r="AF139" s="77"/>
      <c r="AG139" s="77"/>
      <c r="AH139" s="77"/>
      <c r="AI139" s="77"/>
      <c r="AJ139" s="77"/>
      <c r="AK139" s="77"/>
      <c r="AL139" s="77"/>
      <c r="AM139" s="77"/>
      <c r="AN139" s="77"/>
      <c r="AO139" s="77"/>
      <c r="AP139" s="77"/>
      <c r="AQ139" s="77"/>
      <c r="AR139" s="77"/>
      <c r="AS139" s="77"/>
      <c r="AT139" s="77"/>
      <c r="AU139" s="77"/>
      <c r="AV139" s="77"/>
      <c r="AW139" s="77"/>
      <c r="AX139" s="77"/>
      <c r="AY139" s="77"/>
      <c r="AZ139" s="77"/>
      <c r="BA139" s="77"/>
      <c r="BB139" s="77"/>
      <c r="BC139" s="77"/>
      <c r="BD139" s="77"/>
      <c r="BE139" s="77"/>
      <c r="BF139" s="77"/>
      <c r="BG139" s="77"/>
      <c r="BH139" s="77"/>
      <c r="BI139" s="77"/>
      <c r="BJ139" s="77"/>
      <c r="BK139" s="77"/>
      <c r="BL139" s="77"/>
      <c r="BM139" s="77"/>
      <c r="BN139" s="77"/>
      <c r="BO139" s="77"/>
      <c r="BP139" s="77"/>
      <c r="BQ139" s="77"/>
      <c r="BR139" s="77"/>
      <c r="BS139" s="77"/>
      <c r="BT139" s="77"/>
    </row>
    <row r="140" spans="1:86" ht="27.95" customHeight="1" x14ac:dyDescent="0.3">
      <c r="A140" s="67"/>
      <c r="B140" s="9" t="s">
        <v>128</v>
      </c>
      <c r="C140" s="9" t="s">
        <v>129</v>
      </c>
      <c r="D140" s="9" t="s">
        <v>2</v>
      </c>
      <c r="E140" s="9" t="s">
        <v>93</v>
      </c>
      <c r="F140" s="74">
        <v>832.60118415325041</v>
      </c>
      <c r="G140" s="74">
        <v>0</v>
      </c>
      <c r="H140" s="74">
        <v>92.786050610114316</v>
      </c>
      <c r="I140" s="74">
        <v>0</v>
      </c>
      <c r="J140" s="74">
        <v>0</v>
      </c>
      <c r="K140" s="74">
        <v>0</v>
      </c>
      <c r="L140" s="74">
        <v>0</v>
      </c>
      <c r="M140" s="74">
        <v>0</v>
      </c>
      <c r="N140" s="74">
        <v>0</v>
      </c>
      <c r="O140" s="74">
        <v>0</v>
      </c>
      <c r="P140" s="74">
        <v>0</v>
      </c>
      <c r="Q140" s="74">
        <v>0</v>
      </c>
      <c r="R140" s="74">
        <v>0</v>
      </c>
      <c r="S140" s="74">
        <v>0</v>
      </c>
      <c r="U140" s="77"/>
      <c r="AA140" s="77"/>
      <c r="AB140" s="77"/>
      <c r="AC140" s="77"/>
      <c r="AD140" s="77"/>
      <c r="AE140" s="77"/>
      <c r="AF140" s="77"/>
      <c r="AG140" s="77"/>
      <c r="AH140" s="77"/>
      <c r="AI140" s="77"/>
      <c r="AJ140" s="77"/>
      <c r="AK140" s="77"/>
      <c r="AL140" s="77"/>
      <c r="AM140" s="77"/>
      <c r="AN140" s="77"/>
      <c r="AO140" s="77"/>
      <c r="AP140" s="77"/>
      <c r="AQ140" s="77"/>
      <c r="AR140" s="77"/>
      <c r="AS140" s="77"/>
      <c r="AT140" s="77"/>
      <c r="AU140" s="77"/>
      <c r="AV140" s="77"/>
      <c r="AW140" s="77"/>
      <c r="AX140" s="77"/>
      <c r="AY140" s="77"/>
      <c r="AZ140" s="77"/>
      <c r="BA140" s="77"/>
      <c r="BB140" s="77"/>
      <c r="BC140" s="77"/>
      <c r="BD140" s="77"/>
      <c r="BE140" s="77"/>
      <c r="BF140" s="77"/>
      <c r="BG140" s="77"/>
      <c r="BH140" s="77"/>
      <c r="BI140" s="77"/>
      <c r="BJ140" s="77"/>
      <c r="BK140" s="77"/>
      <c r="BL140" s="77"/>
      <c r="BM140" s="77"/>
      <c r="BN140" s="77"/>
      <c r="BO140" s="77"/>
      <c r="BP140" s="77"/>
      <c r="BQ140" s="77"/>
      <c r="BR140" s="77"/>
      <c r="BS140" s="77"/>
      <c r="BT140" s="77"/>
    </row>
    <row r="141" spans="1:86" ht="27.95" customHeight="1" x14ac:dyDescent="0.3">
      <c r="A141" s="67"/>
      <c r="B141" s="9" t="s">
        <v>34</v>
      </c>
      <c r="C141" s="9" t="s">
        <v>35</v>
      </c>
      <c r="D141" s="9" t="s">
        <v>2</v>
      </c>
      <c r="E141" s="9" t="s">
        <v>93</v>
      </c>
      <c r="F141" s="74">
        <v>12.796758021577118</v>
      </c>
      <c r="G141" s="74">
        <v>0</v>
      </c>
      <c r="H141" s="74">
        <v>3.3067129622285969</v>
      </c>
      <c r="I141" s="74">
        <v>0</v>
      </c>
      <c r="J141" s="74">
        <v>0</v>
      </c>
      <c r="K141" s="74">
        <v>0</v>
      </c>
      <c r="L141" s="74">
        <v>0</v>
      </c>
      <c r="M141" s="74">
        <v>0</v>
      </c>
      <c r="N141" s="74">
        <v>0</v>
      </c>
      <c r="O141" s="74">
        <v>0</v>
      </c>
      <c r="P141" s="74">
        <v>0</v>
      </c>
      <c r="Q141" s="74">
        <v>0</v>
      </c>
      <c r="R141" s="74">
        <v>0</v>
      </c>
      <c r="S141" s="74">
        <v>0</v>
      </c>
      <c r="U141" s="77"/>
      <c r="AA141" s="77"/>
      <c r="AB141" s="77"/>
      <c r="AC141" s="77"/>
      <c r="AD141" s="77"/>
      <c r="AE141" s="77"/>
      <c r="AF141" s="77"/>
      <c r="AG141" s="77"/>
      <c r="AH141" s="77"/>
      <c r="AI141" s="77"/>
      <c r="AJ141" s="77"/>
      <c r="AK141" s="77"/>
      <c r="AL141" s="77"/>
      <c r="AM141" s="77"/>
      <c r="AN141" s="77"/>
      <c r="AO141" s="77"/>
      <c r="AP141" s="77"/>
      <c r="AQ141" s="77"/>
      <c r="AR141" s="77"/>
      <c r="AS141" s="77"/>
      <c r="AT141" s="77"/>
      <c r="AU141" s="77"/>
      <c r="AV141" s="77"/>
      <c r="AW141" s="77"/>
      <c r="AX141" s="77"/>
      <c r="AY141" s="77"/>
      <c r="AZ141" s="77"/>
      <c r="BA141" s="77"/>
      <c r="BB141" s="77"/>
      <c r="BC141" s="77"/>
      <c r="BD141" s="77"/>
      <c r="BE141" s="77"/>
      <c r="BF141" s="77"/>
      <c r="BG141" s="77"/>
      <c r="BH141" s="77"/>
      <c r="BI141" s="77"/>
      <c r="BJ141" s="77"/>
      <c r="BK141" s="77"/>
      <c r="BL141" s="77"/>
      <c r="BM141" s="77"/>
      <c r="BN141" s="77"/>
      <c r="BO141" s="77"/>
      <c r="BP141" s="77"/>
      <c r="BQ141" s="77"/>
      <c r="BR141" s="77"/>
      <c r="BS141" s="77"/>
      <c r="BT141" s="77"/>
    </row>
    <row r="142" spans="1:86" ht="6.75" customHeight="1" x14ac:dyDescent="0.3">
      <c r="B142" s="16"/>
      <c r="C142" s="13"/>
      <c r="D142" s="13"/>
      <c r="F142" s="77"/>
      <c r="G142" s="77"/>
      <c r="H142" s="77"/>
      <c r="I142" s="77"/>
      <c r="J142" s="77"/>
      <c r="K142" s="77"/>
      <c r="L142" s="77"/>
      <c r="M142" s="77"/>
      <c r="N142" s="77"/>
      <c r="O142" s="77"/>
      <c r="P142" s="77"/>
      <c r="Q142" s="77"/>
      <c r="R142" s="76"/>
      <c r="S142" s="76"/>
      <c r="U142" s="77"/>
      <c r="AA142" s="76"/>
      <c r="AB142" s="77"/>
      <c r="AC142" s="77"/>
      <c r="AD142" s="77"/>
      <c r="AE142" s="77"/>
      <c r="AF142" s="77"/>
      <c r="AG142" s="77"/>
      <c r="AH142" s="77"/>
      <c r="AI142" s="77"/>
      <c r="AJ142" s="77"/>
      <c r="AK142" s="77"/>
      <c r="AL142" s="77"/>
      <c r="AM142" s="77"/>
      <c r="AN142" s="77"/>
      <c r="AO142" s="77"/>
      <c r="AP142" s="77"/>
      <c r="AQ142" s="77"/>
      <c r="AR142" s="77"/>
      <c r="AS142" s="77"/>
      <c r="AT142" s="77"/>
      <c r="AU142" s="77"/>
      <c r="AV142" s="77"/>
      <c r="AW142" s="77"/>
      <c r="AX142" s="77"/>
      <c r="AY142" s="77"/>
      <c r="AZ142" s="77"/>
      <c r="BA142" s="77"/>
      <c r="BB142" s="77"/>
      <c r="BC142" s="77"/>
      <c r="BD142" s="77"/>
      <c r="BE142" s="77"/>
      <c r="BF142" s="77"/>
      <c r="BG142" s="77"/>
      <c r="BH142" s="77"/>
      <c r="BI142" s="77"/>
      <c r="BJ142" s="77"/>
      <c r="BK142" s="77"/>
      <c r="BL142" s="77"/>
      <c r="BM142" s="77"/>
      <c r="BN142" s="77"/>
      <c r="BO142" s="77"/>
      <c r="BP142" s="77"/>
      <c r="BQ142" s="77"/>
      <c r="BR142" s="77"/>
      <c r="BS142" s="77"/>
      <c r="BT142" s="77"/>
    </row>
    <row r="143" spans="1:86" ht="29.25" customHeight="1" x14ac:dyDescent="0.3">
      <c r="B143" s="222" t="s">
        <v>36</v>
      </c>
      <c r="C143" s="223"/>
      <c r="D143" s="223"/>
      <c r="E143" s="224"/>
      <c r="F143" s="198">
        <f t="shared" ref="F143:S143" si="54">+F132+F115+F107+F113</f>
        <v>21328.887348872748</v>
      </c>
      <c r="G143" s="198">
        <f t="shared" si="54"/>
        <v>36.13534095748323</v>
      </c>
      <c r="H143" s="198">
        <f t="shared" si="54"/>
        <v>7778.093616539466</v>
      </c>
      <c r="I143" s="198">
        <f t="shared" si="54"/>
        <v>30.119799567478104</v>
      </c>
      <c r="J143" s="198">
        <f t="shared" si="54"/>
        <v>2582.2316301304809</v>
      </c>
      <c r="K143" s="198">
        <f t="shared" si="54"/>
        <v>23.401354583469264</v>
      </c>
      <c r="L143" s="198">
        <f t="shared" si="54"/>
        <v>310.24340887853691</v>
      </c>
      <c r="M143" s="198">
        <f t="shared" si="54"/>
        <v>16.950476311159669</v>
      </c>
      <c r="N143" s="198">
        <f t="shared" si="54"/>
        <v>161.31114651823714</v>
      </c>
      <c r="O143" s="198">
        <f t="shared" si="54"/>
        <v>10.792943178414045</v>
      </c>
      <c r="P143" s="198">
        <f t="shared" si="54"/>
        <v>121.0645800596325</v>
      </c>
      <c r="Q143" s="198">
        <f t="shared" si="54"/>
        <v>5.4095724259884843</v>
      </c>
      <c r="R143" s="198">
        <f t="shared" si="54"/>
        <v>62.233422307465034</v>
      </c>
      <c r="S143" s="198">
        <f t="shared" si="54"/>
        <v>2.0478204259416994</v>
      </c>
      <c r="U143" s="112"/>
      <c r="AA143" s="112"/>
      <c r="AB143" s="112"/>
      <c r="AC143" s="112"/>
      <c r="AD143" s="112"/>
      <c r="AE143" s="112"/>
      <c r="AF143" s="112"/>
      <c r="AG143" s="112"/>
      <c r="AH143" s="112"/>
      <c r="AI143" s="112"/>
      <c r="AJ143" s="112"/>
      <c r="AK143" s="112"/>
      <c r="AL143" s="112"/>
      <c r="AM143" s="112"/>
      <c r="AN143" s="112"/>
      <c r="AO143" s="112"/>
      <c r="AP143" s="112"/>
      <c r="AQ143" s="112"/>
      <c r="AR143" s="112"/>
      <c r="AS143" s="112"/>
      <c r="AT143" s="112"/>
      <c r="AU143" s="112"/>
      <c r="AV143" s="112"/>
      <c r="AW143" s="112"/>
      <c r="AX143" s="112"/>
      <c r="AY143" s="112"/>
      <c r="AZ143" s="112"/>
      <c r="BA143" s="112"/>
      <c r="BB143" s="112"/>
      <c r="BC143" s="112"/>
      <c r="BD143" s="112"/>
      <c r="BE143" s="112"/>
      <c r="BF143" s="112"/>
      <c r="BG143" s="112"/>
      <c r="BH143" s="112"/>
      <c r="BI143" s="112"/>
      <c r="BJ143" s="112"/>
      <c r="BK143" s="112"/>
      <c r="BL143" s="112"/>
      <c r="BM143" s="112"/>
      <c r="BN143" s="112"/>
      <c r="BO143" s="112"/>
      <c r="BP143" s="112"/>
      <c r="BQ143" s="112"/>
      <c r="BR143" s="112"/>
      <c r="BS143" s="112"/>
      <c r="BT143" s="112"/>
    </row>
    <row r="144" spans="1:86" x14ac:dyDescent="0.3">
      <c r="B144" s="37"/>
      <c r="C144" s="37"/>
      <c r="D144" s="37"/>
      <c r="E144" s="92"/>
      <c r="F144" s="146"/>
      <c r="G144" s="94"/>
      <c r="H144" s="94"/>
      <c r="I144" s="94"/>
      <c r="J144" s="94"/>
      <c r="K144" s="94"/>
      <c r="L144" s="94"/>
      <c r="M144" s="94"/>
      <c r="N144" s="94"/>
      <c r="O144" s="94"/>
      <c r="P144" s="94"/>
      <c r="Q144" s="94"/>
      <c r="R144" s="94"/>
      <c r="S144" s="94"/>
      <c r="T144" s="94"/>
      <c r="U144" s="94"/>
      <c r="V144" s="106"/>
      <c r="W144" s="106"/>
      <c r="X144" s="106"/>
      <c r="Y144" s="106"/>
      <c r="Z144" s="106"/>
      <c r="AA144" s="106"/>
      <c r="AB144" s="106"/>
      <c r="AC144" s="106"/>
      <c r="AD144" s="106"/>
      <c r="AE144" s="106"/>
      <c r="AF144" s="106"/>
      <c r="AG144" s="106"/>
      <c r="AH144" s="106"/>
      <c r="AI144" s="106"/>
      <c r="AJ144" s="106"/>
      <c r="AK144" s="106"/>
      <c r="AL144" s="106"/>
      <c r="AM144" s="106"/>
      <c r="AN144" s="106"/>
      <c r="AO144" s="106"/>
      <c r="AP144" s="106"/>
      <c r="AQ144" s="106"/>
      <c r="AR144" s="106"/>
      <c r="AS144" s="106"/>
      <c r="AT144" s="106"/>
      <c r="AU144" s="106"/>
      <c r="AV144" s="106"/>
      <c r="AW144" s="106"/>
      <c r="AX144" s="106"/>
      <c r="AY144" s="106"/>
      <c r="AZ144" s="106"/>
      <c r="BA144" s="106"/>
      <c r="BB144" s="106"/>
      <c r="BC144" s="106"/>
      <c r="BD144" s="106"/>
      <c r="BE144" s="106"/>
      <c r="BF144" s="106"/>
      <c r="BG144" s="106"/>
      <c r="BH144" s="106"/>
      <c r="BI144" s="106"/>
      <c r="BJ144" s="106"/>
      <c r="BK144" s="106"/>
      <c r="BL144" s="106"/>
      <c r="BM144" s="106"/>
      <c r="BN144" s="106"/>
      <c r="BO144" s="106"/>
      <c r="BP144" s="106"/>
      <c r="BQ144" s="106"/>
      <c r="BR144" s="106"/>
      <c r="BS144" s="106"/>
      <c r="BT144" s="106"/>
      <c r="BU144" s="106"/>
      <c r="BV144" s="106"/>
      <c r="BW144" s="106"/>
      <c r="BX144" s="106"/>
      <c r="BY144" s="106"/>
      <c r="BZ144" s="106"/>
      <c r="CA144" s="106"/>
      <c r="CB144" s="106"/>
      <c r="CC144" s="106"/>
      <c r="CD144" s="106"/>
      <c r="CE144" s="106"/>
      <c r="CF144" s="106"/>
      <c r="CG144" s="106"/>
      <c r="CH144" s="106"/>
    </row>
  </sheetData>
  <sortState xmlns:xlrd2="http://schemas.microsoft.com/office/spreadsheetml/2017/richdata2" ref="B19:N29">
    <sortCondition descending="1" ref="E19:E29"/>
  </sortState>
  <mergeCells count="22">
    <mergeCell ref="B2:U2"/>
    <mergeCell ref="B6:B8"/>
    <mergeCell ref="C6:C8"/>
    <mergeCell ref="G6:G8"/>
    <mergeCell ref="D6:D8"/>
    <mergeCell ref="J6:J8"/>
    <mergeCell ref="N6:N8"/>
    <mergeCell ref="H6:H8"/>
    <mergeCell ref="I6:I8"/>
    <mergeCell ref="K6:K8"/>
    <mergeCell ref="L6:L8"/>
    <mergeCell ref="E6:E7"/>
    <mergeCell ref="F6:F7"/>
    <mergeCell ref="M6:M8"/>
    <mergeCell ref="B57:U57"/>
    <mergeCell ref="B102:U102"/>
    <mergeCell ref="B45:D45"/>
    <mergeCell ref="B98:E98"/>
    <mergeCell ref="B143:E143"/>
    <mergeCell ref="B50:N50"/>
    <mergeCell ref="B48:N48"/>
    <mergeCell ref="B49:N49"/>
  </mergeCells>
  <hyperlinks>
    <hyperlink ref="C72" location="BIDF40!A1" display="BIDF40" xr:uid="{00000000-0004-0000-0000-000000000000}"/>
    <hyperlink ref="C81" location="BIDO24!A1" display="BIDO24" xr:uid="{00000000-0004-0000-0000-000001000000}"/>
    <hyperlink ref="C84" location="BIRS38!A1" display="BIRS38" xr:uid="{00000000-0004-0000-0000-000002000000}"/>
    <hyperlink ref="C80" location="BIDS34!A1" display="BIDS34" xr:uid="{00000000-0004-0000-0000-000003000000}"/>
    <hyperlink ref="C117" location="BIDF40!A1" display="BIDF40" xr:uid="{00000000-0004-0000-0000-000006000000}"/>
    <hyperlink ref="C126" location="BIDO24!A1" display="BIDO24" xr:uid="{00000000-0004-0000-0000-000007000000}"/>
    <hyperlink ref="C129" location="BIRS38!A1" display="BIRS38" xr:uid="{00000000-0004-0000-0000-000008000000}"/>
    <hyperlink ref="C125" location="BIDS34!A1" display="BIDS34" xr:uid="{00000000-0004-0000-0000-000009000000}"/>
    <hyperlink ref="C127" location="BIDS23!A1" display="BIDS23" xr:uid="{00000000-0004-0000-0000-00000A000000}"/>
    <hyperlink ref="C19" location="BIDF40!A1" display="BIDF40" xr:uid="{00000000-0004-0000-0000-00000D000000}"/>
    <hyperlink ref="C28" location="BIDO24!A1" display="BIDO24" xr:uid="{00000000-0004-0000-0000-00000E000000}"/>
    <hyperlink ref="C26" location="BIDN32!A1" display="BIDN32" xr:uid="{00000000-0004-0000-0000-00000F000000}"/>
    <hyperlink ref="C31" location="BIRS38!A1" display="BIRS38" xr:uid="{00000000-0004-0000-0000-000010000000}"/>
    <hyperlink ref="C27" location="BIDS34!A1" display="BIDS34" xr:uid="{00000000-0004-0000-0000-000011000000}"/>
    <hyperlink ref="C29" location="BIDS23!A1" display="BIDS23" xr:uid="{00000000-0004-0000-0000-000012000000}"/>
    <hyperlink ref="C23" location="BIDY42!A1" display="BIDY42" xr:uid="{00000000-0004-0000-0000-000013000000}"/>
    <hyperlink ref="C10" location="FFFIRO24!A1" display="FFFIRO24" xr:uid="{00000000-0004-0000-0000-000014000000}"/>
    <hyperlink ref="C12" location="FFFIRF26!A1" display="FFFIRF26" xr:uid="{00000000-0004-0000-0000-000015000000}"/>
    <hyperlink ref="C13" location="IPVO26!A1" display="IPVO26" xr:uid="{00000000-0004-0000-0000-000017000000}"/>
    <hyperlink ref="C14" location="FFFIRE26!A1" display="FFFIRE26" xr:uid="{00000000-0004-0000-0000-000018000000}"/>
    <hyperlink ref="C43" location="'PMG25'!A1" display="PMG25" xr:uid="{00000000-0004-0000-0000-000019000000}"/>
    <hyperlink ref="C75" location="BIDN44!A1" display="BIDN44" xr:uid="{00000000-0004-0000-0000-00001C000000}"/>
    <hyperlink ref="C120" location="BIDN44!A1" display="BIDN44" xr:uid="{00000000-0004-0000-0000-00001D000000}"/>
    <hyperlink ref="C42" location="'PMY25'!A1" display="PMY25" xr:uid="{00000000-0004-0000-0000-00001E000000}"/>
    <hyperlink ref="C96" location="'PMY25'!A1" display="PMY25" xr:uid="{00000000-0004-0000-0000-00001F000000}"/>
    <hyperlink ref="C141" location="'PMY25'!A1" display="PMY25" xr:uid="{00000000-0004-0000-0000-000020000000}"/>
    <hyperlink ref="C38" location="'PMD24'!A1" display="PMD24" xr:uid="{00000000-0004-0000-0000-000021000000}"/>
    <hyperlink ref="C69" location="BNAM27!A1" display="BNAM27" xr:uid="{00000000-0004-0000-0000-000022000000}"/>
    <hyperlink ref="C16" location="BNAM27!A1" display="BNAM27" xr:uid="{00000000-0004-0000-0000-000023000000}"/>
    <hyperlink ref="C114" location="BNAM27!A1" display="BNAM27" xr:uid="{00000000-0004-0000-0000-000024000000}"/>
    <hyperlink ref="C85" location="BIRFE50!A1" display="BIRFE50" xr:uid="{00000000-0004-0000-0000-000025000000}"/>
    <hyperlink ref="C82" location="BIDS23!A1" display="BIDS23" xr:uid="{00000000-0004-0000-0000-000026000000}"/>
    <hyperlink ref="C63" location="FFFIRO24!A1" display="FFFIRO24" xr:uid="{00000000-0004-0000-0000-000027000000}"/>
    <hyperlink ref="C65" location="FFFIRF26!A1" display="FFFIRF26" xr:uid="{00000000-0004-0000-0000-000028000000}"/>
    <hyperlink ref="C66" location="IPVO26!A1" display="IPVO26" xr:uid="{00000000-0004-0000-0000-000029000000}"/>
    <hyperlink ref="C67" location="FFFIRE26!A1" display="FFFIRE26" xr:uid="{00000000-0004-0000-0000-00002A000000}"/>
    <hyperlink ref="C76" location="BIDY42!A1" display="BIDY42" xr:uid="{00000000-0004-0000-0000-00002D000000}"/>
    <hyperlink ref="C79" location="BIDN32!A1" display="BIDN32" xr:uid="{00000000-0004-0000-0000-00002E000000}"/>
    <hyperlink ref="C108" location="FFFIRO24!A1" display="FFFIRO24" xr:uid="{00000000-0004-0000-0000-00002F000000}"/>
    <hyperlink ref="C110" location="FFFIRF26!A1" display="FFFIRF26" xr:uid="{00000000-0004-0000-0000-000030000000}"/>
    <hyperlink ref="C111" location="IPVO26!A1" display="IPVO26" xr:uid="{00000000-0004-0000-0000-000031000000}"/>
    <hyperlink ref="C112" location="FFFIRE26!A1" display="FFFIRE26" xr:uid="{00000000-0004-0000-0000-000032000000}"/>
    <hyperlink ref="C121" location="BIDY42!A1" display="BIDY42" xr:uid="{00000000-0004-0000-0000-000035000000}"/>
    <hyperlink ref="C122" location="BIDY42!A1" display="BIDY42" xr:uid="{00000000-0004-0000-0000-000036000000}"/>
    <hyperlink ref="C124" location="BIDN32!A1" display="BIDN32" xr:uid="{00000000-0004-0000-0000-000037000000}"/>
  </hyperlinks>
  <pageMargins left="0.7" right="0.7" top="0.75" bottom="0.75" header="0.3" footer="0.3"/>
  <pageSetup paperSize="9" orientation="portrait" horizontalDpi="4294967295" verticalDpi="4294967295"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C52"/>
  <sheetViews>
    <sheetView showGridLines="0" zoomScaleNormal="100" workbookViewId="0">
      <pane xSplit="3" ySplit="6" topLeftCell="D7" activePane="bottomRight" state="frozen"/>
      <selection activeCell="F1" sqref="F1:F1048576"/>
      <selection pane="topRight" activeCell="F1" sqref="F1:F1048576"/>
      <selection pane="bottomLeft" activeCell="F1" sqref="F1:F1048576"/>
      <selection pane="bottomRight"/>
    </sheetView>
  </sheetViews>
  <sheetFormatPr baseColWidth="10" defaultRowHeight="16.5" x14ac:dyDescent="0.3"/>
  <cols>
    <col min="1" max="1" width="5.28515625" style="18" customWidth="1"/>
    <col min="2" max="2" width="43.7109375" style="2" bestFit="1" customWidth="1"/>
    <col min="3" max="3" width="12.5703125" style="2" customWidth="1"/>
    <col min="4" max="4" width="30.85546875" style="2" bestFit="1" customWidth="1"/>
    <col min="5" max="5" width="13.7109375" style="123" customWidth="1"/>
    <col min="6" max="6" width="14.85546875" style="123" bestFit="1" customWidth="1"/>
    <col min="7" max="17" width="13" style="123" bestFit="1" customWidth="1"/>
    <col min="18" max="21" width="11.42578125" style="123"/>
    <col min="22" max="16384" width="11.42578125" style="1"/>
  </cols>
  <sheetData>
    <row r="1" spans="1:29" ht="28.5" customHeight="1" x14ac:dyDescent="0.3">
      <c r="A1" s="122"/>
      <c r="B1" s="235" t="s">
        <v>38</v>
      </c>
      <c r="C1" s="235"/>
      <c r="D1" s="235"/>
      <c r="E1" s="235"/>
    </row>
    <row r="2" spans="1:29" x14ac:dyDescent="0.3">
      <c r="B2" s="202" t="s">
        <v>46</v>
      </c>
    </row>
    <row r="4" spans="1:29" ht="30.75" customHeight="1" x14ac:dyDescent="0.3">
      <c r="B4" s="238" t="s">
        <v>131</v>
      </c>
      <c r="C4" s="238"/>
      <c r="D4" s="238"/>
      <c r="F4" s="124"/>
      <c r="G4" s="124"/>
      <c r="H4" s="124"/>
      <c r="I4" s="124"/>
      <c r="J4" s="124"/>
      <c r="K4" s="124"/>
      <c r="L4" s="124"/>
      <c r="M4" s="124"/>
      <c r="N4" s="124"/>
      <c r="O4" s="124"/>
      <c r="P4" s="124"/>
      <c r="Q4" s="124"/>
      <c r="R4" s="124"/>
      <c r="S4" s="124"/>
      <c r="T4" s="124"/>
      <c r="U4" s="124"/>
      <c r="V4" s="124"/>
      <c r="W4" s="124"/>
      <c r="X4" s="124"/>
      <c r="Y4" s="124"/>
      <c r="Z4" s="124"/>
      <c r="AA4" s="124"/>
      <c r="AB4" s="124"/>
      <c r="AC4" s="124"/>
    </row>
    <row r="5" spans="1:29" ht="15.75" customHeight="1" x14ac:dyDescent="0.3">
      <c r="B5" s="239" t="s">
        <v>0</v>
      </c>
      <c r="C5" s="236" t="s">
        <v>1</v>
      </c>
      <c r="D5" s="236" t="s">
        <v>95</v>
      </c>
      <c r="F5" s="204">
        <v>2024</v>
      </c>
      <c r="G5" s="204">
        <v>2024</v>
      </c>
      <c r="H5" s="204">
        <v>2024</v>
      </c>
      <c r="I5" s="204">
        <v>2024</v>
      </c>
      <c r="J5" s="204">
        <v>2024</v>
      </c>
      <c r="K5" s="204">
        <v>2024</v>
      </c>
      <c r="L5" s="204">
        <v>2024</v>
      </c>
      <c r="M5" s="204">
        <v>2024</v>
      </c>
      <c r="N5" s="204">
        <v>2024</v>
      </c>
      <c r="O5" s="204">
        <v>2024</v>
      </c>
      <c r="P5" s="204">
        <v>2024</v>
      </c>
      <c r="Q5" s="204">
        <v>2024</v>
      </c>
      <c r="R5" s="204">
        <v>2025</v>
      </c>
      <c r="S5" s="204">
        <v>2025</v>
      </c>
      <c r="T5" s="204">
        <v>2025</v>
      </c>
      <c r="U5" s="204">
        <v>2025</v>
      </c>
      <c r="V5" s="204">
        <v>2025</v>
      </c>
      <c r="W5" s="204">
        <v>2025</v>
      </c>
      <c r="X5" s="204">
        <v>2025</v>
      </c>
      <c r="Y5" s="204">
        <v>2025</v>
      </c>
      <c r="Z5" s="204">
        <v>2025</v>
      </c>
      <c r="AA5" s="204">
        <v>2025</v>
      </c>
      <c r="AB5" s="204">
        <v>2025</v>
      </c>
      <c r="AC5" s="204">
        <v>2025</v>
      </c>
    </row>
    <row r="6" spans="1:29" x14ac:dyDescent="0.3">
      <c r="B6" s="240"/>
      <c r="C6" s="237"/>
      <c r="D6" s="237"/>
      <c r="F6" s="204">
        <v>1</v>
      </c>
      <c r="G6" s="204">
        <f>+F6+1</f>
        <v>2</v>
      </c>
      <c r="H6" s="204">
        <f t="shared" ref="H6:Q6" si="0">+G6+1</f>
        <v>3</v>
      </c>
      <c r="I6" s="204">
        <f t="shared" si="0"/>
        <v>4</v>
      </c>
      <c r="J6" s="204">
        <f t="shared" si="0"/>
        <v>5</v>
      </c>
      <c r="K6" s="204">
        <f t="shared" si="0"/>
        <v>6</v>
      </c>
      <c r="L6" s="204">
        <f t="shared" si="0"/>
        <v>7</v>
      </c>
      <c r="M6" s="204">
        <f t="shared" si="0"/>
        <v>8</v>
      </c>
      <c r="N6" s="204">
        <f t="shared" si="0"/>
        <v>9</v>
      </c>
      <c r="O6" s="204">
        <f t="shared" si="0"/>
        <v>10</v>
      </c>
      <c r="P6" s="204">
        <f t="shared" si="0"/>
        <v>11</v>
      </c>
      <c r="Q6" s="204">
        <f t="shared" si="0"/>
        <v>12</v>
      </c>
      <c r="R6" s="204">
        <v>1</v>
      </c>
      <c r="S6" s="204">
        <f>+R6+1</f>
        <v>2</v>
      </c>
      <c r="T6" s="204">
        <f t="shared" ref="T6" si="1">+S6+1</f>
        <v>3</v>
      </c>
      <c r="U6" s="204">
        <f t="shared" ref="U6" si="2">+T6+1</f>
        <v>4</v>
      </c>
      <c r="V6" s="204">
        <f t="shared" ref="V6" si="3">+U6+1</f>
        <v>5</v>
      </c>
      <c r="W6" s="204">
        <f t="shared" ref="W6" si="4">+V6+1</f>
        <v>6</v>
      </c>
      <c r="X6" s="204">
        <f t="shared" ref="X6" si="5">+W6+1</f>
        <v>7</v>
      </c>
      <c r="Y6" s="204">
        <f t="shared" ref="Y6" si="6">+X6+1</f>
        <v>8</v>
      </c>
      <c r="Z6" s="204">
        <f t="shared" ref="Z6" si="7">+Y6+1</f>
        <v>9</v>
      </c>
      <c r="AA6" s="204">
        <f t="shared" ref="AA6" si="8">+Z6+1</f>
        <v>10</v>
      </c>
      <c r="AB6" s="204">
        <f t="shared" ref="AB6" si="9">+AA6+1</f>
        <v>11</v>
      </c>
      <c r="AC6" s="204">
        <f t="shared" ref="AC6" si="10">+AB6+1</f>
        <v>12</v>
      </c>
    </row>
    <row r="7" spans="1:29" x14ac:dyDescent="0.3">
      <c r="A7" s="93"/>
      <c r="B7" s="125" t="s">
        <v>7</v>
      </c>
      <c r="C7" s="125" t="s">
        <v>8</v>
      </c>
      <c r="D7" s="125" t="s">
        <v>89</v>
      </c>
      <c r="E7" s="126"/>
      <c r="F7" s="169">
        <v>5.3271497999999999</v>
      </c>
      <c r="G7" s="169">
        <v>0</v>
      </c>
      <c r="H7" s="169">
        <v>0</v>
      </c>
      <c r="I7" s="169">
        <v>2.0848300000000002</v>
      </c>
      <c r="J7" s="169">
        <v>0</v>
      </c>
      <c r="K7" s="169">
        <v>0</v>
      </c>
      <c r="L7" s="169">
        <v>5.5882264599999996</v>
      </c>
      <c r="M7" s="169">
        <v>0</v>
      </c>
      <c r="N7" s="169">
        <v>0</v>
      </c>
      <c r="O7" s="169">
        <v>5.611060890000001</v>
      </c>
      <c r="P7" s="169">
        <v>0</v>
      </c>
      <c r="Q7" s="169">
        <v>0</v>
      </c>
      <c r="R7" s="169">
        <v>5.83294493</v>
      </c>
      <c r="S7" s="169">
        <v>0</v>
      </c>
      <c r="T7" s="169">
        <v>0</v>
      </c>
      <c r="U7" s="169">
        <v>6.0230032400000004</v>
      </c>
      <c r="V7" s="169">
        <v>0</v>
      </c>
      <c r="W7" s="169">
        <v>0</v>
      </c>
      <c r="X7" s="169">
        <v>6.0949683800000001</v>
      </c>
      <c r="Y7" s="169">
        <v>0</v>
      </c>
      <c r="Z7" s="169">
        <v>0</v>
      </c>
      <c r="AA7" s="169">
        <v>6.2482901200000001</v>
      </c>
      <c r="AB7" s="169">
        <v>0</v>
      </c>
      <c r="AC7" s="169">
        <v>0</v>
      </c>
    </row>
    <row r="8" spans="1:29" x14ac:dyDescent="0.3">
      <c r="A8" s="93"/>
      <c r="B8" s="125" t="s">
        <v>134</v>
      </c>
      <c r="C8" s="125" t="s">
        <v>135</v>
      </c>
      <c r="D8" s="125" t="s">
        <v>93</v>
      </c>
      <c r="E8" s="126"/>
      <c r="F8" s="169">
        <v>0</v>
      </c>
      <c r="G8" s="169">
        <v>0</v>
      </c>
      <c r="H8" s="169">
        <v>0</v>
      </c>
      <c r="I8" s="169">
        <v>0</v>
      </c>
      <c r="J8" s="169">
        <v>0</v>
      </c>
      <c r="K8" s="169">
        <v>4500.9449077990184</v>
      </c>
      <c r="L8" s="169">
        <v>0</v>
      </c>
      <c r="M8" s="169">
        <v>0</v>
      </c>
      <c r="N8" s="169">
        <v>0</v>
      </c>
      <c r="O8" s="169">
        <v>0</v>
      </c>
      <c r="P8" s="169">
        <v>0</v>
      </c>
      <c r="Q8" s="169">
        <v>4502.2953263132094</v>
      </c>
      <c r="R8" s="169">
        <v>0</v>
      </c>
      <c r="S8" s="169">
        <v>0</v>
      </c>
      <c r="T8" s="169">
        <v>0</v>
      </c>
      <c r="U8" s="169">
        <v>0</v>
      </c>
      <c r="V8" s="169">
        <v>0</v>
      </c>
      <c r="W8" s="169">
        <v>0</v>
      </c>
      <c r="X8" s="169">
        <v>0</v>
      </c>
      <c r="Y8" s="169">
        <v>0</v>
      </c>
      <c r="Z8" s="169">
        <v>0</v>
      </c>
      <c r="AA8" s="169">
        <v>0</v>
      </c>
      <c r="AB8" s="169">
        <v>0</v>
      </c>
      <c r="AC8" s="169">
        <v>0</v>
      </c>
    </row>
    <row r="9" spans="1:29" x14ac:dyDescent="0.3">
      <c r="A9" s="93"/>
      <c r="B9" s="125" t="s">
        <v>174</v>
      </c>
      <c r="C9" s="125" t="s">
        <v>167</v>
      </c>
      <c r="D9" s="125" t="s">
        <v>93</v>
      </c>
      <c r="E9" s="126"/>
      <c r="F9" s="169">
        <v>0</v>
      </c>
      <c r="G9" s="169">
        <v>0</v>
      </c>
      <c r="H9" s="169">
        <v>1008.75</v>
      </c>
      <c r="I9" s="169">
        <v>0</v>
      </c>
      <c r="J9" s="169">
        <v>0</v>
      </c>
      <c r="K9" s="169">
        <v>1008.75</v>
      </c>
      <c r="L9" s="169">
        <v>0</v>
      </c>
      <c r="M9" s="169">
        <v>0</v>
      </c>
      <c r="N9" s="169">
        <v>1008.75</v>
      </c>
      <c r="O9" s="169">
        <v>0</v>
      </c>
      <c r="P9" s="169">
        <v>0</v>
      </c>
      <c r="Q9" s="169">
        <v>1008.75</v>
      </c>
      <c r="R9" s="169">
        <v>0</v>
      </c>
      <c r="S9" s="169">
        <v>0</v>
      </c>
      <c r="T9" s="169">
        <v>1008.75</v>
      </c>
      <c r="U9" s="169">
        <v>0</v>
      </c>
      <c r="V9" s="169">
        <v>0</v>
      </c>
      <c r="W9" s="169">
        <v>1008.75</v>
      </c>
      <c r="X9" s="169">
        <v>0</v>
      </c>
      <c r="Y9" s="169">
        <v>0</v>
      </c>
      <c r="Z9" s="169">
        <v>0</v>
      </c>
      <c r="AA9" s="169">
        <v>0</v>
      </c>
      <c r="AB9" s="169">
        <v>0</v>
      </c>
      <c r="AC9" s="169">
        <v>0</v>
      </c>
    </row>
    <row r="10" spans="1:29" x14ac:dyDescent="0.3">
      <c r="A10" s="93"/>
      <c r="B10" s="125" t="s">
        <v>175</v>
      </c>
      <c r="C10" s="125" t="s">
        <v>168</v>
      </c>
      <c r="D10" s="125" t="s">
        <v>93</v>
      </c>
      <c r="E10" s="126"/>
      <c r="F10" s="169">
        <v>0</v>
      </c>
      <c r="G10" s="169">
        <v>0</v>
      </c>
      <c r="H10" s="169">
        <v>438.85341849999998</v>
      </c>
      <c r="I10" s="169">
        <v>0</v>
      </c>
      <c r="J10" s="169">
        <v>0</v>
      </c>
      <c r="K10" s="169">
        <v>438.85341849999998</v>
      </c>
      <c r="L10" s="169">
        <v>0</v>
      </c>
      <c r="M10" s="169">
        <v>0</v>
      </c>
      <c r="N10" s="169">
        <v>438.85341849999998</v>
      </c>
      <c r="O10" s="169">
        <v>0</v>
      </c>
      <c r="P10" s="169">
        <v>0</v>
      </c>
      <c r="Q10" s="169">
        <v>438.85341849999998</v>
      </c>
      <c r="R10" s="169">
        <v>0</v>
      </c>
      <c r="S10" s="169">
        <v>0</v>
      </c>
      <c r="T10" s="169">
        <v>0</v>
      </c>
      <c r="U10" s="169">
        <v>0</v>
      </c>
      <c r="V10" s="169">
        <v>0</v>
      </c>
      <c r="W10" s="169">
        <v>0</v>
      </c>
      <c r="X10" s="169">
        <v>0</v>
      </c>
      <c r="Y10" s="169">
        <v>0</v>
      </c>
      <c r="Z10" s="169">
        <v>0</v>
      </c>
      <c r="AA10" s="169">
        <v>0</v>
      </c>
      <c r="AB10" s="169">
        <v>0</v>
      </c>
      <c r="AC10" s="169">
        <v>0</v>
      </c>
    </row>
    <row r="11" spans="1:29" x14ac:dyDescent="0.3">
      <c r="A11" s="93"/>
      <c r="B11" s="125" t="s">
        <v>136</v>
      </c>
      <c r="C11" s="125" t="s">
        <v>137</v>
      </c>
      <c r="D11" s="125" t="s">
        <v>93</v>
      </c>
      <c r="E11" s="126"/>
      <c r="F11" s="169">
        <v>0</v>
      </c>
      <c r="G11" s="169">
        <v>0</v>
      </c>
      <c r="H11" s="169">
        <v>0</v>
      </c>
      <c r="I11" s="169">
        <v>0</v>
      </c>
      <c r="J11" s="169">
        <v>0</v>
      </c>
      <c r="K11" s="169">
        <v>0</v>
      </c>
      <c r="L11" s="169">
        <v>0</v>
      </c>
      <c r="M11" s="169">
        <v>0</v>
      </c>
      <c r="N11" s="169">
        <v>0</v>
      </c>
      <c r="O11" s="169">
        <v>0</v>
      </c>
      <c r="P11" s="169">
        <v>0</v>
      </c>
      <c r="Q11" s="169">
        <v>0</v>
      </c>
      <c r="R11" s="169">
        <v>0</v>
      </c>
      <c r="S11" s="169">
        <v>0</v>
      </c>
      <c r="T11" s="169">
        <v>0</v>
      </c>
      <c r="U11" s="169">
        <v>0</v>
      </c>
      <c r="V11" s="169">
        <v>0</v>
      </c>
      <c r="W11" s="169">
        <v>0</v>
      </c>
      <c r="X11" s="169">
        <v>0</v>
      </c>
      <c r="Y11" s="169">
        <v>0</v>
      </c>
      <c r="Z11" s="169">
        <v>406.55448841666663</v>
      </c>
      <c r="AA11" s="169">
        <v>0</v>
      </c>
      <c r="AB11" s="169">
        <v>0</v>
      </c>
      <c r="AC11" s="169">
        <v>0</v>
      </c>
    </row>
    <row r="12" spans="1:29" x14ac:dyDescent="0.3">
      <c r="A12" s="93"/>
      <c r="B12" s="125" t="s">
        <v>128</v>
      </c>
      <c r="C12" s="125" t="s">
        <v>129</v>
      </c>
      <c r="D12" s="125" t="s">
        <v>93</v>
      </c>
      <c r="E12" s="126"/>
      <c r="F12" s="169">
        <v>0</v>
      </c>
      <c r="G12" s="169">
        <v>201.92307692307693</v>
      </c>
      <c r="H12" s="169">
        <v>0</v>
      </c>
      <c r="I12" s="169">
        <v>0</v>
      </c>
      <c r="J12" s="169">
        <v>201.92307692307693</v>
      </c>
      <c r="K12" s="169">
        <v>0</v>
      </c>
      <c r="L12" s="169">
        <v>0</v>
      </c>
      <c r="M12" s="169">
        <v>201.92307692307693</v>
      </c>
      <c r="N12" s="169">
        <v>0</v>
      </c>
      <c r="O12" s="169">
        <v>0</v>
      </c>
      <c r="P12" s="169">
        <v>201.92307692307693</v>
      </c>
      <c r="Q12" s="169">
        <v>0</v>
      </c>
      <c r="R12" s="169">
        <v>0</v>
      </c>
      <c r="S12" s="169">
        <v>201.92307692307693</v>
      </c>
      <c r="T12" s="169">
        <v>0</v>
      </c>
      <c r="U12" s="169">
        <v>0</v>
      </c>
      <c r="V12" s="169">
        <v>201.92307692307693</v>
      </c>
      <c r="W12" s="169">
        <v>0</v>
      </c>
      <c r="X12" s="169">
        <v>0</v>
      </c>
      <c r="Y12" s="169">
        <v>0</v>
      </c>
      <c r="Z12" s="169">
        <v>0</v>
      </c>
      <c r="AA12" s="169">
        <v>0</v>
      </c>
      <c r="AB12" s="169">
        <v>0</v>
      </c>
      <c r="AC12" s="169">
        <v>0</v>
      </c>
    </row>
    <row r="13" spans="1:29" x14ac:dyDescent="0.3">
      <c r="A13" s="93"/>
      <c r="B13" s="125" t="s">
        <v>34</v>
      </c>
      <c r="C13" s="125" t="s">
        <v>35</v>
      </c>
      <c r="D13" s="125" t="s">
        <v>93</v>
      </c>
      <c r="E13" s="126"/>
      <c r="F13" s="169">
        <v>0</v>
      </c>
      <c r="G13" s="169">
        <v>3.5214128711999999</v>
      </c>
      <c r="H13" s="169">
        <v>0</v>
      </c>
      <c r="I13" s="169">
        <v>0</v>
      </c>
      <c r="J13" s="169">
        <v>0</v>
      </c>
      <c r="K13" s="169">
        <v>0</v>
      </c>
      <c r="L13" s="169">
        <v>0</v>
      </c>
      <c r="M13" s="169">
        <v>3.5214128711999999</v>
      </c>
      <c r="N13" s="169">
        <v>0</v>
      </c>
      <c r="O13" s="169">
        <v>0</v>
      </c>
      <c r="P13" s="169">
        <v>0</v>
      </c>
      <c r="Q13" s="169">
        <v>0</v>
      </c>
      <c r="R13" s="169">
        <v>0</v>
      </c>
      <c r="S13" s="169">
        <v>3.5214128711999999</v>
      </c>
      <c r="T13" s="169">
        <v>0</v>
      </c>
      <c r="U13" s="169">
        <v>0</v>
      </c>
      <c r="V13" s="169">
        <v>0</v>
      </c>
      <c r="W13" s="169">
        <v>0</v>
      </c>
      <c r="X13" s="169">
        <v>0</v>
      </c>
      <c r="Y13" s="169">
        <v>3.5383224167999998</v>
      </c>
      <c r="Z13" s="169">
        <v>0</v>
      </c>
      <c r="AA13" s="169">
        <v>0</v>
      </c>
      <c r="AB13" s="169">
        <v>0</v>
      </c>
      <c r="AC13" s="169">
        <v>0</v>
      </c>
    </row>
    <row r="14" spans="1:29" x14ac:dyDescent="0.3">
      <c r="A14" s="93"/>
      <c r="B14" s="125" t="s">
        <v>236</v>
      </c>
      <c r="C14" s="125" t="s">
        <v>238</v>
      </c>
      <c r="D14" s="125" t="s">
        <v>93</v>
      </c>
      <c r="E14" s="126"/>
      <c r="F14" s="169">
        <v>0</v>
      </c>
      <c r="G14" s="169">
        <v>0</v>
      </c>
      <c r="H14" s="169">
        <v>0</v>
      </c>
      <c r="I14" s="169">
        <v>0</v>
      </c>
      <c r="J14" s="169">
        <v>0</v>
      </c>
      <c r="K14" s="169">
        <v>0</v>
      </c>
      <c r="L14" s="169">
        <v>0</v>
      </c>
      <c r="M14" s="169">
        <v>0</v>
      </c>
      <c r="N14" s="169">
        <v>0</v>
      </c>
      <c r="O14" s="169">
        <v>0</v>
      </c>
      <c r="P14" s="169">
        <v>0</v>
      </c>
      <c r="Q14" s="169">
        <v>0</v>
      </c>
      <c r="R14" s="169">
        <v>0</v>
      </c>
      <c r="S14" s="169">
        <v>0</v>
      </c>
      <c r="T14" s="169">
        <v>0</v>
      </c>
      <c r="U14" s="169">
        <v>0</v>
      </c>
      <c r="V14" s="169">
        <v>0</v>
      </c>
      <c r="W14" s="169">
        <v>0</v>
      </c>
      <c r="X14" s="169">
        <v>0</v>
      </c>
      <c r="Y14" s="169">
        <v>0</v>
      </c>
      <c r="Z14" s="169">
        <v>0</v>
      </c>
      <c r="AA14" s="169">
        <v>0</v>
      </c>
      <c r="AB14" s="169">
        <v>0</v>
      </c>
      <c r="AC14" s="169">
        <v>37314.775999999998</v>
      </c>
    </row>
    <row r="15" spans="1:29" x14ac:dyDescent="0.3">
      <c r="A15" s="93"/>
      <c r="B15" s="125" t="s">
        <v>237</v>
      </c>
      <c r="C15" s="125" t="s">
        <v>239</v>
      </c>
      <c r="D15" s="125" t="s">
        <v>93</v>
      </c>
      <c r="E15" s="126"/>
      <c r="F15" s="169">
        <v>0</v>
      </c>
      <c r="G15" s="169">
        <v>0</v>
      </c>
      <c r="H15" s="169">
        <v>0</v>
      </c>
      <c r="I15" s="169">
        <v>0</v>
      </c>
      <c r="J15" s="169">
        <v>0</v>
      </c>
      <c r="K15" s="169">
        <v>0</v>
      </c>
      <c r="L15" s="169">
        <v>0</v>
      </c>
      <c r="M15" s="169">
        <v>0</v>
      </c>
      <c r="N15" s="169">
        <v>0</v>
      </c>
      <c r="O15" s="169">
        <v>0</v>
      </c>
      <c r="P15" s="169">
        <v>0</v>
      </c>
      <c r="Q15" s="169">
        <v>0</v>
      </c>
      <c r="R15" s="169">
        <v>0</v>
      </c>
      <c r="S15" s="169">
        <v>0</v>
      </c>
      <c r="T15" s="169">
        <v>0</v>
      </c>
      <c r="U15" s="169">
        <v>0</v>
      </c>
      <c r="V15" s="169">
        <v>0</v>
      </c>
      <c r="W15" s="169">
        <v>0</v>
      </c>
      <c r="X15" s="169">
        <v>0</v>
      </c>
      <c r="Y15" s="169">
        <v>0</v>
      </c>
      <c r="Z15" s="169">
        <v>0</v>
      </c>
      <c r="AA15" s="169">
        <v>0</v>
      </c>
      <c r="AB15" s="169">
        <v>0</v>
      </c>
      <c r="AC15" s="169">
        <v>0</v>
      </c>
    </row>
    <row r="16" spans="1:29" x14ac:dyDescent="0.3">
      <c r="A16" s="93"/>
      <c r="B16" s="125" t="s">
        <v>3</v>
      </c>
      <c r="C16" s="125" t="s">
        <v>4</v>
      </c>
      <c r="D16" s="125" t="s">
        <v>89</v>
      </c>
      <c r="E16" s="126"/>
      <c r="F16" s="169">
        <v>80.146061861197197</v>
      </c>
      <c r="G16" s="169">
        <v>104.23365951178366</v>
      </c>
      <c r="H16" s="169">
        <v>120.41589298328648</v>
      </c>
      <c r="I16" s="169">
        <v>128.07977323139792</v>
      </c>
      <c r="J16" s="169">
        <v>128.07977322139791</v>
      </c>
      <c r="K16" s="169">
        <v>128.07977322139791</v>
      </c>
      <c r="L16" s="169">
        <v>128.07977322139791</v>
      </c>
      <c r="M16" s="169">
        <v>128.07977322139791</v>
      </c>
      <c r="N16" s="169">
        <v>128.07977322139791</v>
      </c>
      <c r="O16" s="169">
        <v>128.07977322139791</v>
      </c>
      <c r="P16" s="169">
        <v>0</v>
      </c>
      <c r="Q16" s="169">
        <v>0</v>
      </c>
      <c r="R16" s="169">
        <v>0</v>
      </c>
      <c r="S16" s="169">
        <v>0</v>
      </c>
      <c r="T16" s="169">
        <v>0</v>
      </c>
      <c r="U16" s="169">
        <v>0</v>
      </c>
      <c r="V16" s="169">
        <v>0</v>
      </c>
      <c r="W16" s="169">
        <v>0</v>
      </c>
      <c r="X16" s="169">
        <v>0</v>
      </c>
      <c r="Y16" s="169">
        <v>0</v>
      </c>
      <c r="Z16" s="169">
        <v>0</v>
      </c>
      <c r="AA16" s="169">
        <v>0</v>
      </c>
      <c r="AB16" s="169">
        <v>0</v>
      </c>
      <c r="AC16" s="169">
        <v>0</v>
      </c>
    </row>
    <row r="17" spans="1:29" x14ac:dyDescent="0.3">
      <c r="A17" s="93"/>
      <c r="B17" s="125" t="s">
        <v>5</v>
      </c>
      <c r="C17" s="125" t="s">
        <v>6</v>
      </c>
      <c r="D17" s="125" t="s">
        <v>89</v>
      </c>
      <c r="E17" s="126"/>
      <c r="F17" s="169">
        <v>10.94459516691923</v>
      </c>
      <c r="G17" s="169">
        <v>11.088733278711496</v>
      </c>
      <c r="H17" s="169">
        <v>11.234767390185677</v>
      </c>
      <c r="I17" s="169">
        <v>11.382718568062645</v>
      </c>
      <c r="J17" s="169">
        <v>11.382718568062645</v>
      </c>
      <c r="K17" s="169">
        <v>11.382718568062643</v>
      </c>
      <c r="L17" s="169">
        <v>11.382718568062641</v>
      </c>
      <c r="M17" s="169">
        <v>11.382718568062637</v>
      </c>
      <c r="N17" s="169">
        <v>11.382718568062641</v>
      </c>
      <c r="O17" s="169">
        <v>11.382718568062643</v>
      </c>
      <c r="P17" s="169">
        <v>11.382718568062641</v>
      </c>
      <c r="Q17" s="169">
        <v>11.382718568062637</v>
      </c>
      <c r="R17" s="169">
        <v>11.382718568062641</v>
      </c>
      <c r="S17" s="169">
        <v>11.382718568062643</v>
      </c>
      <c r="T17" s="169">
        <v>11.382718568062641</v>
      </c>
      <c r="U17" s="169">
        <v>11.382718568062637</v>
      </c>
      <c r="V17" s="169">
        <v>11.382718568062641</v>
      </c>
      <c r="W17" s="169">
        <v>11.382718568062645</v>
      </c>
      <c r="X17" s="169">
        <v>11.382718568062641</v>
      </c>
      <c r="Y17" s="169">
        <v>11.382718568062636</v>
      </c>
      <c r="Z17" s="169">
        <v>11.382718568062641</v>
      </c>
      <c r="AA17" s="169">
        <v>11.382718568062646</v>
      </c>
      <c r="AB17" s="169">
        <v>11.382718568062641</v>
      </c>
      <c r="AC17" s="169">
        <v>11.38271856806263</v>
      </c>
    </row>
    <row r="18" spans="1:29" x14ac:dyDescent="0.3">
      <c r="A18" s="93"/>
      <c r="B18" s="125" t="s">
        <v>9</v>
      </c>
      <c r="C18" s="125" t="s">
        <v>10</v>
      </c>
      <c r="D18" s="125" t="s">
        <v>89</v>
      </c>
      <c r="E18" s="126"/>
      <c r="F18" s="169">
        <v>1.1822483319961241</v>
      </c>
      <c r="G18" s="169">
        <v>1.197818304133444</v>
      </c>
      <c r="H18" s="169">
        <v>1.2135930944019933</v>
      </c>
      <c r="I18" s="169">
        <v>1.2295749486517167</v>
      </c>
      <c r="J18" s="169">
        <v>1.2295749486517167</v>
      </c>
      <c r="K18" s="169">
        <v>1.2295749486517167</v>
      </c>
      <c r="L18" s="169">
        <v>1.2295749486517167</v>
      </c>
      <c r="M18" s="169">
        <v>1.2295749486517167</v>
      </c>
      <c r="N18" s="169">
        <v>1.2295749486517167</v>
      </c>
      <c r="O18" s="169">
        <v>1.2295749486517167</v>
      </c>
      <c r="P18" s="169">
        <v>1.2295749486517167</v>
      </c>
      <c r="Q18" s="169">
        <v>1.2295749486517167</v>
      </c>
      <c r="R18" s="169">
        <v>1.2295749486517167</v>
      </c>
      <c r="S18" s="169">
        <v>1.2295749486517167</v>
      </c>
      <c r="T18" s="169">
        <v>1.2295749486517167</v>
      </c>
      <c r="U18" s="169">
        <v>1.2295749486517167</v>
      </c>
      <c r="V18" s="169">
        <v>1.2295749486517167</v>
      </c>
      <c r="W18" s="169">
        <v>1.2295749486517167</v>
      </c>
      <c r="X18" s="169">
        <v>1.2295749486517167</v>
      </c>
      <c r="Y18" s="169">
        <v>1.2295749486517167</v>
      </c>
      <c r="Z18" s="169">
        <v>1.2295749486517167</v>
      </c>
      <c r="AA18" s="169">
        <v>1.2295749486517167</v>
      </c>
      <c r="AB18" s="169">
        <v>1.2295749486517167</v>
      </c>
      <c r="AC18" s="169">
        <v>1.2295749486517167</v>
      </c>
    </row>
    <row r="19" spans="1:29" x14ac:dyDescent="0.3">
      <c r="A19" s="93"/>
      <c r="B19" s="125" t="s">
        <v>192</v>
      </c>
      <c r="C19" s="125" t="s">
        <v>243</v>
      </c>
      <c r="D19" s="125" t="s">
        <v>89</v>
      </c>
      <c r="E19" s="126"/>
      <c r="F19" s="169">
        <v>0</v>
      </c>
      <c r="G19" s="169">
        <v>0</v>
      </c>
      <c r="H19" s="169">
        <v>0</v>
      </c>
      <c r="I19" s="169">
        <v>0</v>
      </c>
      <c r="J19" s="169">
        <v>0</v>
      </c>
      <c r="K19" s="169">
        <v>0</v>
      </c>
      <c r="L19" s="169">
        <v>0</v>
      </c>
      <c r="M19" s="169">
        <v>0</v>
      </c>
      <c r="N19" s="169">
        <v>0</v>
      </c>
      <c r="O19" s="169">
        <v>5.1172397076224208</v>
      </c>
      <c r="P19" s="169">
        <v>5.1172397076224208</v>
      </c>
      <c r="Q19" s="169">
        <v>5.1172397076224208</v>
      </c>
      <c r="R19" s="169">
        <v>5.1172397076224208</v>
      </c>
      <c r="S19" s="169">
        <v>5.1172397076224208</v>
      </c>
      <c r="T19" s="169">
        <v>5.1172397076224208</v>
      </c>
      <c r="U19" s="169">
        <v>5.1172397076224208</v>
      </c>
      <c r="V19" s="169">
        <v>5.1172397076224208</v>
      </c>
      <c r="W19" s="169">
        <v>5.1172397076224208</v>
      </c>
      <c r="X19" s="169">
        <v>5.1172397076224208</v>
      </c>
      <c r="Y19" s="169">
        <v>5.1172397076224208</v>
      </c>
      <c r="Z19" s="169">
        <v>5.1172397076224208</v>
      </c>
      <c r="AA19" s="169">
        <v>5.1172397076224208</v>
      </c>
      <c r="AB19" s="169">
        <v>5.1172397076224208</v>
      </c>
      <c r="AC19" s="169">
        <v>5.1172397076224208</v>
      </c>
    </row>
    <row r="20" spans="1:29" x14ac:dyDescent="0.3">
      <c r="A20" s="93"/>
      <c r="B20" s="125" t="s">
        <v>142</v>
      </c>
      <c r="C20" s="125" t="s">
        <v>143</v>
      </c>
      <c r="D20" s="125" t="s">
        <v>90</v>
      </c>
      <c r="E20" s="126"/>
      <c r="F20" s="169">
        <v>358.91512632999996</v>
      </c>
      <c r="G20" s="169">
        <v>358.91512632999996</v>
      </c>
      <c r="H20" s="169">
        <v>358.91512632999996</v>
      </c>
      <c r="I20" s="169">
        <v>358.91512632999996</v>
      </c>
      <c r="J20" s="169">
        <v>358.91512632999996</v>
      </c>
      <c r="K20" s="169">
        <v>358.91512632999996</v>
      </c>
      <c r="L20" s="169">
        <v>358.91512632999996</v>
      </c>
      <c r="M20" s="169">
        <v>358.91512632999996</v>
      </c>
      <c r="N20" s="169">
        <v>358.91512632999996</v>
      </c>
      <c r="O20" s="169">
        <v>358.91512632999996</v>
      </c>
      <c r="P20" s="169">
        <v>358.91512632999996</v>
      </c>
      <c r="Q20" s="169">
        <v>358.91512632999996</v>
      </c>
      <c r="R20" s="169">
        <v>358.91512632999996</v>
      </c>
      <c r="S20" s="169">
        <v>358.91512632999996</v>
      </c>
      <c r="T20" s="169">
        <v>358.91512632999996</v>
      </c>
      <c r="U20" s="169">
        <v>358.91512632999996</v>
      </c>
      <c r="V20" s="169">
        <v>358.91512632999996</v>
      </c>
      <c r="W20" s="169">
        <v>358.91512632999996</v>
      </c>
      <c r="X20" s="169">
        <v>358.91512632999996</v>
      </c>
      <c r="Y20" s="169">
        <v>358.91512632999996</v>
      </c>
      <c r="Z20" s="169">
        <v>358.91512632999996</v>
      </c>
      <c r="AA20" s="169">
        <v>358.91512632999996</v>
      </c>
      <c r="AB20" s="169">
        <v>358.91512632999996</v>
      </c>
      <c r="AC20" s="169">
        <v>358.91512632999996</v>
      </c>
    </row>
    <row r="21" spans="1:29" customFormat="1" ht="6.75" customHeight="1" x14ac:dyDescent="0.25">
      <c r="B21" s="4"/>
      <c r="C21" s="4"/>
      <c r="D21" s="4"/>
      <c r="E21" s="127"/>
      <c r="F21" s="128"/>
      <c r="G21" s="128"/>
      <c r="H21" s="128"/>
      <c r="I21" s="128"/>
      <c r="J21" s="128"/>
      <c r="K21" s="128"/>
      <c r="L21" s="128"/>
      <c r="M21" s="128"/>
      <c r="N21" s="128"/>
      <c r="O21" s="128"/>
      <c r="P21" s="128"/>
      <c r="Q21" s="128"/>
      <c r="R21" s="128"/>
      <c r="S21" s="128"/>
      <c r="T21" s="128"/>
      <c r="U21" s="128"/>
    </row>
    <row r="22" spans="1:29" ht="28.5" customHeight="1" x14ac:dyDescent="0.3">
      <c r="B22" s="242" t="s">
        <v>37</v>
      </c>
      <c r="C22" s="242"/>
      <c r="D22" s="242"/>
      <c r="E22" s="126"/>
      <c r="F22" s="203">
        <f t="shared" ref="F22:AC22" si="11">+SUM(F7:F20)</f>
        <v>456.51518149011252</v>
      </c>
      <c r="G22" s="203">
        <f t="shared" si="11"/>
        <v>680.87982721890558</v>
      </c>
      <c r="H22" s="203">
        <f t="shared" si="11"/>
        <v>1939.3827982978742</v>
      </c>
      <c r="I22" s="203">
        <f t="shared" si="11"/>
        <v>501.69202307811224</v>
      </c>
      <c r="J22" s="203">
        <f t="shared" si="11"/>
        <v>701.53026999118924</v>
      </c>
      <c r="K22" s="203">
        <f t="shared" si="11"/>
        <v>6448.1555193671311</v>
      </c>
      <c r="L22" s="203">
        <f t="shared" si="11"/>
        <v>505.19541952811221</v>
      </c>
      <c r="M22" s="203">
        <f t="shared" si="11"/>
        <v>705.05168286238904</v>
      </c>
      <c r="N22" s="203">
        <f t="shared" si="11"/>
        <v>1947.2106115681124</v>
      </c>
      <c r="O22" s="203">
        <f t="shared" si="11"/>
        <v>510.3354936657347</v>
      </c>
      <c r="P22" s="203">
        <f t="shared" si="11"/>
        <v>578.56773647741363</v>
      </c>
      <c r="Q22" s="203">
        <f t="shared" si="11"/>
        <v>6326.5434043675468</v>
      </c>
      <c r="R22" s="203">
        <f t="shared" si="11"/>
        <v>382.47760448433672</v>
      </c>
      <c r="S22" s="203">
        <f t="shared" si="11"/>
        <v>582.08914934861366</v>
      </c>
      <c r="T22" s="203">
        <f t="shared" si="11"/>
        <v>1385.3946595543368</v>
      </c>
      <c r="U22" s="203">
        <f t="shared" si="11"/>
        <v>382.66766279433676</v>
      </c>
      <c r="V22" s="203">
        <f t="shared" si="11"/>
        <v>578.56773647741363</v>
      </c>
      <c r="W22" s="203">
        <f t="shared" si="11"/>
        <v>1385.3946595543368</v>
      </c>
      <c r="X22" s="203">
        <f t="shared" si="11"/>
        <v>382.73962793433674</v>
      </c>
      <c r="Y22" s="203">
        <f t="shared" si="11"/>
        <v>380.18298197113671</v>
      </c>
      <c r="Z22" s="203">
        <f t="shared" si="11"/>
        <v>783.19914797100341</v>
      </c>
      <c r="AA22" s="203">
        <f t="shared" si="11"/>
        <v>382.89294967433676</v>
      </c>
      <c r="AB22" s="203">
        <f t="shared" si="11"/>
        <v>376.64465955433673</v>
      </c>
      <c r="AC22" s="203">
        <f t="shared" si="11"/>
        <v>37691.420659554336</v>
      </c>
    </row>
    <row r="23" spans="1:29" x14ac:dyDescent="0.3">
      <c r="B23" s="241" t="s">
        <v>183</v>
      </c>
      <c r="C23" s="241"/>
      <c r="D23" s="241"/>
      <c r="E23" s="126"/>
      <c r="F23" s="126"/>
      <c r="G23" s="126"/>
      <c r="H23" s="126"/>
      <c r="I23" s="126"/>
      <c r="J23" s="126"/>
      <c r="K23" s="126"/>
      <c r="L23" s="126"/>
      <c r="M23" s="126"/>
      <c r="N23" s="126"/>
      <c r="O23" s="126"/>
      <c r="P23" s="126"/>
      <c r="Q23" s="126"/>
    </row>
    <row r="24" spans="1:29" x14ac:dyDescent="0.3">
      <c r="B24" s="241"/>
      <c r="C24" s="241"/>
      <c r="D24" s="241"/>
      <c r="E24" s="126"/>
    </row>
    <row r="25" spans="1:29" ht="16.5" customHeight="1" x14ac:dyDescent="0.3">
      <c r="B25" s="241"/>
      <c r="C25" s="241"/>
      <c r="D25" s="241"/>
      <c r="E25" s="126"/>
    </row>
    <row r="26" spans="1:29" x14ac:dyDescent="0.3">
      <c r="B26" s="241"/>
      <c r="C26" s="241"/>
      <c r="D26" s="241"/>
      <c r="E26" s="126"/>
    </row>
    <row r="27" spans="1:29" x14ac:dyDescent="0.3">
      <c r="B27" s="129"/>
      <c r="C27" s="129"/>
      <c r="D27" s="129"/>
      <c r="E27" s="126"/>
    </row>
    <row r="28" spans="1:29" x14ac:dyDescent="0.3">
      <c r="B28" s="123"/>
      <c r="C28" s="129"/>
      <c r="D28" s="129"/>
      <c r="E28" s="126"/>
    </row>
    <row r="29" spans="1:29" ht="30.75" customHeight="1" x14ac:dyDescent="0.3">
      <c r="B29" s="238" t="s">
        <v>98</v>
      </c>
      <c r="C29" s="238"/>
      <c r="D29" s="238"/>
      <c r="E29" s="126"/>
      <c r="F29" s="124"/>
      <c r="G29" s="124"/>
      <c r="H29" s="124"/>
      <c r="I29" s="124"/>
      <c r="J29" s="124"/>
      <c r="K29" s="124"/>
      <c r="L29" s="124"/>
      <c r="M29" s="124"/>
      <c r="N29" s="124"/>
      <c r="O29" s="124"/>
      <c r="P29" s="124"/>
      <c r="Q29" s="124"/>
    </row>
    <row r="30" spans="1:29" x14ac:dyDescent="0.3">
      <c r="B30" s="239" t="s">
        <v>0</v>
      </c>
      <c r="C30" s="236" t="s">
        <v>1</v>
      </c>
      <c r="D30" s="236" t="s">
        <v>95</v>
      </c>
      <c r="E30" s="126"/>
      <c r="F30" s="204">
        <v>2024</v>
      </c>
      <c r="G30" s="204">
        <v>2024</v>
      </c>
      <c r="H30" s="204">
        <v>2024</v>
      </c>
      <c r="I30" s="204">
        <v>2024</v>
      </c>
      <c r="J30" s="204">
        <v>2024</v>
      </c>
      <c r="K30" s="204">
        <v>2024</v>
      </c>
      <c r="L30" s="204">
        <v>2024</v>
      </c>
      <c r="M30" s="204">
        <v>2024</v>
      </c>
      <c r="N30" s="204">
        <v>2024</v>
      </c>
      <c r="O30" s="204">
        <v>2024</v>
      </c>
      <c r="P30" s="204">
        <v>2024</v>
      </c>
      <c r="Q30" s="204">
        <v>2024</v>
      </c>
      <c r="R30" s="204">
        <v>2025</v>
      </c>
      <c r="S30" s="204">
        <v>2025</v>
      </c>
      <c r="T30" s="204">
        <v>2025</v>
      </c>
      <c r="U30" s="204">
        <v>2025</v>
      </c>
      <c r="V30" s="204">
        <v>2025</v>
      </c>
      <c r="W30" s="204">
        <v>2025</v>
      </c>
      <c r="X30" s="204">
        <v>2025</v>
      </c>
      <c r="Y30" s="204">
        <v>2025</v>
      </c>
      <c r="Z30" s="204">
        <v>2025</v>
      </c>
      <c r="AA30" s="204">
        <v>2025</v>
      </c>
      <c r="AB30" s="204">
        <v>2025</v>
      </c>
      <c r="AC30" s="204">
        <v>2025</v>
      </c>
    </row>
    <row r="31" spans="1:29" x14ac:dyDescent="0.3">
      <c r="B31" s="240"/>
      <c r="C31" s="237"/>
      <c r="D31" s="237"/>
      <c r="E31" s="126"/>
      <c r="F31" s="204">
        <v>1</v>
      </c>
      <c r="G31" s="204">
        <f>+F31+1</f>
        <v>2</v>
      </c>
      <c r="H31" s="204">
        <f t="shared" ref="H31:Q31" si="12">+G31+1</f>
        <v>3</v>
      </c>
      <c r="I31" s="204">
        <f t="shared" si="12"/>
        <v>4</v>
      </c>
      <c r="J31" s="204">
        <f t="shared" si="12"/>
        <v>5</v>
      </c>
      <c r="K31" s="204">
        <f t="shared" si="12"/>
        <v>6</v>
      </c>
      <c r="L31" s="204">
        <f t="shared" si="12"/>
        <v>7</v>
      </c>
      <c r="M31" s="204">
        <f t="shared" si="12"/>
        <v>8</v>
      </c>
      <c r="N31" s="204">
        <f t="shared" si="12"/>
        <v>9</v>
      </c>
      <c r="O31" s="204">
        <f t="shared" si="12"/>
        <v>10</v>
      </c>
      <c r="P31" s="204">
        <f t="shared" si="12"/>
        <v>11</v>
      </c>
      <c r="Q31" s="204">
        <f t="shared" si="12"/>
        <v>12</v>
      </c>
      <c r="R31" s="204">
        <v>1</v>
      </c>
      <c r="S31" s="204">
        <f>+R31+1</f>
        <v>2</v>
      </c>
      <c r="T31" s="204">
        <f t="shared" ref="T31" si="13">+S31+1</f>
        <v>3</v>
      </c>
      <c r="U31" s="204">
        <f t="shared" ref="U31" si="14">+T31+1</f>
        <v>4</v>
      </c>
      <c r="V31" s="204">
        <f t="shared" ref="V31" si="15">+U31+1</f>
        <v>5</v>
      </c>
      <c r="W31" s="204">
        <f t="shared" ref="W31" si="16">+V31+1</f>
        <v>6</v>
      </c>
      <c r="X31" s="204">
        <f t="shared" ref="X31" si="17">+W31+1</f>
        <v>7</v>
      </c>
      <c r="Y31" s="204">
        <f t="shared" ref="Y31" si="18">+X31+1</f>
        <v>8</v>
      </c>
      <c r="Z31" s="204">
        <f t="shared" ref="Z31" si="19">+Y31+1</f>
        <v>9</v>
      </c>
      <c r="AA31" s="204">
        <f t="shared" ref="AA31" si="20">+Z31+1</f>
        <v>10</v>
      </c>
      <c r="AB31" s="204">
        <f t="shared" ref="AB31" si="21">+AA31+1</f>
        <v>11</v>
      </c>
      <c r="AC31" s="204">
        <f t="shared" ref="AC31" si="22">+AB31+1</f>
        <v>12</v>
      </c>
    </row>
    <row r="32" spans="1:29" x14ac:dyDescent="0.3">
      <c r="A32" s="19" t="s">
        <v>40</v>
      </c>
      <c r="B32" s="125" t="s">
        <v>13</v>
      </c>
      <c r="C32" s="125" t="s">
        <v>14</v>
      </c>
      <c r="D32" s="125" t="s">
        <v>92</v>
      </c>
      <c r="E32" s="126"/>
      <c r="F32" s="15">
        <v>0</v>
      </c>
      <c r="G32" s="15">
        <v>0</v>
      </c>
      <c r="H32" s="15">
        <v>0</v>
      </c>
      <c r="I32" s="15">
        <v>0</v>
      </c>
      <c r="J32" s="15">
        <v>0</v>
      </c>
      <c r="K32" s="15">
        <v>1.4257660471664431</v>
      </c>
      <c r="L32" s="15">
        <v>0</v>
      </c>
      <c r="M32" s="15">
        <v>0</v>
      </c>
      <c r="N32" s="15">
        <v>0</v>
      </c>
      <c r="O32" s="15">
        <v>0</v>
      </c>
      <c r="P32" s="15">
        <v>0</v>
      </c>
      <c r="Q32" s="15">
        <v>1.4257660471664431</v>
      </c>
      <c r="R32" s="15">
        <v>0</v>
      </c>
      <c r="S32" s="15">
        <v>0</v>
      </c>
      <c r="T32" s="15">
        <v>0</v>
      </c>
      <c r="U32" s="15">
        <v>0</v>
      </c>
      <c r="V32" s="15">
        <v>0</v>
      </c>
      <c r="W32" s="15">
        <v>1.4257660471664431</v>
      </c>
      <c r="X32" s="15">
        <v>0</v>
      </c>
      <c r="Y32" s="15">
        <v>0</v>
      </c>
      <c r="Z32" s="15">
        <v>0</v>
      </c>
      <c r="AA32" s="15">
        <v>0</v>
      </c>
      <c r="AB32" s="15">
        <v>0</v>
      </c>
      <c r="AC32" s="15">
        <v>1.4257660471664431</v>
      </c>
    </row>
    <row r="33" spans="1:29" x14ac:dyDescent="0.3">
      <c r="A33" s="19" t="s">
        <v>40</v>
      </c>
      <c r="B33" s="125" t="s">
        <v>19</v>
      </c>
      <c r="C33" s="125" t="s">
        <v>20</v>
      </c>
      <c r="D33" s="125" t="s">
        <v>92</v>
      </c>
      <c r="E33" s="126"/>
      <c r="F33" s="15">
        <v>0</v>
      </c>
      <c r="G33" s="15">
        <v>1.2705903105221876</v>
      </c>
      <c r="H33" s="15">
        <v>0</v>
      </c>
      <c r="I33" s="15">
        <v>0</v>
      </c>
      <c r="J33" s="15">
        <v>0</v>
      </c>
      <c r="K33" s="15">
        <v>0</v>
      </c>
      <c r="L33" s="15">
        <v>0</v>
      </c>
      <c r="M33" s="15">
        <v>1.2705903105221876</v>
      </c>
      <c r="N33" s="15">
        <v>0</v>
      </c>
      <c r="O33" s="15">
        <v>0</v>
      </c>
      <c r="P33" s="15">
        <v>0</v>
      </c>
      <c r="Q33" s="15">
        <v>0</v>
      </c>
      <c r="R33" s="15">
        <v>0</v>
      </c>
      <c r="S33" s="15">
        <v>1.2705903105221876</v>
      </c>
      <c r="T33" s="15">
        <v>0</v>
      </c>
      <c r="U33" s="15">
        <v>0</v>
      </c>
      <c r="V33" s="15">
        <v>0</v>
      </c>
      <c r="W33" s="15">
        <v>0</v>
      </c>
      <c r="X33" s="15">
        <v>0</v>
      </c>
      <c r="Y33" s="15">
        <v>1.2705903105221876</v>
      </c>
      <c r="Z33" s="15">
        <v>0</v>
      </c>
      <c r="AA33" s="15">
        <v>0</v>
      </c>
      <c r="AB33" s="15">
        <v>0</v>
      </c>
      <c r="AC33" s="15">
        <v>0</v>
      </c>
    </row>
    <row r="34" spans="1:29" x14ac:dyDescent="0.3">
      <c r="A34" s="19" t="s">
        <v>40</v>
      </c>
      <c r="B34" s="125" t="s">
        <v>15</v>
      </c>
      <c r="C34" s="125" t="s">
        <v>16</v>
      </c>
      <c r="D34" s="125" t="s">
        <v>92</v>
      </c>
      <c r="E34" s="126"/>
      <c r="F34" s="15">
        <v>0</v>
      </c>
      <c r="G34" s="15">
        <v>0</v>
      </c>
      <c r="H34" s="15">
        <v>0</v>
      </c>
      <c r="I34" s="15">
        <v>1.44594277</v>
      </c>
      <c r="J34" s="15">
        <v>0</v>
      </c>
      <c r="K34" s="15">
        <v>0</v>
      </c>
      <c r="L34" s="15">
        <v>0</v>
      </c>
      <c r="M34" s="15">
        <v>0</v>
      </c>
      <c r="N34" s="15">
        <v>0</v>
      </c>
      <c r="O34" s="15">
        <v>1.445942759999999</v>
      </c>
      <c r="P34" s="15">
        <v>0</v>
      </c>
      <c r="Q34" s="15">
        <v>0</v>
      </c>
      <c r="R34" s="15">
        <v>0</v>
      </c>
      <c r="S34" s="15">
        <v>0</v>
      </c>
      <c r="T34" s="15">
        <v>0</v>
      </c>
      <c r="U34" s="15">
        <v>1.445942759999999</v>
      </c>
      <c r="V34" s="15">
        <v>0</v>
      </c>
      <c r="W34" s="15">
        <v>0</v>
      </c>
      <c r="X34" s="15">
        <v>0</v>
      </c>
      <c r="Y34" s="15">
        <v>0</v>
      </c>
      <c r="Z34" s="15">
        <v>0</v>
      </c>
      <c r="AA34" s="15">
        <v>1.445942759999999</v>
      </c>
      <c r="AB34" s="15">
        <v>0</v>
      </c>
      <c r="AC34" s="15">
        <v>0</v>
      </c>
    </row>
    <row r="35" spans="1:29" x14ac:dyDescent="0.3">
      <c r="A35" s="19" t="s">
        <v>40</v>
      </c>
      <c r="B35" s="125" t="s">
        <v>17</v>
      </c>
      <c r="C35" s="125" t="s">
        <v>18</v>
      </c>
      <c r="D35" s="125" t="s">
        <v>92</v>
      </c>
      <c r="E35" s="126"/>
      <c r="F35" s="15">
        <v>0</v>
      </c>
      <c r="G35" s="15">
        <v>2.4354049257142849</v>
      </c>
      <c r="H35" s="15">
        <v>0</v>
      </c>
      <c r="I35" s="15">
        <v>0</v>
      </c>
      <c r="J35" s="15">
        <v>0</v>
      </c>
      <c r="K35" s="15">
        <v>0</v>
      </c>
      <c r="L35" s="15">
        <v>0</v>
      </c>
      <c r="M35" s="15">
        <v>2.4354049257142849</v>
      </c>
      <c r="N35" s="15">
        <v>0</v>
      </c>
      <c r="O35" s="15">
        <v>0</v>
      </c>
      <c r="P35" s="15">
        <v>0</v>
      </c>
      <c r="Q35" s="15">
        <v>0</v>
      </c>
      <c r="R35" s="15">
        <v>0</v>
      </c>
      <c r="S35" s="15">
        <v>2.4354049257142849</v>
      </c>
      <c r="T35" s="15">
        <v>0</v>
      </c>
      <c r="U35" s="15">
        <v>0</v>
      </c>
      <c r="V35" s="15">
        <v>0</v>
      </c>
      <c r="W35" s="15">
        <v>0</v>
      </c>
      <c r="X35" s="15">
        <v>0</v>
      </c>
      <c r="Y35" s="15">
        <v>2.4354049257142849</v>
      </c>
      <c r="Z35" s="15">
        <v>0</v>
      </c>
      <c r="AA35" s="15">
        <v>0</v>
      </c>
      <c r="AB35" s="15">
        <v>0</v>
      </c>
      <c r="AC35" s="15">
        <v>0</v>
      </c>
    </row>
    <row r="36" spans="1:29" x14ac:dyDescent="0.3">
      <c r="A36" s="19" t="s">
        <v>40</v>
      </c>
      <c r="B36" s="125" t="s">
        <v>23</v>
      </c>
      <c r="C36" s="125" t="s">
        <v>24</v>
      </c>
      <c r="D36" s="125" t="s">
        <v>92</v>
      </c>
      <c r="E36" s="126"/>
      <c r="F36" s="15">
        <v>0</v>
      </c>
      <c r="G36" s="15">
        <v>0</v>
      </c>
      <c r="H36" s="15">
        <v>0</v>
      </c>
      <c r="I36" s="15">
        <v>0.3826226830985438</v>
      </c>
      <c r="J36" s="15">
        <v>0</v>
      </c>
      <c r="K36" s="15">
        <v>0</v>
      </c>
      <c r="L36" s="15">
        <v>0</v>
      </c>
      <c r="M36" s="15">
        <v>0</v>
      </c>
      <c r="N36" s="15">
        <v>0</v>
      </c>
      <c r="O36" s="15">
        <v>0.37869250107105684</v>
      </c>
      <c r="P36" s="15">
        <v>0</v>
      </c>
      <c r="Q36" s="15">
        <v>0</v>
      </c>
      <c r="R36" s="15">
        <v>0</v>
      </c>
      <c r="S36" s="15">
        <v>0</v>
      </c>
      <c r="T36" s="15">
        <v>0</v>
      </c>
      <c r="U36" s="15">
        <v>0.37869250107105684</v>
      </c>
      <c r="V36" s="15">
        <v>0</v>
      </c>
      <c r="W36" s="15">
        <v>0</v>
      </c>
      <c r="X36" s="15">
        <v>0</v>
      </c>
      <c r="Y36" s="15">
        <v>0</v>
      </c>
      <c r="Z36" s="15">
        <v>0</v>
      </c>
      <c r="AA36" s="15">
        <v>0.37869250107105684</v>
      </c>
      <c r="AB36" s="15">
        <v>0</v>
      </c>
      <c r="AC36" s="15">
        <v>0</v>
      </c>
    </row>
    <row r="37" spans="1:29" x14ac:dyDescent="0.3">
      <c r="A37" s="19" t="s">
        <v>40</v>
      </c>
      <c r="B37" s="125" t="s">
        <v>21</v>
      </c>
      <c r="C37" s="125" t="s">
        <v>22</v>
      </c>
      <c r="D37" s="125" t="s">
        <v>92</v>
      </c>
      <c r="E37" s="126"/>
      <c r="F37" s="15">
        <v>0</v>
      </c>
      <c r="G37" s="15">
        <v>0</v>
      </c>
      <c r="H37" s="15">
        <v>0</v>
      </c>
      <c r="I37" s="15">
        <v>0</v>
      </c>
      <c r="J37" s="15">
        <v>0.19690853958187118</v>
      </c>
      <c r="K37" s="15">
        <v>0</v>
      </c>
      <c r="L37" s="15">
        <v>0</v>
      </c>
      <c r="M37" s="15">
        <v>0</v>
      </c>
      <c r="N37" s="15">
        <v>0</v>
      </c>
      <c r="O37" s="15">
        <v>0</v>
      </c>
      <c r="P37" s="15">
        <v>0.19690853958187118</v>
      </c>
      <c r="Q37" s="15">
        <v>0</v>
      </c>
      <c r="R37" s="15">
        <v>0</v>
      </c>
      <c r="S37" s="15">
        <v>0</v>
      </c>
      <c r="T37" s="15">
        <v>0</v>
      </c>
      <c r="U37" s="15">
        <v>0</v>
      </c>
      <c r="V37" s="15">
        <v>0.19690853958187118</v>
      </c>
      <c r="W37" s="15">
        <v>0</v>
      </c>
      <c r="X37" s="15">
        <v>0</v>
      </c>
      <c r="Y37" s="15">
        <v>0</v>
      </c>
      <c r="Z37" s="15">
        <v>0</v>
      </c>
      <c r="AA37" s="15">
        <v>0</v>
      </c>
      <c r="AB37" s="15">
        <v>0.19690853958187116</v>
      </c>
      <c r="AC37" s="15">
        <v>0</v>
      </c>
    </row>
    <row r="38" spans="1:29" x14ac:dyDescent="0.3">
      <c r="A38" s="19" t="s">
        <v>40</v>
      </c>
      <c r="B38" s="125" t="s">
        <v>125</v>
      </c>
      <c r="C38" s="125" t="s">
        <v>126</v>
      </c>
      <c r="D38" s="125" t="s">
        <v>92</v>
      </c>
      <c r="E38" s="126"/>
      <c r="F38" s="15">
        <v>0</v>
      </c>
      <c r="G38" s="15">
        <v>0</v>
      </c>
      <c r="H38" s="15">
        <v>0</v>
      </c>
      <c r="I38" s="15">
        <v>0</v>
      </c>
      <c r="J38" s="15">
        <v>0</v>
      </c>
      <c r="K38" s="15">
        <v>0</v>
      </c>
      <c r="L38" s="15">
        <v>0</v>
      </c>
      <c r="M38" s="15">
        <v>0</v>
      </c>
      <c r="N38" s="15">
        <v>0</v>
      </c>
      <c r="O38" s="15">
        <v>0</v>
      </c>
      <c r="P38" s="15">
        <v>0</v>
      </c>
      <c r="Q38" s="15">
        <v>0</v>
      </c>
      <c r="R38" s="15">
        <v>0</v>
      </c>
      <c r="S38" s="15">
        <v>0</v>
      </c>
      <c r="T38" s="15">
        <v>0</v>
      </c>
      <c r="U38" s="15">
        <v>0</v>
      </c>
      <c r="V38" s="15">
        <v>0.68287500000000001</v>
      </c>
      <c r="W38" s="15">
        <v>0</v>
      </c>
      <c r="X38" s="15">
        <v>0</v>
      </c>
      <c r="Y38" s="15">
        <v>0</v>
      </c>
      <c r="Z38" s="15">
        <v>0</v>
      </c>
      <c r="AA38" s="15">
        <v>0</v>
      </c>
      <c r="AB38" s="15">
        <v>0.68287500000000001</v>
      </c>
      <c r="AC38" s="15">
        <v>0</v>
      </c>
    </row>
    <row r="39" spans="1:29" x14ac:dyDescent="0.3">
      <c r="A39" s="19"/>
      <c r="B39" s="125" t="s">
        <v>145</v>
      </c>
      <c r="C39" s="125" t="s">
        <v>217</v>
      </c>
      <c r="D39" s="125" t="s">
        <v>92</v>
      </c>
      <c r="E39" s="126"/>
      <c r="F39" s="15">
        <v>0</v>
      </c>
      <c r="G39" s="15">
        <v>0</v>
      </c>
      <c r="H39" s="15">
        <v>0</v>
      </c>
      <c r="I39" s="15">
        <v>0</v>
      </c>
      <c r="J39" s="15">
        <v>0</v>
      </c>
      <c r="K39" s="15">
        <v>0</v>
      </c>
      <c r="L39" s="15">
        <v>0</v>
      </c>
      <c r="M39" s="15">
        <v>0</v>
      </c>
      <c r="N39" s="15">
        <v>0</v>
      </c>
      <c r="O39" s="15">
        <v>0</v>
      </c>
      <c r="P39" s="15">
        <v>0</v>
      </c>
      <c r="Q39" s="15">
        <v>0</v>
      </c>
      <c r="R39" s="15">
        <v>0</v>
      </c>
      <c r="S39" s="15">
        <v>0</v>
      </c>
      <c r="T39" s="15">
        <v>0</v>
      </c>
      <c r="U39" s="15">
        <v>0</v>
      </c>
      <c r="V39" s="15">
        <v>0</v>
      </c>
      <c r="W39" s="15">
        <v>0</v>
      </c>
      <c r="X39" s="15">
        <v>0.20347746753051452</v>
      </c>
      <c r="Y39" s="15">
        <v>0</v>
      </c>
      <c r="Z39" s="15">
        <v>0</v>
      </c>
      <c r="AA39" s="15">
        <v>0</v>
      </c>
      <c r="AB39" s="15">
        <v>0</v>
      </c>
      <c r="AC39" s="15">
        <v>0</v>
      </c>
    </row>
    <row r="40" spans="1:29" x14ac:dyDescent="0.3">
      <c r="A40" s="19" t="s">
        <v>40</v>
      </c>
      <c r="B40" s="125" t="s">
        <v>25</v>
      </c>
      <c r="C40" s="125" t="s">
        <v>26</v>
      </c>
      <c r="D40" s="125" t="s">
        <v>92</v>
      </c>
      <c r="E40" s="126"/>
      <c r="F40" s="15">
        <v>0</v>
      </c>
      <c r="G40" s="15">
        <v>0</v>
      </c>
      <c r="H40" s="15">
        <v>0</v>
      </c>
      <c r="I40" s="15">
        <v>0.12026002000000001</v>
      </c>
      <c r="J40" s="15">
        <v>0</v>
      </c>
      <c r="K40" s="15">
        <v>0</v>
      </c>
      <c r="L40" s="15">
        <v>0</v>
      </c>
      <c r="M40" s="15">
        <v>0</v>
      </c>
      <c r="N40" s="15">
        <v>0</v>
      </c>
      <c r="O40" s="15">
        <v>0.12025969000000042</v>
      </c>
      <c r="P40" s="15">
        <v>0</v>
      </c>
      <c r="Q40" s="15">
        <v>0</v>
      </c>
      <c r="R40" s="15">
        <v>0</v>
      </c>
      <c r="S40" s="15">
        <v>0</v>
      </c>
      <c r="T40" s="15">
        <v>0</v>
      </c>
      <c r="U40" s="15">
        <v>0</v>
      </c>
      <c r="V40" s="15">
        <v>0</v>
      </c>
      <c r="W40" s="15">
        <v>0</v>
      </c>
      <c r="X40" s="15">
        <v>0</v>
      </c>
      <c r="Y40" s="15">
        <v>0</v>
      </c>
      <c r="Z40" s="15">
        <v>0</v>
      </c>
      <c r="AA40" s="15">
        <v>0</v>
      </c>
      <c r="AB40" s="15">
        <v>0</v>
      </c>
      <c r="AC40" s="15">
        <v>0</v>
      </c>
    </row>
    <row r="41" spans="1:29" x14ac:dyDescent="0.3">
      <c r="A41" s="19" t="s">
        <v>40</v>
      </c>
      <c r="B41" s="125" t="s">
        <v>27</v>
      </c>
      <c r="C41" s="180" t="s">
        <v>28</v>
      </c>
      <c r="D41" s="125" t="s">
        <v>92</v>
      </c>
      <c r="E41" s="126"/>
      <c r="F41" s="15">
        <v>0</v>
      </c>
      <c r="G41" s="15">
        <v>0</v>
      </c>
      <c r="H41" s="15">
        <v>6.7520600000000007E-3</v>
      </c>
      <c r="I41" s="15"/>
      <c r="J41" s="15"/>
      <c r="K41" s="15">
        <v>6.7721400000000003E-3</v>
      </c>
      <c r="L41" s="15"/>
      <c r="M41" s="15"/>
      <c r="N41" s="15">
        <v>6.7922900000000003E-3</v>
      </c>
      <c r="O41" s="15"/>
      <c r="P41" s="15"/>
      <c r="Q41" s="15">
        <v>6.8125E-3</v>
      </c>
      <c r="R41" s="15"/>
      <c r="S41" s="15"/>
      <c r="T41" s="15">
        <v>6.8327700000000002E-3</v>
      </c>
      <c r="U41" s="15"/>
      <c r="V41" s="15"/>
      <c r="W41" s="15">
        <v>6.85309E-3</v>
      </c>
      <c r="X41" s="15"/>
      <c r="Y41" s="15"/>
      <c r="Z41" s="15">
        <v>6.8734799999999995E-3</v>
      </c>
      <c r="AA41" s="15"/>
      <c r="AB41" s="15"/>
      <c r="AC41" s="15">
        <v>6.8939300000000004E-3</v>
      </c>
    </row>
    <row r="42" spans="1:29" x14ac:dyDescent="0.3">
      <c r="A42" s="19" t="s">
        <v>40</v>
      </c>
      <c r="B42" s="125" t="s">
        <v>29</v>
      </c>
      <c r="C42" s="180" t="s">
        <v>30</v>
      </c>
      <c r="D42" s="125" t="s">
        <v>92</v>
      </c>
      <c r="E42" s="126"/>
      <c r="F42" s="15">
        <v>0</v>
      </c>
      <c r="G42" s="171">
        <v>0</v>
      </c>
      <c r="H42" s="171">
        <v>0</v>
      </c>
      <c r="I42" s="171">
        <v>0</v>
      </c>
      <c r="J42" s="171">
        <v>0</v>
      </c>
      <c r="K42" s="171">
        <v>0</v>
      </c>
      <c r="L42" s="171">
        <v>0</v>
      </c>
      <c r="M42" s="171">
        <v>0</v>
      </c>
      <c r="N42" s="171">
        <v>6.1915900932780404E-2</v>
      </c>
      <c r="O42" s="171">
        <v>0</v>
      </c>
      <c r="P42" s="171">
        <v>0</v>
      </c>
      <c r="Q42" s="171">
        <v>0</v>
      </c>
      <c r="R42" s="171">
        <v>0</v>
      </c>
      <c r="S42" s="171">
        <v>0</v>
      </c>
      <c r="T42" s="171">
        <v>0</v>
      </c>
      <c r="U42" s="171">
        <v>0</v>
      </c>
      <c r="V42" s="171">
        <v>0</v>
      </c>
      <c r="W42" s="171">
        <v>0</v>
      </c>
      <c r="X42" s="171">
        <v>0</v>
      </c>
      <c r="Y42" s="171">
        <v>0</v>
      </c>
      <c r="Z42" s="171">
        <v>0</v>
      </c>
      <c r="AA42" s="171">
        <v>0</v>
      </c>
      <c r="AB42" s="171">
        <v>0</v>
      </c>
      <c r="AC42" s="171">
        <v>0</v>
      </c>
    </row>
    <row r="43" spans="1:29" x14ac:dyDescent="0.3">
      <c r="A43" s="19" t="s">
        <v>40</v>
      </c>
      <c r="B43" s="125" t="s">
        <v>32</v>
      </c>
      <c r="C43" s="125" t="s">
        <v>33</v>
      </c>
      <c r="D43" s="125" t="s">
        <v>92</v>
      </c>
      <c r="E43" s="126"/>
      <c r="F43" s="15">
        <v>0</v>
      </c>
      <c r="G43" s="15">
        <v>0</v>
      </c>
      <c r="H43" s="15">
        <v>0.89227885142857055</v>
      </c>
      <c r="I43" s="15">
        <v>0</v>
      </c>
      <c r="J43" s="15">
        <v>0</v>
      </c>
      <c r="K43" s="15">
        <v>0</v>
      </c>
      <c r="L43" s="15">
        <v>0</v>
      </c>
      <c r="M43" s="15">
        <v>0</v>
      </c>
      <c r="N43" s="15">
        <v>0.89227885142857055</v>
      </c>
      <c r="O43" s="15">
        <v>0</v>
      </c>
      <c r="P43" s="15">
        <v>0</v>
      </c>
      <c r="Q43" s="15">
        <v>0</v>
      </c>
      <c r="R43" s="15">
        <v>0</v>
      </c>
      <c r="S43" s="15">
        <v>0</v>
      </c>
      <c r="T43" s="15">
        <v>0.89227885142857055</v>
      </c>
      <c r="U43" s="15">
        <v>0</v>
      </c>
      <c r="V43" s="15">
        <v>0</v>
      </c>
      <c r="W43" s="15">
        <v>0</v>
      </c>
      <c r="X43" s="15">
        <v>0</v>
      </c>
      <c r="Y43" s="15">
        <v>0</v>
      </c>
      <c r="Z43" s="15">
        <v>0.89227885142857055</v>
      </c>
      <c r="AA43" s="15">
        <v>0</v>
      </c>
      <c r="AB43" s="15">
        <v>0</v>
      </c>
      <c r="AC43" s="15">
        <v>0</v>
      </c>
    </row>
    <row r="44" spans="1:29" x14ac:dyDescent="0.3">
      <c r="A44" s="19"/>
      <c r="B44" s="125" t="s">
        <v>146</v>
      </c>
      <c r="C44" s="125" t="s">
        <v>147</v>
      </c>
      <c r="D44" s="125" t="s">
        <v>92</v>
      </c>
      <c r="E44" s="130"/>
      <c r="F44" s="15">
        <v>0</v>
      </c>
      <c r="G44" s="15">
        <v>0</v>
      </c>
      <c r="H44" s="15">
        <v>0</v>
      </c>
      <c r="I44" s="15">
        <v>0</v>
      </c>
      <c r="J44" s="15">
        <v>0</v>
      </c>
      <c r="K44" s="15">
        <v>0</v>
      </c>
      <c r="L44" s="15">
        <v>0</v>
      </c>
      <c r="M44" s="15">
        <v>0</v>
      </c>
      <c r="N44" s="15">
        <v>0</v>
      </c>
      <c r="O44" s="15">
        <v>0</v>
      </c>
      <c r="P44" s="15">
        <v>0</v>
      </c>
      <c r="Q44" s="15">
        <v>0</v>
      </c>
      <c r="R44" s="15">
        <v>0</v>
      </c>
      <c r="S44" s="15">
        <v>0</v>
      </c>
      <c r="T44" s="15">
        <v>0</v>
      </c>
      <c r="U44" s="15">
        <v>0</v>
      </c>
      <c r="V44" s="15">
        <v>0</v>
      </c>
      <c r="W44" s="15">
        <v>0</v>
      </c>
      <c r="X44" s="15">
        <v>0</v>
      </c>
      <c r="Y44" s="15">
        <v>0</v>
      </c>
      <c r="Z44" s="15">
        <v>0</v>
      </c>
      <c r="AA44" s="15">
        <v>0</v>
      </c>
      <c r="AB44" s="15">
        <v>0</v>
      </c>
      <c r="AC44" s="15">
        <v>0</v>
      </c>
    </row>
    <row r="45" spans="1:29" x14ac:dyDescent="0.3">
      <c r="A45" s="19"/>
      <c r="B45" s="125" t="s">
        <v>171</v>
      </c>
      <c r="C45" s="125" t="s">
        <v>172</v>
      </c>
      <c r="D45" s="125" t="s">
        <v>92</v>
      </c>
      <c r="E45" s="130"/>
      <c r="F45" s="15">
        <v>0</v>
      </c>
      <c r="G45" s="15">
        <v>0</v>
      </c>
      <c r="H45" s="15">
        <v>0</v>
      </c>
      <c r="I45" s="15">
        <v>0</v>
      </c>
      <c r="J45" s="15">
        <v>0</v>
      </c>
      <c r="K45" s="15">
        <v>0</v>
      </c>
      <c r="L45" s="15">
        <v>0</v>
      </c>
      <c r="M45" s="15">
        <v>0</v>
      </c>
      <c r="N45" s="15">
        <v>0</v>
      </c>
      <c r="O45" s="15">
        <v>0</v>
      </c>
      <c r="P45" s="15">
        <v>0</v>
      </c>
      <c r="Q45" s="15">
        <v>0</v>
      </c>
      <c r="R45" s="15">
        <v>0</v>
      </c>
      <c r="S45" s="15">
        <v>0</v>
      </c>
      <c r="T45" s="15">
        <v>0</v>
      </c>
      <c r="U45" s="15">
        <v>0</v>
      </c>
      <c r="V45" s="15">
        <v>0.18970868291666668</v>
      </c>
      <c r="W45" s="15">
        <v>0</v>
      </c>
      <c r="X45" s="15">
        <v>0</v>
      </c>
      <c r="Y45" s="15">
        <v>0</v>
      </c>
      <c r="Z45" s="15">
        <v>0</v>
      </c>
      <c r="AA45" s="15">
        <v>0</v>
      </c>
      <c r="AB45" s="15">
        <v>0.18970868291666668</v>
      </c>
      <c r="AC45" s="15">
        <v>0</v>
      </c>
    </row>
    <row r="46" spans="1:29" x14ac:dyDescent="0.3">
      <c r="A46" s="19" t="s">
        <v>40</v>
      </c>
      <c r="B46" s="125" t="s">
        <v>124</v>
      </c>
      <c r="C46" s="125" t="s">
        <v>123</v>
      </c>
      <c r="D46" s="125" t="s">
        <v>93</v>
      </c>
      <c r="E46" s="126"/>
      <c r="F46" s="15">
        <v>0</v>
      </c>
      <c r="G46" s="15">
        <v>0</v>
      </c>
      <c r="H46" s="15">
        <v>39.847769230769231</v>
      </c>
      <c r="I46" s="15">
        <v>0</v>
      </c>
      <c r="J46" s="15">
        <v>0</v>
      </c>
      <c r="K46" s="15">
        <v>0</v>
      </c>
      <c r="L46" s="15">
        <v>0</v>
      </c>
      <c r="M46" s="15">
        <v>0</v>
      </c>
      <c r="N46" s="15">
        <v>39.847769230769231</v>
      </c>
      <c r="O46" s="15">
        <v>0</v>
      </c>
      <c r="P46" s="15">
        <v>0</v>
      </c>
      <c r="Q46" s="15">
        <v>0</v>
      </c>
      <c r="R46" s="15">
        <v>0</v>
      </c>
      <c r="S46" s="15">
        <v>0</v>
      </c>
      <c r="T46" s="15">
        <v>39.847769230769231</v>
      </c>
      <c r="U46" s="15">
        <v>0</v>
      </c>
      <c r="V46" s="15">
        <v>0</v>
      </c>
      <c r="W46" s="15">
        <v>0</v>
      </c>
      <c r="X46" s="15">
        <v>0</v>
      </c>
      <c r="Y46" s="15">
        <v>0</v>
      </c>
      <c r="Z46" s="15">
        <v>39.847769230769231</v>
      </c>
      <c r="AA46" s="15">
        <v>0</v>
      </c>
      <c r="AB46" s="15">
        <v>0</v>
      </c>
      <c r="AC46" s="15">
        <v>0</v>
      </c>
    </row>
    <row r="47" spans="1:29" customFormat="1" ht="6.75" customHeight="1" x14ac:dyDescent="0.25">
      <c r="B47" s="131"/>
      <c r="C47" s="4"/>
      <c r="D47" s="4"/>
      <c r="E47" s="127"/>
      <c r="F47" s="128"/>
      <c r="G47" s="128"/>
      <c r="H47" s="128"/>
      <c r="I47" s="128"/>
      <c r="J47" s="128"/>
      <c r="K47" s="128"/>
      <c r="L47" s="128"/>
      <c r="M47" s="128"/>
      <c r="N47" s="128"/>
      <c r="O47" s="128"/>
      <c r="P47" s="128"/>
      <c r="Q47" s="128"/>
      <c r="R47" s="128"/>
      <c r="S47" s="128"/>
      <c r="T47" s="128"/>
      <c r="U47" s="128"/>
    </row>
    <row r="48" spans="1:29" ht="28.5" customHeight="1" x14ac:dyDescent="0.3">
      <c r="B48" s="242" t="s">
        <v>119</v>
      </c>
      <c r="C48" s="242"/>
      <c r="D48" s="242"/>
      <c r="E48" s="132"/>
      <c r="F48" s="203">
        <f t="shared" ref="F48:AC48" si="23">+SUM(F32:F46)</f>
        <v>0</v>
      </c>
      <c r="G48" s="203">
        <f t="shared" si="23"/>
        <v>3.7059952362364728</v>
      </c>
      <c r="H48" s="203">
        <f t="shared" si="23"/>
        <v>40.746800142197799</v>
      </c>
      <c r="I48" s="203">
        <f t="shared" si="23"/>
        <v>1.9488254730985437</v>
      </c>
      <c r="J48" s="203">
        <f t="shared" si="23"/>
        <v>0.19690853958187118</v>
      </c>
      <c r="K48" s="203">
        <f t="shared" si="23"/>
        <v>1.4325381871664431</v>
      </c>
      <c r="L48" s="203">
        <f t="shared" si="23"/>
        <v>0</v>
      </c>
      <c r="M48" s="203">
        <f t="shared" si="23"/>
        <v>3.7059952362364728</v>
      </c>
      <c r="N48" s="203">
        <f t="shared" si="23"/>
        <v>40.808756273130584</v>
      </c>
      <c r="O48" s="203">
        <f t="shared" si="23"/>
        <v>1.9448949510710563</v>
      </c>
      <c r="P48" s="203">
        <f t="shared" si="23"/>
        <v>0.19690853958187118</v>
      </c>
      <c r="Q48" s="203">
        <f t="shared" si="23"/>
        <v>1.4325785471664432</v>
      </c>
      <c r="R48" s="203">
        <f t="shared" si="23"/>
        <v>0</v>
      </c>
      <c r="S48" s="203">
        <f t="shared" si="23"/>
        <v>3.7059952362364728</v>
      </c>
      <c r="T48" s="203">
        <f t="shared" si="23"/>
        <v>40.746880852197805</v>
      </c>
      <c r="U48" s="203">
        <f t="shared" si="23"/>
        <v>1.8246352610710559</v>
      </c>
      <c r="V48" s="203">
        <f t="shared" si="23"/>
        <v>1.0694922224985379</v>
      </c>
      <c r="W48" s="203">
        <f t="shared" si="23"/>
        <v>1.432619137166443</v>
      </c>
      <c r="X48" s="203">
        <f t="shared" si="23"/>
        <v>0.20347746753051452</v>
      </c>
      <c r="Y48" s="203">
        <f t="shared" si="23"/>
        <v>3.7059952362364728</v>
      </c>
      <c r="Z48" s="203">
        <f t="shared" si="23"/>
        <v>40.746921562197798</v>
      </c>
      <c r="AA48" s="203">
        <f t="shared" si="23"/>
        <v>1.8246352610710559</v>
      </c>
      <c r="AB48" s="203">
        <f t="shared" si="23"/>
        <v>1.0694922224985379</v>
      </c>
      <c r="AC48" s="203">
        <f t="shared" si="23"/>
        <v>1.432659977166443</v>
      </c>
    </row>
    <row r="49" spans="2:29" x14ac:dyDescent="0.3">
      <c r="B49" s="4"/>
      <c r="C49" s="4"/>
      <c r="D49" s="4"/>
      <c r="E49" s="126"/>
    </row>
    <row r="50" spans="2:29" x14ac:dyDescent="0.3">
      <c r="B50" s="4"/>
      <c r="C50" s="4"/>
      <c r="D50" s="4"/>
      <c r="E50" s="126"/>
    </row>
    <row r="51" spans="2:29" x14ac:dyDescent="0.3">
      <c r="B51" s="4"/>
      <c r="C51" s="4"/>
      <c r="D51" s="4"/>
    </row>
    <row r="52" spans="2:29" x14ac:dyDescent="0.3">
      <c r="W52" s="123"/>
      <c r="Z52" s="123"/>
      <c r="AC52" s="123"/>
    </row>
  </sheetData>
  <mergeCells count="13">
    <mergeCell ref="B48:D48"/>
    <mergeCell ref="B22:D22"/>
    <mergeCell ref="B30:B31"/>
    <mergeCell ref="C30:C31"/>
    <mergeCell ref="B23:D24"/>
    <mergeCell ref="B1:E1"/>
    <mergeCell ref="D5:D6"/>
    <mergeCell ref="D30:D31"/>
    <mergeCell ref="B4:D4"/>
    <mergeCell ref="B29:D29"/>
    <mergeCell ref="B5:B6"/>
    <mergeCell ref="C5:C6"/>
    <mergeCell ref="B25:D26"/>
  </mergeCells>
  <hyperlinks>
    <hyperlink ref="C7" location="IPVO26!A1" display="IPVO26" xr:uid="{00000000-0004-0000-0100-000002000000}"/>
    <hyperlink ref="C13" location="'PMG25'!A1" display="PMG25" xr:uid="{00000000-0004-0000-0100-000003000000}"/>
    <hyperlink ref="C33" location="BIDF40!A1" display="BIDF40" xr:uid="{00000000-0004-0000-0100-000004000000}"/>
    <hyperlink ref="C40" location="BIDO24!A1" display="BIDO24" xr:uid="{00000000-0004-0000-0100-000005000000}"/>
    <hyperlink ref="C37" location="BIDN32!A1" display="BIDN32" xr:uid="{00000000-0004-0000-0100-000006000000}"/>
    <hyperlink ref="C41" location="BIDS34!A1" display="BIDS34" xr:uid="{00000000-0004-0000-0100-000007000000}"/>
    <hyperlink ref="C42" location="BIDS23!A1" display="BIDS23" xr:uid="{00000000-0004-0000-0100-000008000000}"/>
    <hyperlink ref="C36" location="BIDY42!A1" display="BIDY42" xr:uid="{00000000-0004-0000-0100-000009000000}"/>
    <hyperlink ref="C43" location="BIRS38!A1" display="BIRS38" xr:uid="{00000000-0004-0000-0100-00000A000000}"/>
    <hyperlink ref="C16" location="FFFIRO24!A1" display="FFFIRO24" xr:uid="{00000000-0004-0000-0100-00000B000000}"/>
    <hyperlink ref="C17" location="FFFIRF26!A1" display="FFFIRF26" xr:uid="{00000000-0004-0000-0100-00000C000000}"/>
    <hyperlink ref="C18" location="FFFIRE26!A1" display="FFFIRE26" xr:uid="{00000000-0004-0000-0100-00000D000000}"/>
    <hyperlink ref="C12" location="'PMY25'!A1" display="PMY25" xr:uid="{00000000-0004-0000-0100-00000F000000}"/>
  </hyperlinks>
  <pageMargins left="0.7" right="0.7" top="0.75" bottom="0.75" header="0.3" footer="0.3"/>
  <pageSetup paperSize="9" orientation="portrait" horizontalDpi="4294967295" verticalDpi="4294967295"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K6:K64"/>
  <sheetViews>
    <sheetView showGridLines="0" topLeftCell="A4" workbookViewId="0">
      <selection sqref="A1:H1"/>
    </sheetView>
  </sheetViews>
  <sheetFormatPr baseColWidth="10" defaultRowHeight="15" x14ac:dyDescent="0.25"/>
  <sheetData>
    <row r="6" spans="11:11" x14ac:dyDescent="0.25">
      <c r="K6" s="59">
        <v>1</v>
      </c>
    </row>
    <row r="25" spans="11:11" x14ac:dyDescent="0.25">
      <c r="K25" s="59">
        <v>1</v>
      </c>
    </row>
    <row r="44" spans="11:11" x14ac:dyDescent="0.25">
      <c r="K44" s="59">
        <v>2</v>
      </c>
    </row>
    <row r="64" spans="11:11" x14ac:dyDescent="0.25">
      <c r="K64" s="59">
        <v>2</v>
      </c>
    </row>
  </sheetData>
  <pageMargins left="0.7" right="0.7" top="0.75" bottom="0.75" header="0.3" footer="0.3"/>
  <drawing r:id="rId1"/>
  <legacyDrawing r:id="rId2"/>
  <picture r:id="rId3"/>
  <mc:AlternateContent xmlns:mc="http://schemas.openxmlformats.org/markup-compatibility/2006">
    <mc:Choice Requires="x14">
      <controls>
        <mc:AlternateContent xmlns:mc="http://schemas.openxmlformats.org/markup-compatibility/2006">
          <mc:Choice Requires="x14">
            <control shapeId="12289" r:id="rId4" name="Drop Down 1">
              <controlPr defaultSize="0" autoLine="0" autoPict="0">
                <anchor moveWithCells="1">
                  <from>
                    <xdr:col>1</xdr:col>
                    <xdr:colOff>752475</xdr:colOff>
                    <xdr:row>4</xdr:row>
                    <xdr:rowOff>9525</xdr:rowOff>
                  </from>
                  <to>
                    <xdr:col>5</xdr:col>
                    <xdr:colOff>581025</xdr:colOff>
                    <xdr:row>5</xdr:row>
                    <xdr:rowOff>180975</xdr:rowOff>
                  </to>
                </anchor>
              </controlPr>
            </control>
          </mc:Choice>
        </mc:AlternateContent>
        <mc:AlternateContent xmlns:mc="http://schemas.openxmlformats.org/markup-compatibility/2006">
          <mc:Choice Requires="x14">
            <control shapeId="12291" r:id="rId5" name="Drop Down 3">
              <controlPr defaultSize="0" autoLine="0" autoPict="0">
                <anchor moveWithCells="1">
                  <from>
                    <xdr:col>1</xdr:col>
                    <xdr:colOff>752475</xdr:colOff>
                    <xdr:row>23</xdr:row>
                    <xdr:rowOff>19050</xdr:rowOff>
                  </from>
                  <to>
                    <xdr:col>5</xdr:col>
                    <xdr:colOff>581025</xdr:colOff>
                    <xdr:row>24</xdr:row>
                    <xdr:rowOff>190500</xdr:rowOff>
                  </to>
                </anchor>
              </controlPr>
            </control>
          </mc:Choice>
        </mc:AlternateContent>
        <mc:AlternateContent xmlns:mc="http://schemas.openxmlformats.org/markup-compatibility/2006">
          <mc:Choice Requires="x14">
            <control shapeId="12295" r:id="rId6" name="Drop Down 7">
              <controlPr defaultSize="0" autoLine="0" autoPict="0">
                <anchor moveWithCells="1">
                  <from>
                    <xdr:col>1</xdr:col>
                    <xdr:colOff>752475</xdr:colOff>
                    <xdr:row>41</xdr:row>
                    <xdr:rowOff>114300</xdr:rowOff>
                  </from>
                  <to>
                    <xdr:col>5</xdr:col>
                    <xdr:colOff>581025</xdr:colOff>
                    <xdr:row>43</xdr:row>
                    <xdr:rowOff>95250</xdr:rowOff>
                  </to>
                </anchor>
              </controlPr>
            </control>
          </mc:Choice>
        </mc:AlternateContent>
        <mc:AlternateContent xmlns:mc="http://schemas.openxmlformats.org/markup-compatibility/2006">
          <mc:Choice Requires="x14">
            <control shapeId="12301" r:id="rId7" name="Drop Down 13">
              <controlPr defaultSize="0" autoLine="0" autoPict="0">
                <anchor moveWithCells="1">
                  <from>
                    <xdr:col>1</xdr:col>
                    <xdr:colOff>647700</xdr:colOff>
                    <xdr:row>61</xdr:row>
                    <xdr:rowOff>38100</xdr:rowOff>
                  </from>
                  <to>
                    <xdr:col>5</xdr:col>
                    <xdr:colOff>476250</xdr:colOff>
                    <xdr:row>63</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C57"/>
  <sheetViews>
    <sheetView showGridLines="0" zoomScaleNormal="100" workbookViewId="0">
      <pane xSplit="2" ySplit="1" topLeftCell="C2" activePane="bottomRight" state="frozen"/>
      <selection activeCell="F1" sqref="F1:F1048576"/>
      <selection pane="topRight" activeCell="F1" sqref="F1:F1048576"/>
      <selection pane="bottomLeft" activeCell="F1" sqref="F1:F1048576"/>
      <selection pane="bottomRight"/>
    </sheetView>
  </sheetViews>
  <sheetFormatPr baseColWidth="10" defaultRowHeight="16.5" x14ac:dyDescent="0.3"/>
  <cols>
    <col min="1" max="1" width="5.28515625" style="18" customWidth="1"/>
    <col min="2" max="2" width="43.7109375" style="2" bestFit="1" customWidth="1"/>
    <col min="3" max="3" width="12.5703125" style="2" customWidth="1"/>
    <col min="4" max="4" width="30.85546875" style="2" customWidth="1"/>
    <col min="5" max="5" width="13.7109375" style="1" customWidth="1"/>
    <col min="6" max="16384" width="11.42578125" style="1"/>
  </cols>
  <sheetData>
    <row r="1" spans="1:29" ht="28.5" customHeight="1" x14ac:dyDescent="0.3">
      <c r="B1" s="218" t="s">
        <v>39</v>
      </c>
      <c r="C1" s="218"/>
      <c r="D1" s="218"/>
      <c r="E1" s="218"/>
    </row>
    <row r="2" spans="1:29" ht="17.25" x14ac:dyDescent="0.3">
      <c r="B2" s="181" t="s">
        <v>46</v>
      </c>
    </row>
    <row r="4" spans="1:29" ht="30.75" customHeight="1" x14ac:dyDescent="0.3">
      <c r="B4" s="238" t="s">
        <v>131</v>
      </c>
      <c r="C4" s="238"/>
      <c r="D4" s="238"/>
      <c r="F4" s="124"/>
      <c r="G4" s="124"/>
      <c r="H4" s="124"/>
      <c r="I4" s="124"/>
      <c r="J4" s="124"/>
      <c r="K4" s="124"/>
      <c r="L4" s="124"/>
      <c r="M4" s="124"/>
      <c r="N4" s="124"/>
      <c r="O4" s="124"/>
      <c r="P4" s="124"/>
      <c r="Q4" s="124"/>
      <c r="R4" s="124"/>
      <c r="S4" s="124"/>
      <c r="T4" s="124"/>
      <c r="U4" s="124"/>
      <c r="V4" s="124"/>
      <c r="W4" s="124"/>
      <c r="X4" s="124"/>
      <c r="Y4" s="124"/>
      <c r="Z4" s="124"/>
      <c r="AA4" s="124"/>
      <c r="AB4" s="124"/>
      <c r="AC4" s="124"/>
    </row>
    <row r="5" spans="1:29" ht="15.75" customHeight="1" x14ac:dyDescent="0.3">
      <c r="B5" s="248" t="s">
        <v>0</v>
      </c>
      <c r="C5" s="250" t="s">
        <v>1</v>
      </c>
      <c r="D5" s="252" t="s">
        <v>95</v>
      </c>
      <c r="F5" s="6">
        <v>2024</v>
      </c>
      <c r="G5" s="6">
        <v>2024</v>
      </c>
      <c r="H5" s="6">
        <v>2024</v>
      </c>
      <c r="I5" s="6">
        <v>2024</v>
      </c>
      <c r="J5" s="6">
        <v>2024</v>
      </c>
      <c r="K5" s="6">
        <v>2024</v>
      </c>
      <c r="L5" s="6">
        <v>2024</v>
      </c>
      <c r="M5" s="6">
        <v>2024</v>
      </c>
      <c r="N5" s="6">
        <v>2024</v>
      </c>
      <c r="O5" s="6">
        <v>2024</v>
      </c>
      <c r="P5" s="6">
        <v>2024</v>
      </c>
      <c r="Q5" s="6">
        <v>2024</v>
      </c>
      <c r="R5" s="6">
        <v>2025</v>
      </c>
      <c r="S5" s="6">
        <v>2025</v>
      </c>
      <c r="T5" s="6">
        <v>2025</v>
      </c>
      <c r="U5" s="6">
        <v>2025</v>
      </c>
      <c r="V5" s="6">
        <v>2025</v>
      </c>
      <c r="W5" s="6">
        <v>2025</v>
      </c>
      <c r="X5" s="6">
        <v>2025</v>
      </c>
      <c r="Y5" s="6">
        <v>2025</v>
      </c>
      <c r="Z5" s="6">
        <v>2025</v>
      </c>
      <c r="AA5" s="6">
        <v>2025</v>
      </c>
      <c r="AB5" s="6">
        <v>2025</v>
      </c>
      <c r="AC5" s="6">
        <v>2025</v>
      </c>
    </row>
    <row r="6" spans="1:29" x14ac:dyDescent="0.3">
      <c r="B6" s="249"/>
      <c r="C6" s="251"/>
      <c r="D6" s="253"/>
      <c r="F6" s="6">
        <v>1</v>
      </c>
      <c r="G6" s="6">
        <f>+F6+1</f>
        <v>2</v>
      </c>
      <c r="H6" s="6">
        <f t="shared" ref="H6:Q6" si="0">+G6+1</f>
        <v>3</v>
      </c>
      <c r="I6" s="6">
        <f t="shared" si="0"/>
        <v>4</v>
      </c>
      <c r="J6" s="6">
        <f t="shared" si="0"/>
        <v>5</v>
      </c>
      <c r="K6" s="6">
        <f t="shared" si="0"/>
        <v>6</v>
      </c>
      <c r="L6" s="6">
        <f t="shared" si="0"/>
        <v>7</v>
      </c>
      <c r="M6" s="6">
        <f t="shared" si="0"/>
        <v>8</v>
      </c>
      <c r="N6" s="6">
        <f t="shared" si="0"/>
        <v>9</v>
      </c>
      <c r="O6" s="6">
        <f t="shared" si="0"/>
        <v>10</v>
      </c>
      <c r="P6" s="6">
        <f t="shared" si="0"/>
        <v>11</v>
      </c>
      <c r="Q6" s="6">
        <f t="shared" si="0"/>
        <v>12</v>
      </c>
      <c r="R6" s="6">
        <v>1</v>
      </c>
      <c r="S6" s="6">
        <f>+R6+1</f>
        <v>2</v>
      </c>
      <c r="T6" s="6">
        <f t="shared" ref="T6:AC6" si="1">+S6+1</f>
        <v>3</v>
      </c>
      <c r="U6" s="6">
        <f t="shared" si="1"/>
        <v>4</v>
      </c>
      <c r="V6" s="6">
        <f t="shared" si="1"/>
        <v>5</v>
      </c>
      <c r="W6" s="6">
        <f t="shared" si="1"/>
        <v>6</v>
      </c>
      <c r="X6" s="6">
        <f t="shared" si="1"/>
        <v>7</v>
      </c>
      <c r="Y6" s="6">
        <f t="shared" si="1"/>
        <v>8</v>
      </c>
      <c r="Z6" s="6">
        <f t="shared" si="1"/>
        <v>9</v>
      </c>
      <c r="AA6" s="6">
        <f t="shared" si="1"/>
        <v>10</v>
      </c>
      <c r="AB6" s="6">
        <f t="shared" si="1"/>
        <v>11</v>
      </c>
      <c r="AC6" s="6">
        <f t="shared" si="1"/>
        <v>12</v>
      </c>
    </row>
    <row r="7" spans="1:29" x14ac:dyDescent="0.3">
      <c r="A7" s="93"/>
      <c r="B7" s="125" t="s">
        <v>7</v>
      </c>
      <c r="C7" s="125" t="s">
        <v>8</v>
      </c>
      <c r="D7" s="125" t="s">
        <v>89</v>
      </c>
      <c r="E7" s="64"/>
      <c r="F7" s="169">
        <v>16.75627811</v>
      </c>
      <c r="G7" s="169">
        <v>0</v>
      </c>
      <c r="H7" s="169">
        <v>0</v>
      </c>
      <c r="I7" s="169">
        <v>2.7456843199999996</v>
      </c>
      <c r="J7" s="169">
        <v>0</v>
      </c>
      <c r="K7" s="169">
        <v>0</v>
      </c>
      <c r="L7" s="169">
        <v>9.3895371500000007</v>
      </c>
      <c r="M7" s="169">
        <v>0</v>
      </c>
      <c r="N7" s="169">
        <v>0</v>
      </c>
      <c r="O7" s="169">
        <v>7.54367111</v>
      </c>
      <c r="P7" s="169">
        <v>0</v>
      </c>
      <c r="Q7" s="169">
        <v>0</v>
      </c>
      <c r="R7" s="169">
        <v>6.4925280700000005</v>
      </c>
      <c r="S7" s="169">
        <v>0</v>
      </c>
      <c r="T7" s="169">
        <v>0</v>
      </c>
      <c r="U7" s="169">
        <v>4.9034429500000005</v>
      </c>
      <c r="V7" s="169">
        <v>0</v>
      </c>
      <c r="W7" s="169">
        <v>0</v>
      </c>
      <c r="X7" s="169">
        <v>3.8325510199999999</v>
      </c>
      <c r="Y7" s="169">
        <v>0</v>
      </c>
      <c r="Z7" s="169">
        <v>0</v>
      </c>
      <c r="AA7" s="169">
        <v>2.7555141499999998</v>
      </c>
      <c r="AB7" s="169">
        <v>0</v>
      </c>
      <c r="AC7" s="169">
        <v>0</v>
      </c>
    </row>
    <row r="8" spans="1:29" x14ac:dyDescent="0.3">
      <c r="A8" s="93"/>
      <c r="B8" s="125" t="s">
        <v>134</v>
      </c>
      <c r="C8" s="125" t="s">
        <v>135</v>
      </c>
      <c r="D8" s="125" t="s">
        <v>93</v>
      </c>
      <c r="E8" s="64"/>
      <c r="F8" s="169">
        <v>0</v>
      </c>
      <c r="G8" s="169">
        <v>0</v>
      </c>
      <c r="H8" s="169">
        <v>0</v>
      </c>
      <c r="I8" s="169">
        <v>0</v>
      </c>
      <c r="J8" s="169">
        <v>0</v>
      </c>
      <c r="K8" s="169">
        <v>191.84301622139145</v>
      </c>
      <c r="L8" s="169">
        <v>0</v>
      </c>
      <c r="M8" s="169">
        <v>0</v>
      </c>
      <c r="N8" s="169">
        <v>0</v>
      </c>
      <c r="O8" s="169">
        <v>0</v>
      </c>
      <c r="P8" s="169">
        <v>0</v>
      </c>
      <c r="Q8" s="169">
        <v>95.935895617536985</v>
      </c>
      <c r="R8" s="169">
        <v>0</v>
      </c>
      <c r="S8" s="169">
        <v>0</v>
      </c>
      <c r="T8" s="169">
        <v>0</v>
      </c>
      <c r="U8" s="169">
        <v>0</v>
      </c>
      <c r="V8" s="169">
        <v>0</v>
      </c>
      <c r="W8" s="169">
        <v>0</v>
      </c>
      <c r="X8" s="169">
        <v>0</v>
      </c>
      <c r="Y8" s="169">
        <v>0</v>
      </c>
      <c r="Z8" s="169">
        <v>0</v>
      </c>
      <c r="AA8" s="169">
        <v>0</v>
      </c>
      <c r="AB8" s="169">
        <v>0</v>
      </c>
      <c r="AC8" s="169">
        <v>0</v>
      </c>
    </row>
    <row r="9" spans="1:29" x14ac:dyDescent="0.3">
      <c r="A9" s="93"/>
      <c r="B9" s="125" t="s">
        <v>174</v>
      </c>
      <c r="C9" s="125" t="s">
        <v>167</v>
      </c>
      <c r="D9" s="125" t="s">
        <v>93</v>
      </c>
      <c r="E9" s="64"/>
      <c r="F9" s="169">
        <v>0</v>
      </c>
      <c r="G9" s="169">
        <v>0</v>
      </c>
      <c r="H9" s="169">
        <v>1776.1182945</v>
      </c>
      <c r="I9" s="169">
        <v>0</v>
      </c>
      <c r="J9" s="169">
        <v>0</v>
      </c>
      <c r="K9" s="169">
        <v>989.48615132000009</v>
      </c>
      <c r="L9" s="169">
        <v>0</v>
      </c>
      <c r="M9" s="169">
        <v>0</v>
      </c>
      <c r="N9" s="169">
        <v>735.72136488000001</v>
      </c>
      <c r="O9" s="169">
        <v>0</v>
      </c>
      <c r="P9" s="169">
        <v>0</v>
      </c>
      <c r="Q9" s="169">
        <v>506.07062160000004</v>
      </c>
      <c r="R9" s="169">
        <v>0</v>
      </c>
      <c r="S9" s="169">
        <v>0</v>
      </c>
      <c r="T9" s="169">
        <v>317.95220373000001</v>
      </c>
      <c r="U9" s="169">
        <v>0</v>
      </c>
      <c r="V9" s="169">
        <v>0</v>
      </c>
      <c r="W9" s="169">
        <v>148.97223543999999</v>
      </c>
      <c r="X9" s="169">
        <v>0</v>
      </c>
      <c r="Y9" s="169">
        <v>0</v>
      </c>
      <c r="Z9" s="169">
        <v>0</v>
      </c>
      <c r="AA9" s="169">
        <v>0</v>
      </c>
      <c r="AB9" s="169">
        <v>0</v>
      </c>
      <c r="AC9" s="169">
        <v>0</v>
      </c>
    </row>
    <row r="10" spans="1:29" x14ac:dyDescent="0.3">
      <c r="A10" s="93"/>
      <c r="B10" s="125" t="s">
        <v>175</v>
      </c>
      <c r="C10" s="125" t="s">
        <v>168</v>
      </c>
      <c r="D10" s="125" t="s">
        <v>93</v>
      </c>
      <c r="E10" s="64"/>
      <c r="F10" s="169">
        <v>0</v>
      </c>
      <c r="G10" s="169">
        <v>0</v>
      </c>
      <c r="H10" s="169">
        <v>514.47319555047875</v>
      </c>
      <c r="I10" s="169">
        <v>0</v>
      </c>
      <c r="J10" s="169">
        <v>0</v>
      </c>
      <c r="K10" s="169">
        <v>257.78587814845753</v>
      </c>
      <c r="L10" s="169">
        <v>0</v>
      </c>
      <c r="M10" s="169">
        <v>0</v>
      </c>
      <c r="N10" s="169">
        <v>159.70475246557001</v>
      </c>
      <c r="O10" s="169">
        <v>0</v>
      </c>
      <c r="P10" s="169">
        <v>0</v>
      </c>
      <c r="Q10" s="169">
        <v>73.224008822146331</v>
      </c>
      <c r="R10" s="169">
        <v>0</v>
      </c>
      <c r="S10" s="169">
        <v>0</v>
      </c>
      <c r="T10" s="169">
        <v>0</v>
      </c>
      <c r="U10" s="169">
        <v>0</v>
      </c>
      <c r="V10" s="169">
        <v>0</v>
      </c>
      <c r="W10" s="169">
        <v>0</v>
      </c>
      <c r="X10" s="169">
        <v>0</v>
      </c>
      <c r="Y10" s="169">
        <v>0</v>
      </c>
      <c r="Z10" s="169">
        <v>0</v>
      </c>
      <c r="AA10" s="169">
        <v>0</v>
      </c>
      <c r="AB10" s="169">
        <v>0</v>
      </c>
      <c r="AC10" s="169">
        <v>0</v>
      </c>
    </row>
    <row r="11" spans="1:29" x14ac:dyDescent="0.3">
      <c r="A11" s="93"/>
      <c r="B11" s="125" t="s">
        <v>136</v>
      </c>
      <c r="C11" s="125" t="s">
        <v>137</v>
      </c>
      <c r="D11" s="125" t="s">
        <v>93</v>
      </c>
      <c r="E11" s="64"/>
      <c r="F11" s="169">
        <v>0</v>
      </c>
      <c r="G11" s="169">
        <v>0</v>
      </c>
      <c r="H11" s="169">
        <v>1373.3422388188621</v>
      </c>
      <c r="I11" s="169">
        <v>0</v>
      </c>
      <c r="J11" s="169">
        <v>0</v>
      </c>
      <c r="K11" s="169">
        <v>908.37109270527446</v>
      </c>
      <c r="L11" s="169">
        <v>0</v>
      </c>
      <c r="M11" s="169">
        <v>0</v>
      </c>
      <c r="N11" s="169">
        <v>821.81001401092863</v>
      </c>
      <c r="O11" s="169">
        <v>0</v>
      </c>
      <c r="P11" s="169">
        <v>0</v>
      </c>
      <c r="Q11" s="169">
        <v>745.57652694333467</v>
      </c>
      <c r="R11" s="169">
        <v>0</v>
      </c>
      <c r="S11" s="169">
        <v>0</v>
      </c>
      <c r="T11" s="169">
        <v>701.03097182185911</v>
      </c>
      <c r="U11" s="169">
        <v>0</v>
      </c>
      <c r="V11" s="169">
        <v>0</v>
      </c>
      <c r="W11" s="169">
        <v>651.68287736198363</v>
      </c>
      <c r="X11" s="169">
        <v>0</v>
      </c>
      <c r="Y11" s="169">
        <v>0</v>
      </c>
      <c r="Z11" s="169">
        <v>586.36499202001528</v>
      </c>
      <c r="AA11" s="169">
        <v>0</v>
      </c>
      <c r="AB11" s="169">
        <v>0</v>
      </c>
      <c r="AC11" s="169">
        <v>478.63601854483557</v>
      </c>
    </row>
    <row r="12" spans="1:29" x14ac:dyDescent="0.3">
      <c r="A12" s="93"/>
      <c r="B12" s="125" t="s">
        <v>128</v>
      </c>
      <c r="C12" s="125" t="s">
        <v>129</v>
      </c>
      <c r="D12" s="125" t="s">
        <v>93</v>
      </c>
      <c r="E12" s="64"/>
      <c r="F12" s="169">
        <v>0</v>
      </c>
      <c r="G12" s="169">
        <v>369.87824446786112</v>
      </c>
      <c r="H12" s="169">
        <v>0</v>
      </c>
      <c r="I12" s="169">
        <v>0</v>
      </c>
      <c r="J12" s="169">
        <v>214.75255696786107</v>
      </c>
      <c r="K12" s="169">
        <v>0</v>
      </c>
      <c r="L12" s="169">
        <v>0</v>
      </c>
      <c r="M12" s="169">
        <v>146.93243414120144</v>
      </c>
      <c r="N12" s="169">
        <v>0</v>
      </c>
      <c r="O12" s="169">
        <v>0</v>
      </c>
      <c r="P12" s="169">
        <v>101.03794857632678</v>
      </c>
      <c r="Q12" s="169">
        <v>0</v>
      </c>
      <c r="R12" s="169">
        <v>0</v>
      </c>
      <c r="S12" s="169">
        <v>64.19070255017246</v>
      </c>
      <c r="T12" s="169">
        <v>0</v>
      </c>
      <c r="U12" s="169">
        <v>0</v>
      </c>
      <c r="V12" s="169">
        <v>28.595348059941855</v>
      </c>
      <c r="W12" s="169">
        <v>0</v>
      </c>
      <c r="X12" s="169">
        <v>0</v>
      </c>
      <c r="Y12" s="169">
        <v>0</v>
      </c>
      <c r="Z12" s="169">
        <v>0</v>
      </c>
      <c r="AA12" s="169">
        <v>0</v>
      </c>
      <c r="AB12" s="169">
        <v>0</v>
      </c>
      <c r="AC12" s="169">
        <v>0</v>
      </c>
    </row>
    <row r="13" spans="1:29" x14ac:dyDescent="0.3">
      <c r="A13" s="93"/>
      <c r="B13" s="125" t="s">
        <v>34</v>
      </c>
      <c r="C13" s="125" t="s">
        <v>35</v>
      </c>
      <c r="D13" s="125" t="s">
        <v>93</v>
      </c>
      <c r="E13" s="64"/>
      <c r="F13" s="169">
        <v>0</v>
      </c>
      <c r="G13" s="169">
        <v>7.0532510100289008</v>
      </c>
      <c r="H13" s="169">
        <v>0</v>
      </c>
      <c r="I13" s="169">
        <v>0</v>
      </c>
      <c r="J13" s="169">
        <v>0</v>
      </c>
      <c r="K13" s="169">
        <v>0</v>
      </c>
      <c r="L13" s="169">
        <v>0</v>
      </c>
      <c r="M13" s="169">
        <v>5.7435070115482176</v>
      </c>
      <c r="N13" s="169">
        <v>0</v>
      </c>
      <c r="O13" s="169">
        <v>0</v>
      </c>
      <c r="P13" s="169">
        <v>0</v>
      </c>
      <c r="Q13" s="169">
        <v>0</v>
      </c>
      <c r="R13" s="169">
        <v>0</v>
      </c>
      <c r="S13" s="169">
        <v>2.3132721656021888</v>
      </c>
      <c r="T13" s="169">
        <v>0</v>
      </c>
      <c r="U13" s="169">
        <v>0</v>
      </c>
      <c r="V13" s="169">
        <v>0</v>
      </c>
      <c r="W13" s="169">
        <v>0</v>
      </c>
      <c r="X13" s="169">
        <v>0</v>
      </c>
      <c r="Y13" s="169">
        <v>0.99344079662640761</v>
      </c>
      <c r="Z13" s="169">
        <v>0</v>
      </c>
      <c r="AA13" s="169">
        <v>0</v>
      </c>
      <c r="AB13" s="169">
        <v>0</v>
      </c>
      <c r="AC13" s="169">
        <v>0</v>
      </c>
    </row>
    <row r="14" spans="1:29" x14ac:dyDescent="0.3">
      <c r="A14" s="93"/>
      <c r="B14" s="125" t="s">
        <v>236</v>
      </c>
      <c r="C14" s="125" t="s">
        <v>238</v>
      </c>
      <c r="D14" s="125" t="s">
        <v>93</v>
      </c>
      <c r="E14" s="64"/>
      <c r="F14" s="169">
        <v>0</v>
      </c>
      <c r="G14" s="169">
        <v>0</v>
      </c>
      <c r="H14" s="169">
        <v>0</v>
      </c>
      <c r="I14" s="169">
        <v>0</v>
      </c>
      <c r="J14" s="169">
        <v>0</v>
      </c>
      <c r="K14" s="169">
        <v>0</v>
      </c>
      <c r="L14" s="169">
        <v>0</v>
      </c>
      <c r="M14" s="169">
        <v>0</v>
      </c>
      <c r="N14" s="169">
        <v>0</v>
      </c>
      <c r="O14" s="169">
        <v>0</v>
      </c>
      <c r="P14" s="169">
        <v>0</v>
      </c>
      <c r="Q14" s="169">
        <v>0</v>
      </c>
      <c r="R14" s="169">
        <v>0</v>
      </c>
      <c r="S14" s="169">
        <v>0</v>
      </c>
      <c r="T14" s="169">
        <v>0</v>
      </c>
      <c r="U14" s="169">
        <v>0</v>
      </c>
      <c r="V14" s="169">
        <v>0</v>
      </c>
      <c r="W14" s="169">
        <v>0</v>
      </c>
      <c r="X14" s="169">
        <v>0</v>
      </c>
      <c r="Y14" s="169">
        <v>0</v>
      </c>
      <c r="Z14" s="169">
        <v>0</v>
      </c>
      <c r="AA14" s="169">
        <v>0</v>
      </c>
      <c r="AB14" s="169">
        <v>0</v>
      </c>
      <c r="AC14" s="169">
        <v>0</v>
      </c>
    </row>
    <row r="15" spans="1:29" x14ac:dyDescent="0.3">
      <c r="A15" s="93"/>
      <c r="B15" s="125" t="s">
        <v>237</v>
      </c>
      <c r="C15" s="125" t="s">
        <v>239</v>
      </c>
      <c r="D15" s="125" t="s">
        <v>93</v>
      </c>
      <c r="E15" s="64"/>
      <c r="F15" s="169">
        <v>0</v>
      </c>
      <c r="G15" s="169">
        <v>0</v>
      </c>
      <c r="H15" s="169">
        <v>0</v>
      </c>
      <c r="I15" s="169">
        <v>0</v>
      </c>
      <c r="J15" s="169">
        <v>0</v>
      </c>
      <c r="K15" s="169">
        <v>0</v>
      </c>
      <c r="L15" s="169">
        <v>0</v>
      </c>
      <c r="M15" s="169">
        <v>0</v>
      </c>
      <c r="N15" s="169">
        <v>0</v>
      </c>
      <c r="O15" s="169">
        <v>0</v>
      </c>
      <c r="P15" s="169">
        <v>0</v>
      </c>
      <c r="Q15" s="169">
        <v>0</v>
      </c>
      <c r="R15" s="169">
        <v>0</v>
      </c>
      <c r="S15" s="169">
        <v>0</v>
      </c>
      <c r="T15" s="169">
        <v>0</v>
      </c>
      <c r="U15" s="169">
        <v>0</v>
      </c>
      <c r="V15" s="169">
        <v>0</v>
      </c>
      <c r="W15" s="169">
        <v>0</v>
      </c>
      <c r="X15" s="169">
        <v>0</v>
      </c>
      <c r="Y15" s="169">
        <v>0</v>
      </c>
      <c r="Z15" s="169">
        <v>0</v>
      </c>
      <c r="AA15" s="169">
        <v>0</v>
      </c>
      <c r="AB15" s="169">
        <v>0</v>
      </c>
      <c r="AC15" s="169">
        <v>0</v>
      </c>
    </row>
    <row r="16" spans="1:29" x14ac:dyDescent="0.3">
      <c r="A16" s="93"/>
      <c r="B16" s="125" t="s">
        <v>3</v>
      </c>
      <c r="C16" s="125" t="s">
        <v>4</v>
      </c>
      <c r="D16" s="125" t="s">
        <v>89</v>
      </c>
      <c r="E16" s="64"/>
      <c r="F16" s="169">
        <v>4.7686906799999997</v>
      </c>
      <c r="G16" s="169">
        <v>6.1797530900000002</v>
      </c>
      <c r="H16" s="169">
        <v>6.3459175599999993</v>
      </c>
      <c r="I16" s="169">
        <v>5.8067099899999999</v>
      </c>
      <c r="J16" s="169">
        <v>5.1488068899999995</v>
      </c>
      <c r="K16" s="169">
        <v>4.4336948200000004</v>
      </c>
      <c r="L16" s="169">
        <v>4.0753852699999999</v>
      </c>
      <c r="M16" s="169">
        <v>3.15842358</v>
      </c>
      <c r="N16" s="169">
        <v>2.1056157200000003</v>
      </c>
      <c r="O16" s="169">
        <v>0.99266111999999995</v>
      </c>
      <c r="P16" s="169">
        <v>0</v>
      </c>
      <c r="Q16" s="169">
        <v>0</v>
      </c>
      <c r="R16" s="169">
        <v>0</v>
      </c>
      <c r="S16" s="169">
        <v>0</v>
      </c>
      <c r="T16" s="169">
        <v>0</v>
      </c>
      <c r="U16" s="169">
        <v>0</v>
      </c>
      <c r="V16" s="169">
        <v>0</v>
      </c>
      <c r="W16" s="169">
        <v>0</v>
      </c>
      <c r="X16" s="169">
        <v>0</v>
      </c>
      <c r="Y16" s="169">
        <v>0</v>
      </c>
      <c r="Z16" s="169">
        <v>0</v>
      </c>
      <c r="AA16" s="169">
        <v>0</v>
      </c>
      <c r="AB16" s="169">
        <v>0</v>
      </c>
      <c r="AC16" s="169">
        <v>0</v>
      </c>
    </row>
    <row r="17" spans="1:29" x14ac:dyDescent="0.3">
      <c r="A17" s="93"/>
      <c r="B17" s="125" t="s">
        <v>5</v>
      </c>
      <c r="C17" s="125" t="s">
        <v>6</v>
      </c>
      <c r="D17" s="125" t="s">
        <v>89</v>
      </c>
      <c r="E17" s="64"/>
      <c r="F17" s="169">
        <v>1.6931288799999999</v>
      </c>
      <c r="G17" s="169">
        <v>1.8261757700000001</v>
      </c>
      <c r="H17" s="169">
        <v>1.77621673</v>
      </c>
      <c r="I17" s="169">
        <v>1.69560771</v>
      </c>
      <c r="J17" s="169">
        <v>1.6323354739060871</v>
      </c>
      <c r="K17" s="169">
        <v>1.608037391690091</v>
      </c>
      <c r="L17" s="169">
        <v>1.7571797582590667</v>
      </c>
      <c r="M17" s="169">
        <v>1.722326049380881</v>
      </c>
      <c r="N17" s="169">
        <v>1.6289143046447165</v>
      </c>
      <c r="O17" s="169">
        <v>1.4477956252343716</v>
      </c>
      <c r="P17" s="169">
        <v>1.405080658484019</v>
      </c>
      <c r="Q17" s="169">
        <v>1.2717377872662641</v>
      </c>
      <c r="R17" s="169">
        <v>1.190938633534897</v>
      </c>
      <c r="S17" s="169">
        <v>1.1024462800841703</v>
      </c>
      <c r="T17" s="169">
        <v>0.91586597576227491</v>
      </c>
      <c r="U17" s="169">
        <v>0.93278267758547728</v>
      </c>
      <c r="V17" s="169">
        <v>0.81654182493728189</v>
      </c>
      <c r="W17" s="169">
        <v>0.7548215739777554</v>
      </c>
      <c r="X17" s="169">
        <v>0.63215221692871815</v>
      </c>
      <c r="Y17" s="169">
        <v>0.5662536540984705</v>
      </c>
      <c r="Z17" s="169">
        <v>0.47950038965119385</v>
      </c>
      <c r="AA17" s="169">
        <v>0.37295538507542086</v>
      </c>
      <c r="AB17" s="169">
        <v>0.30116006404385404</v>
      </c>
      <c r="AC17" s="169">
        <v>0.21079994514072722</v>
      </c>
    </row>
    <row r="18" spans="1:29" x14ac:dyDescent="0.3">
      <c r="A18" s="93"/>
      <c r="B18" s="125" t="s">
        <v>9</v>
      </c>
      <c r="C18" s="125" t="s">
        <v>10</v>
      </c>
      <c r="D18" s="125" t="s">
        <v>89</v>
      </c>
      <c r="E18" s="64"/>
      <c r="F18" s="169">
        <v>0.19310056089333336</v>
      </c>
      <c r="G18" s="169">
        <v>0.19234567334999167</v>
      </c>
      <c r="H18" s="169">
        <v>0.18675882842271668</v>
      </c>
      <c r="I18" s="169">
        <v>0.16931450971880835</v>
      </c>
      <c r="J18" s="169">
        <v>0.20892025837540429</v>
      </c>
      <c r="K18" s="169">
        <v>0.20560406378607296</v>
      </c>
      <c r="L18" s="169">
        <v>0.18902309088796265</v>
      </c>
      <c r="M18" s="169">
        <v>0.1803679937121877</v>
      </c>
      <c r="N18" s="169">
        <v>0.17034754960348369</v>
      </c>
      <c r="O18" s="169">
        <v>0.1551552633820448</v>
      </c>
      <c r="P18" s="169">
        <v>0.14641027499530221</v>
      </c>
      <c r="Q18" s="169">
        <v>0.13224153869006985</v>
      </c>
      <c r="R18" s="169">
        <v>0.12688890496417551</v>
      </c>
      <c r="S18" s="169">
        <v>0.11742609586459728</v>
      </c>
      <c r="T18" s="169">
        <v>9.7223756773147471E-2</v>
      </c>
      <c r="U18" s="169">
        <v>9.785507984737217E-2</v>
      </c>
      <c r="V18" s="169">
        <v>8.3614800790977051E-2</v>
      </c>
      <c r="W18" s="169">
        <v>7.6801742922723445E-2</v>
      </c>
      <c r="X18" s="169">
        <v>6.5033733898165094E-2</v>
      </c>
      <c r="Y18" s="169">
        <v>5.648956645404693E-2</v>
      </c>
      <c r="Z18" s="169">
        <v>4.7074638673420474E-2</v>
      </c>
      <c r="AA18" s="169">
        <v>3.6444881509155515E-2</v>
      </c>
      <c r="AB18" s="169">
        <v>2.7688912774709248E-2</v>
      </c>
      <c r="AC18" s="169">
        <v>1.7863814620718572E-2</v>
      </c>
    </row>
    <row r="19" spans="1:29" x14ac:dyDescent="0.3">
      <c r="A19" s="93"/>
      <c r="B19" s="125" t="s">
        <v>192</v>
      </c>
      <c r="C19" s="125" t="s">
        <v>243</v>
      </c>
      <c r="D19" s="125" t="s">
        <v>89</v>
      </c>
      <c r="E19" s="64"/>
      <c r="F19" s="169">
        <v>2.2007638691843261</v>
      </c>
      <c r="G19" s="169">
        <v>3.4422413524833777</v>
      </c>
      <c r="H19" s="169">
        <v>3.8928982785521491</v>
      </c>
      <c r="I19" s="169">
        <v>4.0217885701714975</v>
      </c>
      <c r="J19" s="169">
        <v>4.1604709346601698</v>
      </c>
      <c r="K19" s="169">
        <v>4.5817650491789168</v>
      </c>
      <c r="L19" s="169">
        <v>4.4339661766247582</v>
      </c>
      <c r="M19" s="169">
        <v>4.5817650491789168</v>
      </c>
      <c r="N19" s="169">
        <v>4.4650101080098032</v>
      </c>
      <c r="O19" s="169">
        <v>4.3209775238804555</v>
      </c>
      <c r="P19" s="169">
        <v>4.4650101080098032</v>
      </c>
      <c r="Q19" s="169">
        <v>4.2079888711361519</v>
      </c>
      <c r="R19" s="169">
        <v>4.3482551668406906</v>
      </c>
      <c r="S19" s="169">
        <v>4.3482551668406906</v>
      </c>
      <c r="T19" s="169">
        <v>3.9476113811888305</v>
      </c>
      <c r="U19" s="169">
        <v>4.3705697434590629</v>
      </c>
      <c r="V19" s="169">
        <v>4.229583622702318</v>
      </c>
      <c r="W19" s="169">
        <v>4.2872866672175078</v>
      </c>
      <c r="X19" s="169">
        <v>4.1489870973072662</v>
      </c>
      <c r="Y19" s="169">
        <v>4.2872866672175078</v>
      </c>
      <c r="Z19" s="169">
        <v>4.2040035909759537</v>
      </c>
      <c r="AA19" s="169">
        <v>4.0683905719122126</v>
      </c>
      <c r="AB19" s="169">
        <v>4.2040035909759537</v>
      </c>
      <c r="AC19" s="169">
        <v>3.9877940465171591</v>
      </c>
    </row>
    <row r="20" spans="1:29" x14ac:dyDescent="0.3">
      <c r="A20" s="93"/>
      <c r="B20" s="125" t="s">
        <v>142</v>
      </c>
      <c r="C20" s="125" t="s">
        <v>143</v>
      </c>
      <c r="D20" s="125" t="s">
        <v>90</v>
      </c>
      <c r="E20" s="64"/>
      <c r="F20" s="169">
        <v>1602.5806222670271</v>
      </c>
      <c r="G20" s="169">
        <v>1457.8099936284852</v>
      </c>
      <c r="H20" s="169">
        <v>1202.650838674846</v>
      </c>
      <c r="I20" s="169">
        <v>1253.4127457647303</v>
      </c>
      <c r="J20" s="169">
        <v>806.34217595354983</v>
      </c>
      <c r="K20" s="169">
        <v>821.94908452189804</v>
      </c>
      <c r="L20" s="169">
        <v>763.63373425628174</v>
      </c>
      <c r="M20" s="169">
        <v>746.22880902048655</v>
      </c>
      <c r="N20" s="169">
        <v>704.16198923498632</v>
      </c>
      <c r="O20" s="169">
        <v>641.91725569344669</v>
      </c>
      <c r="P20" s="169">
        <v>614.23654102634521</v>
      </c>
      <c r="Q20" s="169">
        <v>569.2829640060969</v>
      </c>
      <c r="R20" s="169">
        <v>562.75724314092167</v>
      </c>
      <c r="S20" s="169">
        <v>537.72370240429734</v>
      </c>
      <c r="T20" s="169">
        <v>455.58901030152174</v>
      </c>
      <c r="U20" s="169">
        <v>472.51487416589538</v>
      </c>
      <c r="V20" s="169">
        <v>427.74817327617541</v>
      </c>
      <c r="W20" s="169">
        <v>410.33748246102238</v>
      </c>
      <c r="X20" s="169">
        <v>368.03254802210927</v>
      </c>
      <c r="Y20" s="169">
        <v>351.81860945191488</v>
      </c>
      <c r="Z20" s="169">
        <v>324.81945630744502</v>
      </c>
      <c r="AA20" s="169">
        <v>289.58039727108593</v>
      </c>
      <c r="AB20" s="169">
        <v>274.99276788292104</v>
      </c>
      <c r="AC20" s="169">
        <v>243.90460131005145</v>
      </c>
    </row>
    <row r="21" spans="1:29" customFormat="1" ht="6.75" customHeight="1" x14ac:dyDescent="0.3">
      <c r="B21" s="16"/>
      <c r="C21" s="13"/>
      <c r="D21" s="13"/>
      <c r="E21" s="17"/>
    </row>
    <row r="22" spans="1:29" ht="28.5" customHeight="1" x14ac:dyDescent="0.3">
      <c r="B22" s="244" t="s">
        <v>120</v>
      </c>
      <c r="C22" s="244"/>
      <c r="D22" s="244"/>
      <c r="E22" s="3"/>
      <c r="F22" s="205">
        <f t="shared" ref="F22:AC22" si="2">+SUM(F7:F20)</f>
        <v>1628.1925843671047</v>
      </c>
      <c r="G22" s="205">
        <f t="shared" si="2"/>
        <v>1846.3820049922087</v>
      </c>
      <c r="H22" s="205">
        <f t="shared" si="2"/>
        <v>4878.7863589411618</v>
      </c>
      <c r="I22" s="205">
        <f t="shared" si="2"/>
        <v>1267.8518508646207</v>
      </c>
      <c r="J22" s="205">
        <f t="shared" si="2"/>
        <v>1032.2452664783525</v>
      </c>
      <c r="K22" s="205">
        <f t="shared" si="2"/>
        <v>3180.2643242416766</v>
      </c>
      <c r="L22" s="205">
        <f t="shared" si="2"/>
        <v>783.47882570205354</v>
      </c>
      <c r="M22" s="205">
        <f t="shared" si="2"/>
        <v>908.54763284550825</v>
      </c>
      <c r="N22" s="205">
        <f t="shared" si="2"/>
        <v>2429.7680082737434</v>
      </c>
      <c r="O22" s="205">
        <f t="shared" si="2"/>
        <v>656.3775163359436</v>
      </c>
      <c r="P22" s="205">
        <f t="shared" si="2"/>
        <v>721.29099064416118</v>
      </c>
      <c r="Q22" s="205">
        <f t="shared" si="2"/>
        <v>1995.7019851862074</v>
      </c>
      <c r="R22" s="205">
        <f t="shared" si="2"/>
        <v>574.91585391626143</v>
      </c>
      <c r="S22" s="205">
        <f t="shared" si="2"/>
        <v>609.79580466286143</v>
      </c>
      <c r="T22" s="205">
        <f t="shared" si="2"/>
        <v>1479.5328869671052</v>
      </c>
      <c r="U22" s="205">
        <f t="shared" si="2"/>
        <v>482.81952461678731</v>
      </c>
      <c r="V22" s="205">
        <f t="shared" si="2"/>
        <v>461.47326158454786</v>
      </c>
      <c r="W22" s="205">
        <f t="shared" si="2"/>
        <v>1216.1115052471239</v>
      </c>
      <c r="X22" s="205">
        <f t="shared" si="2"/>
        <v>376.71127209024343</v>
      </c>
      <c r="Y22" s="205">
        <f t="shared" si="2"/>
        <v>357.72208013631132</v>
      </c>
      <c r="Z22" s="205">
        <f t="shared" si="2"/>
        <v>915.91502694676092</v>
      </c>
      <c r="AA22" s="205">
        <f t="shared" si="2"/>
        <v>296.81370225958273</v>
      </c>
      <c r="AB22" s="205">
        <f t="shared" si="2"/>
        <v>279.52562045071556</v>
      </c>
      <c r="AC22" s="205">
        <f t="shared" si="2"/>
        <v>726.75707766116557</v>
      </c>
    </row>
    <row r="23" spans="1:29" ht="16.5" customHeight="1" x14ac:dyDescent="0.3">
      <c r="B23" s="245" t="s">
        <v>130</v>
      </c>
      <c r="C23" s="245"/>
      <c r="D23" s="245"/>
      <c r="F23" s="7"/>
      <c r="G23" s="7"/>
      <c r="H23" s="7"/>
      <c r="I23" s="7"/>
      <c r="J23" s="7"/>
      <c r="K23" s="7"/>
      <c r="L23" s="7"/>
      <c r="M23" s="7"/>
      <c r="N23" s="7"/>
      <c r="O23" s="7"/>
      <c r="P23" s="7"/>
      <c r="Q23" s="7"/>
      <c r="R23" s="7"/>
      <c r="S23" s="7"/>
      <c r="T23" s="7"/>
      <c r="U23" s="7"/>
      <c r="V23" s="7"/>
      <c r="W23" s="7"/>
      <c r="X23" s="7"/>
      <c r="Y23" s="7"/>
      <c r="Z23" s="7"/>
      <c r="AA23" s="7"/>
      <c r="AB23" s="7"/>
      <c r="AC23" s="7"/>
    </row>
    <row r="24" spans="1:29" x14ac:dyDescent="0.3">
      <c r="B24" s="245"/>
      <c r="C24" s="245"/>
      <c r="D24" s="245"/>
    </row>
    <row r="25" spans="1:29" x14ac:dyDescent="0.3">
      <c r="B25" s="80"/>
      <c r="C25" s="80"/>
      <c r="D25" s="80"/>
    </row>
    <row r="26" spans="1:29" x14ac:dyDescent="0.3">
      <c r="B26" s="80"/>
      <c r="C26" s="80"/>
      <c r="D26" s="80"/>
    </row>
    <row r="27" spans="1:29" x14ac:dyDescent="0.3">
      <c r="B27" s="80"/>
      <c r="C27" s="80"/>
      <c r="D27" s="80"/>
    </row>
    <row r="28" spans="1:29" x14ac:dyDescent="0.3">
      <c r="B28" s="80"/>
      <c r="C28" s="80"/>
      <c r="D28" s="80"/>
    </row>
    <row r="29" spans="1:29" ht="30.75" customHeight="1" x14ac:dyDescent="0.3">
      <c r="B29" s="243" t="s">
        <v>98</v>
      </c>
      <c r="C29" s="243"/>
      <c r="D29" s="243"/>
      <c r="F29" s="96"/>
      <c r="G29" s="96"/>
      <c r="H29" s="96"/>
      <c r="I29" s="96"/>
      <c r="J29" s="96"/>
      <c r="K29" s="96"/>
      <c r="L29" s="96"/>
      <c r="M29" s="96"/>
      <c r="N29" s="96"/>
      <c r="O29" s="96"/>
      <c r="P29" s="96"/>
      <c r="Q29" s="96"/>
      <c r="R29" s="96"/>
      <c r="S29" s="96"/>
      <c r="T29" s="96"/>
      <c r="U29" s="96"/>
      <c r="V29" s="96"/>
      <c r="W29" s="96"/>
      <c r="X29" s="96"/>
      <c r="Y29" s="96"/>
      <c r="Z29" s="96"/>
      <c r="AA29" s="96"/>
      <c r="AB29" s="96"/>
      <c r="AC29" s="96"/>
    </row>
    <row r="30" spans="1:29" x14ac:dyDescent="0.3">
      <c r="B30" s="246" t="s">
        <v>0</v>
      </c>
      <c r="C30" s="228" t="s">
        <v>1</v>
      </c>
      <c r="D30" s="228" t="s">
        <v>95</v>
      </c>
      <c r="F30" s="206">
        <v>2024</v>
      </c>
      <c r="G30" s="206">
        <v>2024</v>
      </c>
      <c r="H30" s="206">
        <v>2024</v>
      </c>
      <c r="I30" s="206">
        <v>2024</v>
      </c>
      <c r="J30" s="206">
        <v>2024</v>
      </c>
      <c r="K30" s="206">
        <v>2024</v>
      </c>
      <c r="L30" s="206">
        <v>2024</v>
      </c>
      <c r="M30" s="206">
        <v>2024</v>
      </c>
      <c r="N30" s="206">
        <v>2024</v>
      </c>
      <c r="O30" s="206">
        <v>2024</v>
      </c>
      <c r="P30" s="206">
        <v>2024</v>
      </c>
      <c r="Q30" s="206">
        <v>2024</v>
      </c>
      <c r="R30" s="206">
        <v>2025</v>
      </c>
      <c r="S30" s="206">
        <v>2025</v>
      </c>
      <c r="T30" s="206">
        <v>2025</v>
      </c>
      <c r="U30" s="206">
        <v>2025</v>
      </c>
      <c r="V30" s="206">
        <v>2025</v>
      </c>
      <c r="W30" s="206">
        <v>2025</v>
      </c>
      <c r="X30" s="206">
        <v>2025</v>
      </c>
      <c r="Y30" s="206">
        <v>2025</v>
      </c>
      <c r="Z30" s="206">
        <v>2025</v>
      </c>
      <c r="AA30" s="206">
        <v>2025</v>
      </c>
      <c r="AB30" s="206">
        <v>2025</v>
      </c>
      <c r="AC30" s="206">
        <v>2025</v>
      </c>
    </row>
    <row r="31" spans="1:29" x14ac:dyDescent="0.3">
      <c r="B31" s="247"/>
      <c r="C31" s="229"/>
      <c r="D31" s="229"/>
      <c r="F31" s="206">
        <v>1</v>
      </c>
      <c r="G31" s="206">
        <f>+F31+1</f>
        <v>2</v>
      </c>
      <c r="H31" s="206">
        <f t="shared" ref="H31:Q31" si="3">+G31+1</f>
        <v>3</v>
      </c>
      <c r="I31" s="206">
        <f t="shared" si="3"/>
        <v>4</v>
      </c>
      <c r="J31" s="206">
        <f t="shared" si="3"/>
        <v>5</v>
      </c>
      <c r="K31" s="206">
        <f t="shared" si="3"/>
        <v>6</v>
      </c>
      <c r="L31" s="206">
        <f t="shared" si="3"/>
        <v>7</v>
      </c>
      <c r="M31" s="206">
        <f t="shared" si="3"/>
        <v>8</v>
      </c>
      <c r="N31" s="206">
        <f t="shared" si="3"/>
        <v>9</v>
      </c>
      <c r="O31" s="206">
        <f t="shared" si="3"/>
        <v>10</v>
      </c>
      <c r="P31" s="206">
        <f t="shared" si="3"/>
        <v>11</v>
      </c>
      <c r="Q31" s="206">
        <f t="shared" si="3"/>
        <v>12</v>
      </c>
      <c r="R31" s="206">
        <v>1</v>
      </c>
      <c r="S31" s="206">
        <f>+R31+1</f>
        <v>2</v>
      </c>
      <c r="T31" s="206">
        <f t="shared" ref="T31" si="4">+S31+1</f>
        <v>3</v>
      </c>
      <c r="U31" s="206">
        <f t="shared" ref="U31" si="5">+T31+1</f>
        <v>4</v>
      </c>
      <c r="V31" s="206">
        <f t="shared" ref="V31" si="6">+U31+1</f>
        <v>5</v>
      </c>
      <c r="W31" s="206">
        <f t="shared" ref="W31" si="7">+V31+1</f>
        <v>6</v>
      </c>
      <c r="X31" s="206">
        <f t="shared" ref="X31" si="8">+W31+1</f>
        <v>7</v>
      </c>
      <c r="Y31" s="206">
        <f t="shared" ref="Y31" si="9">+X31+1</f>
        <v>8</v>
      </c>
      <c r="Z31" s="206">
        <f t="shared" ref="Z31" si="10">+Y31+1</f>
        <v>9</v>
      </c>
      <c r="AA31" s="206">
        <f t="shared" ref="AA31" si="11">+Z31+1</f>
        <v>10</v>
      </c>
      <c r="AB31" s="206">
        <f t="shared" ref="AB31" si="12">+AA31+1</f>
        <v>11</v>
      </c>
      <c r="AC31" s="206">
        <f t="shared" ref="AC31" si="13">+AB31+1</f>
        <v>12</v>
      </c>
    </row>
    <row r="32" spans="1:29" x14ac:dyDescent="0.3">
      <c r="A32" s="19" t="s">
        <v>40</v>
      </c>
      <c r="B32" s="9" t="s">
        <v>13</v>
      </c>
      <c r="C32" s="9" t="s">
        <v>14</v>
      </c>
      <c r="D32" s="9" t="s">
        <v>92</v>
      </c>
      <c r="E32" s="64"/>
      <c r="F32" s="15">
        <v>0</v>
      </c>
      <c r="G32" s="15">
        <v>0</v>
      </c>
      <c r="H32" s="15">
        <v>0</v>
      </c>
      <c r="I32" s="15">
        <v>0</v>
      </c>
      <c r="J32" s="15">
        <v>0</v>
      </c>
      <c r="K32" s="15">
        <v>1.2231549263432195</v>
      </c>
      <c r="L32" s="15">
        <v>0</v>
      </c>
      <c r="M32" s="15">
        <v>0</v>
      </c>
      <c r="N32" s="15">
        <v>0</v>
      </c>
      <c r="O32" s="15">
        <v>0</v>
      </c>
      <c r="P32" s="15">
        <v>0</v>
      </c>
      <c r="Q32" s="15">
        <v>1.0809845672948091</v>
      </c>
      <c r="R32" s="15">
        <v>0</v>
      </c>
      <c r="S32" s="15">
        <v>0</v>
      </c>
      <c r="T32" s="15">
        <v>0</v>
      </c>
      <c r="U32" s="15">
        <v>0</v>
      </c>
      <c r="V32" s="15">
        <v>0</v>
      </c>
      <c r="W32" s="15">
        <v>0.9801082991806872</v>
      </c>
      <c r="X32" s="15">
        <v>0</v>
      </c>
      <c r="Y32" s="15">
        <v>0</v>
      </c>
      <c r="Z32" s="15">
        <v>0</v>
      </c>
      <c r="AA32" s="15">
        <v>0</v>
      </c>
      <c r="AB32" s="15">
        <v>0</v>
      </c>
      <c r="AC32" s="15">
        <v>0.88850927589401796</v>
      </c>
    </row>
    <row r="33" spans="1:29" x14ac:dyDescent="0.3">
      <c r="A33" s="19" t="s">
        <v>40</v>
      </c>
      <c r="B33" s="9" t="s">
        <v>19</v>
      </c>
      <c r="C33" s="9" t="s">
        <v>20</v>
      </c>
      <c r="D33" s="9" t="s">
        <v>92</v>
      </c>
      <c r="E33" s="64"/>
      <c r="F33" s="15">
        <v>0</v>
      </c>
      <c r="G33" s="15">
        <v>1.4534148200000003</v>
      </c>
      <c r="H33" s="15">
        <v>0</v>
      </c>
      <c r="I33" s="15">
        <v>0</v>
      </c>
      <c r="J33" s="15">
        <v>0</v>
      </c>
      <c r="K33" s="15">
        <v>0</v>
      </c>
      <c r="L33" s="15">
        <v>0</v>
      </c>
      <c r="M33" s="15">
        <v>1.3094279049781712</v>
      </c>
      <c r="N33" s="15">
        <v>0</v>
      </c>
      <c r="O33" s="15">
        <v>0</v>
      </c>
      <c r="P33" s="15">
        <v>0</v>
      </c>
      <c r="Q33" s="15">
        <v>0</v>
      </c>
      <c r="R33" s="15">
        <v>0</v>
      </c>
      <c r="S33" s="15">
        <v>1.1744835556481581</v>
      </c>
      <c r="T33" s="15">
        <v>0</v>
      </c>
      <c r="U33" s="15">
        <v>0</v>
      </c>
      <c r="V33" s="15">
        <v>0</v>
      </c>
      <c r="W33" s="15">
        <v>0</v>
      </c>
      <c r="X33" s="15">
        <v>0</v>
      </c>
      <c r="Y33" s="15">
        <v>1.0652489920644266</v>
      </c>
      <c r="Z33" s="15">
        <v>0</v>
      </c>
      <c r="AA33" s="15">
        <v>0</v>
      </c>
      <c r="AB33" s="15">
        <v>0</v>
      </c>
      <c r="AC33" s="15">
        <v>0</v>
      </c>
    </row>
    <row r="34" spans="1:29" x14ac:dyDescent="0.3">
      <c r="A34" s="19" t="s">
        <v>40</v>
      </c>
      <c r="B34" s="9" t="s">
        <v>15</v>
      </c>
      <c r="C34" s="9" t="s">
        <v>16</v>
      </c>
      <c r="D34" s="9" t="s">
        <v>92</v>
      </c>
      <c r="E34" s="64"/>
      <c r="F34" s="15">
        <v>0</v>
      </c>
      <c r="G34" s="15">
        <v>0</v>
      </c>
      <c r="H34" s="15">
        <v>0</v>
      </c>
      <c r="I34" s="15">
        <v>0.40834123</v>
      </c>
      <c r="J34" s="15">
        <v>0</v>
      </c>
      <c r="K34" s="15">
        <v>0</v>
      </c>
      <c r="L34" s="15">
        <v>0</v>
      </c>
      <c r="M34" s="15">
        <v>0</v>
      </c>
      <c r="N34" s="15">
        <v>0</v>
      </c>
      <c r="O34" s="15">
        <v>0.93794068999999991</v>
      </c>
      <c r="P34" s="15">
        <v>0</v>
      </c>
      <c r="Q34" s="15">
        <v>0</v>
      </c>
      <c r="R34" s="15">
        <v>0</v>
      </c>
      <c r="S34" s="15">
        <v>0</v>
      </c>
      <c r="T34" s="15">
        <v>0</v>
      </c>
      <c r="U34" s="15">
        <v>0.82474396999999999</v>
      </c>
      <c r="V34" s="15">
        <v>0</v>
      </c>
      <c r="W34" s="15">
        <v>0</v>
      </c>
      <c r="X34" s="15">
        <v>0</v>
      </c>
      <c r="Y34" s="15">
        <v>0</v>
      </c>
      <c r="Z34" s="15">
        <v>0</v>
      </c>
      <c r="AA34" s="15">
        <v>0.74548214000000002</v>
      </c>
      <c r="AB34" s="15">
        <v>0</v>
      </c>
      <c r="AC34" s="15">
        <v>0</v>
      </c>
    </row>
    <row r="35" spans="1:29" x14ac:dyDescent="0.3">
      <c r="A35" s="19" t="s">
        <v>40</v>
      </c>
      <c r="B35" s="9" t="s">
        <v>17</v>
      </c>
      <c r="C35" s="9" t="s">
        <v>18</v>
      </c>
      <c r="D35" s="9" t="s">
        <v>92</v>
      </c>
      <c r="E35" s="64"/>
      <c r="F35" s="15">
        <v>0</v>
      </c>
      <c r="G35" s="15">
        <v>0.33478243352378567</v>
      </c>
      <c r="H35" s="15">
        <v>0</v>
      </c>
      <c r="I35" s="15">
        <v>0</v>
      </c>
      <c r="J35" s="15">
        <v>0</v>
      </c>
      <c r="K35" s="15">
        <v>0</v>
      </c>
      <c r="L35" s="15">
        <v>0</v>
      </c>
      <c r="M35" s="15">
        <v>0.23446944326592478</v>
      </c>
      <c r="N35" s="15">
        <v>0</v>
      </c>
      <c r="O35" s="15">
        <v>0</v>
      </c>
      <c r="P35" s="15">
        <v>0</v>
      </c>
      <c r="Q35" s="15">
        <v>0</v>
      </c>
      <c r="R35" s="15">
        <v>0</v>
      </c>
      <c r="S35" s="15">
        <v>0.14487790200827166</v>
      </c>
      <c r="T35" s="15">
        <v>0</v>
      </c>
      <c r="U35" s="15">
        <v>0</v>
      </c>
      <c r="V35" s="15">
        <v>0</v>
      </c>
      <c r="W35" s="15">
        <v>0</v>
      </c>
      <c r="X35" s="15">
        <v>0</v>
      </c>
      <c r="Y35" s="15">
        <v>6.7850381230399298E-2</v>
      </c>
      <c r="Z35" s="15">
        <v>0</v>
      </c>
      <c r="AA35" s="15">
        <v>0</v>
      </c>
      <c r="AB35" s="15">
        <v>0</v>
      </c>
      <c r="AC35" s="15">
        <v>0</v>
      </c>
    </row>
    <row r="36" spans="1:29" x14ac:dyDescent="0.3">
      <c r="A36" s="19" t="s">
        <v>40</v>
      </c>
      <c r="B36" s="9" t="s">
        <v>23</v>
      </c>
      <c r="C36" s="9" t="s">
        <v>24</v>
      </c>
      <c r="D36" s="9" t="s">
        <v>92</v>
      </c>
      <c r="E36" s="64"/>
      <c r="F36" s="15">
        <v>0</v>
      </c>
      <c r="G36" s="15">
        <v>0</v>
      </c>
      <c r="H36" s="15">
        <v>0</v>
      </c>
      <c r="I36" s="15">
        <v>0.46031688248263569</v>
      </c>
      <c r="J36" s="15">
        <v>0</v>
      </c>
      <c r="K36" s="15">
        <v>0</v>
      </c>
      <c r="L36" s="15">
        <v>0</v>
      </c>
      <c r="M36" s="15">
        <v>0</v>
      </c>
      <c r="N36" s="15">
        <v>0</v>
      </c>
      <c r="O36" s="15">
        <v>0.42962404868086002</v>
      </c>
      <c r="P36" s="15">
        <v>0</v>
      </c>
      <c r="Q36" s="15">
        <v>0</v>
      </c>
      <c r="R36" s="15">
        <v>0</v>
      </c>
      <c r="S36" s="15">
        <v>0</v>
      </c>
      <c r="T36" s="15">
        <v>0</v>
      </c>
      <c r="U36" s="15">
        <v>0.3847323870847148</v>
      </c>
      <c r="V36" s="15">
        <v>0</v>
      </c>
      <c r="W36" s="15">
        <v>0</v>
      </c>
      <c r="X36" s="15">
        <v>0</v>
      </c>
      <c r="Y36" s="15">
        <v>0</v>
      </c>
      <c r="Z36" s="15">
        <v>0</v>
      </c>
      <c r="AA36" s="15">
        <v>0.35639155906140768</v>
      </c>
      <c r="AB36" s="15">
        <v>0</v>
      </c>
      <c r="AC36" s="15">
        <v>0</v>
      </c>
    </row>
    <row r="37" spans="1:29" x14ac:dyDescent="0.3">
      <c r="A37" s="19" t="s">
        <v>40</v>
      </c>
      <c r="B37" s="9" t="s">
        <v>21</v>
      </c>
      <c r="C37" s="9" t="s">
        <v>22</v>
      </c>
      <c r="D37" s="9" t="s">
        <v>92</v>
      </c>
      <c r="E37" s="64"/>
      <c r="F37" s="15">
        <v>0</v>
      </c>
      <c r="G37" s="15">
        <v>0</v>
      </c>
      <c r="H37" s="15">
        <v>0</v>
      </c>
      <c r="I37" s="15">
        <v>0</v>
      </c>
      <c r="J37" s="15">
        <v>0.13265787653930261</v>
      </c>
      <c r="K37" s="15">
        <v>0</v>
      </c>
      <c r="L37" s="15">
        <v>0</v>
      </c>
      <c r="M37" s="15">
        <v>0</v>
      </c>
      <c r="N37" s="15">
        <v>0</v>
      </c>
      <c r="O37" s="15">
        <v>0</v>
      </c>
      <c r="P37" s="15">
        <v>0.12001737330150321</v>
      </c>
      <c r="Q37" s="15">
        <v>0</v>
      </c>
      <c r="R37" s="15">
        <v>0</v>
      </c>
      <c r="S37" s="15">
        <v>0</v>
      </c>
      <c r="T37" s="15">
        <v>0</v>
      </c>
      <c r="U37" s="15">
        <v>0</v>
      </c>
      <c r="V37" s="15">
        <v>0.10474455354853728</v>
      </c>
      <c r="W37" s="15">
        <v>0</v>
      </c>
      <c r="X37" s="15">
        <v>0</v>
      </c>
      <c r="Y37" s="15">
        <v>0</v>
      </c>
      <c r="Z37" s="15">
        <v>0</v>
      </c>
      <c r="AA37" s="15">
        <v>0</v>
      </c>
      <c r="AB37" s="15">
        <v>9.5138383931921963E-2</v>
      </c>
      <c r="AC37" s="15">
        <v>0</v>
      </c>
    </row>
    <row r="38" spans="1:29" x14ac:dyDescent="0.3">
      <c r="A38" s="19" t="s">
        <v>40</v>
      </c>
      <c r="B38" s="9" t="s">
        <v>125</v>
      </c>
      <c r="C38" s="9" t="s">
        <v>126</v>
      </c>
      <c r="D38" s="9" t="s">
        <v>92</v>
      </c>
      <c r="E38" s="64"/>
      <c r="F38" s="15">
        <v>0</v>
      </c>
      <c r="G38" s="15">
        <v>0</v>
      </c>
      <c r="H38" s="15">
        <v>0</v>
      </c>
      <c r="I38" s="15">
        <v>0</v>
      </c>
      <c r="J38" s="15">
        <v>0.89793011095890396</v>
      </c>
      <c r="K38" s="15">
        <v>0</v>
      </c>
      <c r="L38" s="15">
        <v>0</v>
      </c>
      <c r="M38" s="15">
        <v>0</v>
      </c>
      <c r="N38" s="15">
        <v>0</v>
      </c>
      <c r="O38" s="15">
        <v>0</v>
      </c>
      <c r="P38" s="15">
        <v>0.84924954246575324</v>
      </c>
      <c r="Q38" s="15">
        <v>0</v>
      </c>
      <c r="R38" s="15">
        <v>0</v>
      </c>
      <c r="S38" s="15">
        <v>0</v>
      </c>
      <c r="T38" s="15">
        <v>0</v>
      </c>
      <c r="U38" s="15">
        <v>0</v>
      </c>
      <c r="V38" s="15">
        <v>0.78331936438356164</v>
      </c>
      <c r="W38" s="15">
        <v>0</v>
      </c>
      <c r="X38" s="15">
        <v>0</v>
      </c>
      <c r="Y38" s="15">
        <v>0</v>
      </c>
      <c r="Z38" s="15">
        <v>0</v>
      </c>
      <c r="AA38" s="15">
        <v>0</v>
      </c>
      <c r="AB38" s="15">
        <v>0.7333684613013699</v>
      </c>
      <c r="AC38" s="15">
        <v>0</v>
      </c>
    </row>
    <row r="39" spans="1:29" x14ac:dyDescent="0.3">
      <c r="A39" s="19"/>
      <c r="B39" s="9" t="s">
        <v>145</v>
      </c>
      <c r="C39" s="9" t="s">
        <v>217</v>
      </c>
      <c r="D39" s="9" t="s">
        <v>92</v>
      </c>
      <c r="E39" s="64"/>
      <c r="F39" s="15">
        <v>0.14575804000000001</v>
      </c>
      <c r="G39" s="15">
        <v>0</v>
      </c>
      <c r="H39" s="15">
        <v>0</v>
      </c>
      <c r="I39" s="15">
        <v>0</v>
      </c>
      <c r="J39" s="15">
        <v>0</v>
      </c>
      <c r="K39" s="15">
        <v>0</v>
      </c>
      <c r="L39" s="15">
        <v>0.17225426996049492</v>
      </c>
      <c r="M39" s="15">
        <v>0</v>
      </c>
      <c r="N39" s="15">
        <v>0</v>
      </c>
      <c r="O39" s="15">
        <v>0</v>
      </c>
      <c r="P39" s="15">
        <v>0</v>
      </c>
      <c r="Q39" s="15">
        <v>0</v>
      </c>
      <c r="R39" s="15">
        <v>0.16238907103230224</v>
      </c>
      <c r="S39" s="15">
        <v>0</v>
      </c>
      <c r="T39" s="15">
        <v>0</v>
      </c>
      <c r="U39" s="15">
        <v>0</v>
      </c>
      <c r="V39" s="15">
        <v>0</v>
      </c>
      <c r="W39" s="15">
        <v>0</v>
      </c>
      <c r="X39" s="15">
        <v>0.15243471127996944</v>
      </c>
      <c r="Y39" s="15">
        <v>0</v>
      </c>
      <c r="Z39" s="15">
        <v>0</v>
      </c>
      <c r="AA39" s="15">
        <v>0</v>
      </c>
      <c r="AB39" s="15">
        <v>0</v>
      </c>
      <c r="AC39" s="15">
        <v>0</v>
      </c>
    </row>
    <row r="40" spans="1:29" x14ac:dyDescent="0.3">
      <c r="A40" s="19" t="s">
        <v>40</v>
      </c>
      <c r="B40" s="9" t="s">
        <v>25</v>
      </c>
      <c r="C40" s="9" t="s">
        <v>26</v>
      </c>
      <c r="D40" s="9" t="s">
        <v>92</v>
      </c>
      <c r="E40" s="64"/>
      <c r="F40" s="15">
        <v>0</v>
      </c>
      <c r="G40" s="15">
        <v>0</v>
      </c>
      <c r="H40" s="15">
        <v>0</v>
      </c>
      <c r="I40" s="15">
        <v>6.5242394462007086E-3</v>
      </c>
      <c r="J40" s="15">
        <v>0</v>
      </c>
      <c r="K40" s="15">
        <v>0</v>
      </c>
      <c r="L40" s="15">
        <v>0</v>
      </c>
      <c r="M40" s="15">
        <v>0</v>
      </c>
      <c r="N40" s="15">
        <v>0</v>
      </c>
      <c r="O40" s="15">
        <v>3.2621152473777475E-3</v>
      </c>
      <c r="P40" s="15">
        <v>0</v>
      </c>
      <c r="Q40" s="15">
        <v>0</v>
      </c>
      <c r="R40" s="15">
        <v>0</v>
      </c>
      <c r="S40" s="15">
        <v>0</v>
      </c>
      <c r="T40" s="15">
        <v>0</v>
      </c>
      <c r="U40" s="15">
        <v>0</v>
      </c>
      <c r="V40" s="15">
        <v>0</v>
      </c>
      <c r="W40" s="15">
        <v>0</v>
      </c>
      <c r="X40" s="15">
        <v>0</v>
      </c>
      <c r="Y40" s="15">
        <v>0</v>
      </c>
      <c r="Z40" s="15">
        <v>0</v>
      </c>
      <c r="AA40" s="15">
        <v>0</v>
      </c>
      <c r="AB40" s="15">
        <v>0</v>
      </c>
      <c r="AC40" s="15">
        <v>0</v>
      </c>
    </row>
    <row r="41" spans="1:29" x14ac:dyDescent="0.3">
      <c r="A41" s="19" t="s">
        <v>40</v>
      </c>
      <c r="B41" s="9" t="s">
        <v>27</v>
      </c>
      <c r="C41" s="9" t="s">
        <v>28</v>
      </c>
      <c r="D41" s="9" t="s">
        <v>92</v>
      </c>
      <c r="E41" s="64"/>
      <c r="F41" s="15">
        <v>0</v>
      </c>
      <c r="G41" s="15">
        <v>0</v>
      </c>
      <c r="H41" s="15">
        <v>9.8865781158152745E-4</v>
      </c>
      <c r="I41" s="15"/>
      <c r="J41" s="15"/>
      <c r="K41" s="15">
        <v>9.6857044222806111E-4</v>
      </c>
      <c r="L41" s="15"/>
      <c r="M41" s="15"/>
      <c r="N41" s="15">
        <v>9.4842331295076881E-4</v>
      </c>
      <c r="O41" s="15"/>
      <c r="P41" s="15"/>
      <c r="Q41" s="15">
        <v>9.2821624596387843E-4</v>
      </c>
      <c r="R41" s="15"/>
      <c r="S41" s="15"/>
      <c r="T41" s="15">
        <v>9.0794906295270014E-4</v>
      </c>
      <c r="U41" s="15"/>
      <c r="V41" s="15"/>
      <c r="W41" s="15">
        <v>8.8762158507206393E-4</v>
      </c>
      <c r="X41" s="15"/>
      <c r="Y41" s="15"/>
      <c r="Z41" s="15">
        <v>8.6723363294473311E-4</v>
      </c>
      <c r="AA41" s="15"/>
      <c r="AB41" s="15"/>
      <c r="AC41" s="15">
        <v>8.4678502665982351E-4</v>
      </c>
    </row>
    <row r="42" spans="1:29" x14ac:dyDescent="0.3">
      <c r="A42" s="19" t="s">
        <v>40</v>
      </c>
      <c r="B42" s="9" t="s">
        <v>29</v>
      </c>
      <c r="C42" s="9" t="s">
        <v>30</v>
      </c>
      <c r="D42" s="9" t="s">
        <v>92</v>
      </c>
      <c r="E42" s="64"/>
      <c r="F42" s="15">
        <v>0</v>
      </c>
      <c r="G42" s="171">
        <v>0</v>
      </c>
      <c r="H42" s="171">
        <v>0</v>
      </c>
      <c r="I42" s="171">
        <v>0</v>
      </c>
      <c r="J42" s="171">
        <v>0</v>
      </c>
      <c r="K42" s="171">
        <v>0</v>
      </c>
      <c r="L42" s="171">
        <v>0</v>
      </c>
      <c r="M42" s="171">
        <v>0</v>
      </c>
      <c r="N42" s="171">
        <v>3.2994308695652179E-3</v>
      </c>
      <c r="O42" s="171">
        <v>0</v>
      </c>
      <c r="P42" s="171">
        <v>0</v>
      </c>
      <c r="Q42" s="171">
        <v>0</v>
      </c>
      <c r="R42" s="171">
        <v>0</v>
      </c>
      <c r="S42" s="171">
        <v>0</v>
      </c>
      <c r="T42" s="171">
        <v>0</v>
      </c>
      <c r="U42" s="171">
        <v>0</v>
      </c>
      <c r="V42" s="171">
        <v>0</v>
      </c>
      <c r="W42" s="171">
        <v>0</v>
      </c>
      <c r="X42" s="171">
        <v>0</v>
      </c>
      <c r="Y42" s="171">
        <v>0</v>
      </c>
      <c r="Z42" s="171">
        <v>0</v>
      </c>
      <c r="AA42" s="171">
        <v>0</v>
      </c>
      <c r="AB42" s="171">
        <v>0</v>
      </c>
      <c r="AC42" s="171">
        <v>0</v>
      </c>
    </row>
    <row r="43" spans="1:29" x14ac:dyDescent="0.3">
      <c r="A43" s="19" t="s">
        <v>40</v>
      </c>
      <c r="B43" s="9" t="s">
        <v>32</v>
      </c>
      <c r="C43" s="9" t="s">
        <v>33</v>
      </c>
      <c r="D43" s="9" t="s">
        <v>92</v>
      </c>
      <c r="E43" s="64"/>
      <c r="F43" s="15">
        <v>0</v>
      </c>
      <c r="G43" s="15">
        <v>0</v>
      </c>
      <c r="H43" s="15">
        <v>0.50201371163283404</v>
      </c>
      <c r="I43" s="15">
        <v>0</v>
      </c>
      <c r="J43" s="15">
        <v>0</v>
      </c>
      <c r="K43" s="15">
        <v>0</v>
      </c>
      <c r="L43" s="15">
        <v>0</v>
      </c>
      <c r="M43" s="15">
        <v>0</v>
      </c>
      <c r="N43" s="15">
        <v>0.93345060272026947</v>
      </c>
      <c r="O43" s="15">
        <v>0</v>
      </c>
      <c r="P43" s="15">
        <v>0</v>
      </c>
      <c r="Q43" s="15">
        <v>0</v>
      </c>
      <c r="R43" s="15">
        <v>0</v>
      </c>
      <c r="S43" s="15">
        <v>0</v>
      </c>
      <c r="T43" s="15">
        <v>0.80701591173694376</v>
      </c>
      <c r="U43" s="15">
        <v>0</v>
      </c>
      <c r="V43" s="15">
        <v>0</v>
      </c>
      <c r="W43" s="15">
        <v>0</v>
      </c>
      <c r="X43" s="15">
        <v>0</v>
      </c>
      <c r="Y43" s="15">
        <v>0</v>
      </c>
      <c r="Z43" s="15">
        <v>0.76010666851712572</v>
      </c>
      <c r="AA43" s="15">
        <v>0</v>
      </c>
      <c r="AB43" s="15">
        <v>0</v>
      </c>
      <c r="AC43" s="15">
        <v>0</v>
      </c>
    </row>
    <row r="44" spans="1:29" x14ac:dyDescent="0.3">
      <c r="A44" s="19"/>
      <c r="B44" s="9" t="s">
        <v>146</v>
      </c>
      <c r="C44" s="9" t="s">
        <v>147</v>
      </c>
      <c r="D44" s="9" t="s">
        <v>92</v>
      </c>
      <c r="E44" s="64"/>
      <c r="F44" s="15">
        <v>3.760695E-2</v>
      </c>
      <c r="G44" s="15">
        <v>0</v>
      </c>
      <c r="H44" s="15">
        <v>0</v>
      </c>
      <c r="I44" s="15">
        <v>0</v>
      </c>
      <c r="J44" s="15">
        <v>0</v>
      </c>
      <c r="K44" s="15">
        <v>0</v>
      </c>
      <c r="L44" s="15">
        <v>6.7141409217478881E-2</v>
      </c>
      <c r="M44" s="15">
        <v>0</v>
      </c>
      <c r="N44" s="15">
        <v>0</v>
      </c>
      <c r="O44" s="15">
        <v>0</v>
      </c>
      <c r="P44" s="15">
        <v>0</v>
      </c>
      <c r="Q44" s="15">
        <v>0</v>
      </c>
      <c r="R44" s="15">
        <v>6.3296143968602767E-2</v>
      </c>
      <c r="S44" s="15">
        <v>0</v>
      </c>
      <c r="T44" s="15">
        <v>0</v>
      </c>
      <c r="U44" s="15">
        <v>0</v>
      </c>
      <c r="V44" s="15">
        <v>0</v>
      </c>
      <c r="W44" s="15">
        <v>0</v>
      </c>
      <c r="X44" s="15">
        <v>5.9416125541293774E-2</v>
      </c>
      <c r="Y44" s="15">
        <v>0</v>
      </c>
      <c r="Z44" s="15">
        <v>0</v>
      </c>
      <c r="AA44" s="15">
        <v>0</v>
      </c>
      <c r="AB44" s="15">
        <v>0</v>
      </c>
      <c r="AC44" s="15">
        <v>0</v>
      </c>
    </row>
    <row r="45" spans="1:29" x14ac:dyDescent="0.3">
      <c r="A45" s="19"/>
      <c r="B45" s="9" t="s">
        <v>171</v>
      </c>
      <c r="C45" s="9" t="s">
        <v>172</v>
      </c>
      <c r="D45" s="9" t="s">
        <v>92</v>
      </c>
      <c r="E45" s="64"/>
      <c r="F45" s="15">
        <v>0</v>
      </c>
      <c r="G45" s="15">
        <v>0</v>
      </c>
      <c r="H45" s="15">
        <v>0</v>
      </c>
      <c r="I45" s="15">
        <v>0</v>
      </c>
      <c r="J45" s="15">
        <v>0.15286026876192102</v>
      </c>
      <c r="K45" s="15">
        <v>0</v>
      </c>
      <c r="L45" s="15">
        <v>0</v>
      </c>
      <c r="M45" s="15">
        <v>0</v>
      </c>
      <c r="N45" s="15">
        <v>0</v>
      </c>
      <c r="O45" s="15">
        <v>0</v>
      </c>
      <c r="P45" s="15">
        <v>0.16371346215792967</v>
      </c>
      <c r="Q45" s="15">
        <v>0</v>
      </c>
      <c r="R45" s="15">
        <v>0</v>
      </c>
      <c r="S45" s="15">
        <v>0</v>
      </c>
      <c r="T45" s="15">
        <v>0</v>
      </c>
      <c r="U45" s="15">
        <v>0</v>
      </c>
      <c r="V45" s="15">
        <v>0.15260125415742551</v>
      </c>
      <c r="W45" s="15">
        <v>0</v>
      </c>
      <c r="X45" s="15">
        <v>0</v>
      </c>
      <c r="Y45" s="15">
        <v>0</v>
      </c>
      <c r="Z45" s="15">
        <v>0</v>
      </c>
      <c r="AA45" s="15">
        <v>0</v>
      </c>
      <c r="AB45" s="15">
        <v>0.13794324436849378</v>
      </c>
      <c r="AC45" s="15">
        <v>0</v>
      </c>
    </row>
    <row r="46" spans="1:29" x14ac:dyDescent="0.3">
      <c r="A46" s="19" t="s">
        <v>40</v>
      </c>
      <c r="B46" s="9" t="s">
        <v>124</v>
      </c>
      <c r="C46" s="9" t="s">
        <v>123</v>
      </c>
      <c r="D46" s="9" t="s">
        <v>93</v>
      </c>
      <c r="E46" s="64"/>
      <c r="F46" s="15">
        <v>0</v>
      </c>
      <c r="G46" s="15">
        <v>0</v>
      </c>
      <c r="H46" s="15">
        <v>12.601857019230772</v>
      </c>
      <c r="I46" s="15">
        <v>0</v>
      </c>
      <c r="J46" s="15">
        <v>0</v>
      </c>
      <c r="K46" s="15">
        <v>0</v>
      </c>
      <c r="L46" s="15">
        <v>0</v>
      </c>
      <c r="M46" s="15">
        <v>0</v>
      </c>
      <c r="N46" s="15">
        <v>11.456233653846157</v>
      </c>
      <c r="O46" s="15">
        <v>0</v>
      </c>
      <c r="P46" s="15">
        <v>0</v>
      </c>
      <c r="Q46" s="15">
        <v>0</v>
      </c>
      <c r="R46" s="15">
        <v>0</v>
      </c>
      <c r="S46" s="15">
        <v>0</v>
      </c>
      <c r="T46" s="15">
        <v>10.310610288461541</v>
      </c>
      <c r="U46" s="15">
        <v>0</v>
      </c>
      <c r="V46" s="15">
        <v>0</v>
      </c>
      <c r="W46" s="15">
        <v>0</v>
      </c>
      <c r="X46" s="15">
        <v>0</v>
      </c>
      <c r="Y46" s="15">
        <v>0</v>
      </c>
      <c r="Z46" s="15">
        <v>9.1649869230769276</v>
      </c>
      <c r="AA46" s="15">
        <v>0</v>
      </c>
      <c r="AB46" s="15">
        <v>0</v>
      </c>
      <c r="AC46" s="15">
        <v>0</v>
      </c>
    </row>
    <row r="47" spans="1:29" customFormat="1" ht="6.75" customHeight="1" x14ac:dyDescent="0.3">
      <c r="B47" s="16"/>
      <c r="C47" s="13"/>
      <c r="D47" s="13"/>
      <c r="E47" s="17"/>
    </row>
    <row r="48" spans="1:29" ht="28.5" customHeight="1" x14ac:dyDescent="0.3">
      <c r="B48" s="244" t="s">
        <v>121</v>
      </c>
      <c r="C48" s="244"/>
      <c r="D48" s="244"/>
      <c r="E48" s="3"/>
      <c r="F48" s="205">
        <f t="shared" ref="F48:Q48" si="14">+SUM(F32:F46)</f>
        <v>0.18336499000000001</v>
      </c>
      <c r="G48" s="205">
        <f t="shared" si="14"/>
        <v>1.788197253523786</v>
      </c>
      <c r="H48" s="205">
        <f t="shared" si="14"/>
        <v>13.104859388675187</v>
      </c>
      <c r="I48" s="205">
        <f t="shared" si="14"/>
        <v>0.87518235192883642</v>
      </c>
      <c r="J48" s="205">
        <f t="shared" si="14"/>
        <v>1.1834482562601274</v>
      </c>
      <c r="K48" s="205">
        <f t="shared" si="14"/>
        <v>1.2241234967854475</v>
      </c>
      <c r="L48" s="205">
        <f t="shared" si="14"/>
        <v>0.2393956791779738</v>
      </c>
      <c r="M48" s="205">
        <f t="shared" si="14"/>
        <v>1.5438973482440961</v>
      </c>
      <c r="N48" s="205">
        <f t="shared" si="14"/>
        <v>12.393932110748942</v>
      </c>
      <c r="O48" s="205">
        <f t="shared" si="14"/>
        <v>1.3708268539282376</v>
      </c>
      <c r="P48" s="205">
        <f t="shared" si="14"/>
        <v>1.1329803779251861</v>
      </c>
      <c r="Q48" s="205">
        <f t="shared" si="14"/>
        <v>1.0819127835407729</v>
      </c>
      <c r="R48" s="205">
        <f>+SUM(R32:R46)</f>
        <v>0.22568521500090499</v>
      </c>
      <c r="S48" s="205">
        <f t="shared" ref="S48:AC48" si="15">+SUM(S32:S46)</f>
        <v>1.3193614576564299</v>
      </c>
      <c r="T48" s="205">
        <f t="shared" si="15"/>
        <v>11.118534149261437</v>
      </c>
      <c r="U48" s="205">
        <f t="shared" si="15"/>
        <v>1.2094763570847147</v>
      </c>
      <c r="V48" s="205">
        <f t="shared" si="15"/>
        <v>1.0406651720895244</v>
      </c>
      <c r="W48" s="205">
        <f t="shared" si="15"/>
        <v>0.98099592076575926</v>
      </c>
      <c r="X48" s="205">
        <f t="shared" si="15"/>
        <v>0.21185083682126321</v>
      </c>
      <c r="Y48" s="205">
        <f t="shared" si="15"/>
        <v>1.1330993732948258</v>
      </c>
      <c r="Z48" s="205">
        <f t="shared" si="15"/>
        <v>9.9259608252269977</v>
      </c>
      <c r="AA48" s="205">
        <f t="shared" si="15"/>
        <v>1.1018736990614078</v>
      </c>
      <c r="AB48" s="205">
        <f t="shared" si="15"/>
        <v>0.96645008960178569</v>
      </c>
      <c r="AC48" s="205">
        <f t="shared" si="15"/>
        <v>0.88935606092067776</v>
      </c>
    </row>
    <row r="49" spans="2:29" x14ac:dyDescent="0.3">
      <c r="B49" s="4"/>
      <c r="C49" s="4"/>
      <c r="D49" s="4"/>
      <c r="F49" s="14"/>
      <c r="G49" s="14"/>
      <c r="H49" s="14"/>
      <c r="I49" s="14"/>
      <c r="J49" s="14"/>
      <c r="K49" s="14"/>
      <c r="L49" s="14"/>
      <c r="M49" s="14"/>
      <c r="N49" s="14"/>
      <c r="O49" s="14"/>
      <c r="P49" s="14"/>
      <c r="Q49" s="14"/>
      <c r="R49" s="14"/>
      <c r="S49" s="14"/>
      <c r="T49" s="14"/>
      <c r="U49" s="14"/>
      <c r="V49" s="14"/>
      <c r="W49" s="14"/>
      <c r="X49" s="14"/>
      <c r="Y49" s="14"/>
      <c r="Z49" s="14"/>
      <c r="AA49" s="14"/>
      <c r="AB49" s="14"/>
      <c r="AC49" s="14"/>
    </row>
    <row r="50" spans="2:29" x14ac:dyDescent="0.3">
      <c r="B50" s="4"/>
      <c r="C50" s="4"/>
      <c r="D50" s="4"/>
      <c r="F50" s="14"/>
      <c r="G50" s="14"/>
      <c r="H50" s="14"/>
      <c r="I50" s="14"/>
      <c r="J50" s="14"/>
      <c r="K50" s="14"/>
      <c r="L50" s="14"/>
      <c r="M50" s="14"/>
      <c r="O50" s="14"/>
      <c r="P50" s="14"/>
      <c r="R50" s="14"/>
      <c r="S50" s="14"/>
      <c r="U50" s="14"/>
      <c r="V50" s="14"/>
      <c r="X50" s="14"/>
      <c r="Y50" s="14"/>
      <c r="AA50" s="14"/>
      <c r="AB50" s="14"/>
    </row>
    <row r="51" spans="2:29" x14ac:dyDescent="0.3">
      <c r="B51" s="4"/>
      <c r="C51" s="4"/>
      <c r="D51" s="4"/>
      <c r="F51" s="14"/>
      <c r="G51" s="14"/>
      <c r="I51" s="14"/>
      <c r="J51" s="14"/>
      <c r="L51" s="14"/>
      <c r="M51" s="14"/>
      <c r="O51" s="14"/>
      <c r="P51" s="14"/>
      <c r="R51" s="14"/>
      <c r="S51" s="14"/>
      <c r="U51" s="14"/>
      <c r="V51" s="14"/>
      <c r="X51" s="14"/>
      <c r="Y51" s="14"/>
      <c r="AA51" s="14"/>
      <c r="AB51" s="14"/>
      <c r="AC51" s="14"/>
    </row>
    <row r="52" spans="2:29" x14ac:dyDescent="0.3">
      <c r="I52" s="14"/>
    </row>
    <row r="53" spans="2:29" x14ac:dyDescent="0.3">
      <c r="I53" s="14"/>
    </row>
    <row r="54" spans="2:29" x14ac:dyDescent="0.3">
      <c r="I54" s="14"/>
    </row>
    <row r="55" spans="2:29" x14ac:dyDescent="0.3">
      <c r="I55" s="14"/>
    </row>
    <row r="56" spans="2:29" x14ac:dyDescent="0.3">
      <c r="I56" s="14"/>
    </row>
    <row r="57" spans="2:29" x14ac:dyDescent="0.3">
      <c r="I57" s="14"/>
    </row>
  </sheetData>
  <mergeCells count="12">
    <mergeCell ref="B1:E1"/>
    <mergeCell ref="B5:B6"/>
    <mergeCell ref="C5:C6"/>
    <mergeCell ref="B4:D4"/>
    <mergeCell ref="D5:D6"/>
    <mergeCell ref="D30:D31"/>
    <mergeCell ref="B29:D29"/>
    <mergeCell ref="B22:D22"/>
    <mergeCell ref="B48:D48"/>
    <mergeCell ref="B23:D24"/>
    <mergeCell ref="B30:B31"/>
    <mergeCell ref="C30:C31"/>
  </mergeCells>
  <hyperlinks>
    <hyperlink ref="C33" location="BIDF40!A1" display="BIDF40" xr:uid="{00000000-0004-0000-0200-000000000000}"/>
    <hyperlink ref="C40" location="BIDO24!A1" display="BIDO24" xr:uid="{00000000-0004-0000-0200-000001000000}"/>
    <hyperlink ref="C37" location="BIDN32!A1" display="BIDN32" xr:uid="{00000000-0004-0000-0200-000002000000}"/>
    <hyperlink ref="C41" location="BIDS34!A1" display="BIDS34" xr:uid="{00000000-0004-0000-0200-000003000000}"/>
    <hyperlink ref="C42" location="BIDS23!A1" display="BIDS23" xr:uid="{00000000-0004-0000-0200-000004000000}"/>
    <hyperlink ref="C36" location="BIDY42!A1" display="BIDY42" xr:uid="{00000000-0004-0000-0200-000005000000}"/>
    <hyperlink ref="C43" location="BIRS38!A1" display="BIRS38" xr:uid="{00000000-0004-0000-0200-000006000000}"/>
    <hyperlink ref="C10" location="ANSE23!A1" display="ANSE23" xr:uid="{00000000-0004-0000-0200-000007000000}"/>
    <hyperlink ref="C7" location="FFDPO23!A1" display="FFDPO23" xr:uid="{00000000-0004-0000-0200-000008000000}"/>
    <hyperlink ref="C11" location="IPVO26!A1" display="IPVO26" xr:uid="{00000000-0004-0000-0200-000009000000}"/>
    <hyperlink ref="C18" location="'PMG25'!A1" display="PMG25" xr:uid="{00000000-0004-0000-0200-00000A000000}"/>
    <hyperlink ref="C19" location="FFFIRO24!A1" display="FFFIRO24" xr:uid="{00000000-0004-0000-0200-00000B000000}"/>
    <hyperlink ref="C20" location="FFFIRF26!A1" display="FFFIRF26" xr:uid="{00000000-0004-0000-0200-00000C000000}"/>
    <hyperlink ref="C9" location="GOBD23!A1" display="GOBD23" xr:uid="{00000000-0004-0000-0200-00000E000000}"/>
    <hyperlink ref="C16" location="'PMY25'!A1" display="PMY25" xr:uid="{00000000-0004-0000-0200-00000F000000}"/>
  </hyperlinks>
  <pageMargins left="0.7" right="0.7" top="0.75" bottom="0.75" header="0.3" footer="0.3"/>
  <pageSetup paperSize="9" orientation="portrait" horizontalDpi="0"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980915-7664-4825-B653-7EF4E52844CD}">
  <dimension ref="A1:I66"/>
  <sheetViews>
    <sheetView showGridLines="0" workbookViewId="0"/>
  </sheetViews>
  <sheetFormatPr baseColWidth="10" defaultRowHeight="15" x14ac:dyDescent="0.25"/>
  <sheetData>
    <row r="1" spans="1:9" ht="21" x14ac:dyDescent="0.35">
      <c r="A1" s="175" t="s">
        <v>221</v>
      </c>
    </row>
    <row r="2" spans="1:9" ht="21" x14ac:dyDescent="0.35">
      <c r="A2" s="175"/>
    </row>
    <row r="3" spans="1:9" ht="18" x14ac:dyDescent="0.25">
      <c r="A3" s="176" t="s">
        <v>222</v>
      </c>
      <c r="I3" s="176" t="s">
        <v>223</v>
      </c>
    </row>
    <row r="4" spans="1:9" ht="15.75" x14ac:dyDescent="0.25">
      <c r="A4" s="217" t="s">
        <v>224</v>
      </c>
      <c r="I4" s="217" t="s">
        <v>225</v>
      </c>
    </row>
    <row r="24" spans="1:9" ht="18" x14ac:dyDescent="0.25">
      <c r="A24" s="176" t="s">
        <v>226</v>
      </c>
      <c r="I24" s="176" t="s">
        <v>227</v>
      </c>
    </row>
    <row r="25" spans="1:9" ht="15.75" x14ac:dyDescent="0.25">
      <c r="A25" s="217" t="s">
        <v>229</v>
      </c>
      <c r="I25" s="217" t="s">
        <v>228</v>
      </c>
    </row>
    <row r="44" spans="1:9" ht="18" x14ac:dyDescent="0.25">
      <c r="A44" s="176" t="s">
        <v>233</v>
      </c>
      <c r="I44" s="176" t="s">
        <v>230</v>
      </c>
    </row>
    <row r="45" spans="1:9" ht="15.75" x14ac:dyDescent="0.25">
      <c r="A45" s="217" t="s">
        <v>232</v>
      </c>
      <c r="I45" s="217" t="s">
        <v>231</v>
      </c>
    </row>
    <row r="65" spans="1:9" ht="18" x14ac:dyDescent="0.25">
      <c r="A65" s="176" t="s">
        <v>234</v>
      </c>
      <c r="I65" s="176" t="s">
        <v>235</v>
      </c>
    </row>
    <row r="66" spans="1:9" ht="15.75" x14ac:dyDescent="0.25">
      <c r="A66" s="217" t="s">
        <v>229</v>
      </c>
      <c r="I66" s="217" t="s">
        <v>228</v>
      </c>
    </row>
  </sheetData>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2:BV174"/>
  <sheetViews>
    <sheetView showGridLines="0" topLeftCell="BD149" zoomScale="85" zoomScaleNormal="85" workbookViewId="0">
      <selection activeCell="BN168" sqref="BN168"/>
    </sheetView>
  </sheetViews>
  <sheetFormatPr baseColWidth="10" defaultRowHeight="15" x14ac:dyDescent="0.25"/>
  <cols>
    <col min="1" max="1" width="20.42578125" bestFit="1" customWidth="1"/>
    <col min="7" max="7" width="20.42578125" bestFit="1" customWidth="1"/>
    <col min="8" max="8" width="11.85546875" bestFit="1" customWidth="1"/>
    <col min="28" max="28" width="20.42578125" bestFit="1" customWidth="1"/>
    <col min="29" max="46" width="18.28515625" customWidth="1"/>
    <col min="47" max="47" width="14.85546875" bestFit="1" customWidth="1"/>
    <col min="49" max="49" width="17.7109375" customWidth="1"/>
    <col min="56" max="56" width="17.7109375" customWidth="1"/>
    <col min="62" max="62" width="14.7109375" customWidth="1"/>
    <col min="66" max="66" width="90.85546875" customWidth="1"/>
  </cols>
  <sheetData>
    <row r="2" spans="1:74" ht="33" customHeight="1" x14ac:dyDescent="0.25">
      <c r="G2" s="255" t="s">
        <v>86</v>
      </c>
      <c r="H2" s="255" t="s">
        <v>87</v>
      </c>
      <c r="I2" s="255"/>
      <c r="J2" s="255"/>
      <c r="K2" s="255" t="s">
        <v>88</v>
      </c>
      <c r="L2" s="255"/>
      <c r="M2" s="255"/>
      <c r="N2" s="255" t="s">
        <v>85</v>
      </c>
      <c r="O2" s="255"/>
      <c r="P2" s="255"/>
      <c r="Q2" s="255" t="s">
        <v>87</v>
      </c>
      <c r="R2" s="255"/>
      <c r="S2" s="255"/>
      <c r="T2" s="255" t="s">
        <v>88</v>
      </c>
      <c r="U2" s="255"/>
      <c r="V2" s="255"/>
      <c r="W2" s="255" t="s">
        <v>85</v>
      </c>
      <c r="X2" s="255"/>
      <c r="Y2" s="255"/>
      <c r="AB2" s="255" t="s">
        <v>94</v>
      </c>
      <c r="AC2" s="52" t="s">
        <v>89</v>
      </c>
      <c r="AD2" s="52" t="s">
        <v>89</v>
      </c>
      <c r="AE2" s="52" t="s">
        <v>89</v>
      </c>
      <c r="AF2" s="52" t="s">
        <v>90</v>
      </c>
      <c r="AG2" s="52" t="s">
        <v>90</v>
      </c>
      <c r="AH2" s="52" t="s">
        <v>90</v>
      </c>
      <c r="AI2" s="52" t="s">
        <v>91</v>
      </c>
      <c r="AJ2" s="52" t="s">
        <v>91</v>
      </c>
      <c r="AK2" s="52" t="s">
        <v>91</v>
      </c>
      <c r="AL2" s="52" t="s">
        <v>92</v>
      </c>
      <c r="AM2" s="52" t="s">
        <v>92</v>
      </c>
      <c r="AN2" s="52" t="s">
        <v>92</v>
      </c>
      <c r="AO2" s="52" t="s">
        <v>93</v>
      </c>
      <c r="AP2" s="52" t="s">
        <v>93</v>
      </c>
      <c r="AQ2" s="52" t="s">
        <v>93</v>
      </c>
      <c r="AR2" s="255" t="s">
        <v>85</v>
      </c>
      <c r="AS2" s="255"/>
      <c r="AT2" s="255"/>
    </row>
    <row r="3" spans="1:74" ht="27" customHeight="1" x14ac:dyDescent="0.25">
      <c r="A3" s="49" t="s">
        <v>84</v>
      </c>
      <c r="B3" s="50" t="s">
        <v>2</v>
      </c>
      <c r="C3" s="50" t="s">
        <v>99</v>
      </c>
      <c r="D3" s="50" t="s">
        <v>41</v>
      </c>
      <c r="G3" s="255"/>
      <c r="H3" s="50" t="s">
        <v>2</v>
      </c>
      <c r="I3" s="50" t="s">
        <v>99</v>
      </c>
      <c r="J3" s="50" t="s">
        <v>41</v>
      </c>
      <c r="K3" s="50" t="s">
        <v>2</v>
      </c>
      <c r="L3" s="50" t="s">
        <v>99</v>
      </c>
      <c r="M3" s="50" t="s">
        <v>41</v>
      </c>
      <c r="N3" s="50" t="s">
        <v>2</v>
      </c>
      <c r="O3" s="50" t="s">
        <v>99</v>
      </c>
      <c r="P3" s="50" t="s">
        <v>41</v>
      </c>
      <c r="Q3" s="50" t="s">
        <v>2</v>
      </c>
      <c r="R3" s="50" t="s">
        <v>99</v>
      </c>
      <c r="S3" s="50" t="s">
        <v>41</v>
      </c>
      <c r="T3" s="50" t="s">
        <v>2</v>
      </c>
      <c r="U3" s="50" t="s">
        <v>99</v>
      </c>
      <c r="V3" s="50" t="s">
        <v>41</v>
      </c>
      <c r="W3" s="50" t="s">
        <v>2</v>
      </c>
      <c r="X3" s="50" t="s">
        <v>99</v>
      </c>
      <c r="Y3" s="50" t="s">
        <v>41</v>
      </c>
      <c r="AB3" s="255"/>
      <c r="AC3" s="50" t="s">
        <v>2</v>
      </c>
      <c r="AD3" s="50" t="s">
        <v>99</v>
      </c>
      <c r="AE3" s="50" t="s">
        <v>41</v>
      </c>
      <c r="AF3" s="50" t="s">
        <v>2</v>
      </c>
      <c r="AG3" s="50" t="s">
        <v>99</v>
      </c>
      <c r="AH3" s="50" t="s">
        <v>41</v>
      </c>
      <c r="AI3" s="50" t="s">
        <v>2</v>
      </c>
      <c r="AJ3" s="50" t="s">
        <v>99</v>
      </c>
      <c r="AK3" s="50" t="s">
        <v>41</v>
      </c>
      <c r="AL3" s="50" t="s">
        <v>2</v>
      </c>
      <c r="AM3" s="50" t="s">
        <v>99</v>
      </c>
      <c r="AN3" s="50" t="s">
        <v>41</v>
      </c>
      <c r="AO3" s="50" t="s">
        <v>2</v>
      </c>
      <c r="AP3" s="50" t="s">
        <v>99</v>
      </c>
      <c r="AQ3" s="50" t="s">
        <v>41</v>
      </c>
      <c r="AR3" s="50" t="s">
        <v>2</v>
      </c>
      <c r="AS3" s="50" t="s">
        <v>99</v>
      </c>
      <c r="AT3" s="50" t="s">
        <v>41</v>
      </c>
      <c r="AW3" s="49" t="s">
        <v>100</v>
      </c>
      <c r="AX3" s="50" t="s">
        <v>2</v>
      </c>
      <c r="AY3" s="50" t="s">
        <v>99</v>
      </c>
      <c r="AZ3" s="50" t="s">
        <v>41</v>
      </c>
      <c r="BA3" s="51" t="s">
        <v>102</v>
      </c>
      <c r="BD3" s="49" t="s">
        <v>103</v>
      </c>
      <c r="BE3" s="50" t="s">
        <v>106</v>
      </c>
      <c r="BF3" s="50" t="s">
        <v>107</v>
      </c>
      <c r="BG3" s="50" t="s">
        <v>108</v>
      </c>
      <c r="BH3" s="50" t="s">
        <v>104</v>
      </c>
      <c r="BI3" s="50" t="s">
        <v>105</v>
      </c>
      <c r="BJ3" s="51" t="s">
        <v>109</v>
      </c>
      <c r="BK3" s="51" t="s">
        <v>102</v>
      </c>
      <c r="BP3" s="215" t="s">
        <v>222</v>
      </c>
      <c r="BT3" s="254" t="s">
        <v>118</v>
      </c>
      <c r="BU3" s="254"/>
      <c r="BV3" s="254"/>
    </row>
    <row r="4" spans="1:74" ht="16.5" x14ac:dyDescent="0.25">
      <c r="A4" s="55">
        <v>2020</v>
      </c>
      <c r="B4" s="139">
        <v>3065.3877530712161</v>
      </c>
      <c r="C4" s="139">
        <v>45.469618353511237</v>
      </c>
      <c r="D4" s="139">
        <v>55.569016177820686</v>
      </c>
      <c r="E4" s="34"/>
      <c r="F4" s="34"/>
      <c r="G4" s="56">
        <v>2020</v>
      </c>
      <c r="H4" s="139">
        <v>424.70894349503453</v>
      </c>
      <c r="I4" s="139">
        <v>17.845133027467902</v>
      </c>
      <c r="J4" s="139">
        <v>44.483175448205863</v>
      </c>
      <c r="K4" s="139">
        <v>2640.6788095761817</v>
      </c>
      <c r="L4" s="139">
        <v>27.624485326043335</v>
      </c>
      <c r="M4" s="139">
        <v>11.085840729614823</v>
      </c>
      <c r="N4" s="82">
        <f>+K4+H4</f>
        <v>3065.3877530712161</v>
      </c>
      <c r="O4" s="82">
        <f t="shared" ref="O4:P4" si="0">+L4+I4</f>
        <v>45.469618353511237</v>
      </c>
      <c r="P4" s="82">
        <f t="shared" si="0"/>
        <v>55.569016177820686</v>
      </c>
      <c r="Q4" s="83">
        <f>+H4/N4</f>
        <v>0.13854982720196427</v>
      </c>
      <c r="R4" s="83">
        <f>+I4/O4</f>
        <v>0.39246278446253713</v>
      </c>
      <c r="S4" s="83">
        <f>+J4/P4</f>
        <v>0.80050320318538359</v>
      </c>
      <c r="T4" s="83">
        <f>+K4/N4</f>
        <v>0.86145017279803571</v>
      </c>
      <c r="U4" s="83">
        <f>+L4/O4</f>
        <v>0.60753721553746287</v>
      </c>
      <c r="V4" s="83">
        <f>+M4/P4</f>
        <v>0.19949679681461635</v>
      </c>
      <c r="W4" s="83">
        <v>1</v>
      </c>
      <c r="X4" s="83">
        <v>1</v>
      </c>
      <c r="Y4" s="83">
        <v>1</v>
      </c>
      <c r="Z4" s="119"/>
      <c r="AB4" s="56">
        <v>2020</v>
      </c>
      <c r="AC4" s="140">
        <v>1178.471061912041</v>
      </c>
      <c r="AD4" s="140">
        <v>0</v>
      </c>
      <c r="AE4" s="140">
        <v>0</v>
      </c>
      <c r="AF4" s="140">
        <v>0</v>
      </c>
      <c r="AG4" s="140">
        <v>0</v>
      </c>
      <c r="AH4" s="140">
        <v>55.569016177820686</v>
      </c>
      <c r="AI4" s="140">
        <v>0</v>
      </c>
      <c r="AJ4" s="140">
        <v>1.6413985000000002</v>
      </c>
      <c r="AK4" s="140">
        <v>0</v>
      </c>
      <c r="AL4" s="140">
        <v>0</v>
      </c>
      <c r="AM4" s="140">
        <v>21.636144853511247</v>
      </c>
      <c r="AN4" s="140">
        <v>0</v>
      </c>
      <c r="AO4" s="140">
        <v>1886.9166911591758</v>
      </c>
      <c r="AP4" s="140">
        <v>22.192074999999999</v>
      </c>
      <c r="AQ4" s="140">
        <v>0</v>
      </c>
      <c r="AR4" s="85">
        <f>+SUMIF($AC$3:$AQ$3,"Pesos",$AC4:$AQ4)</f>
        <v>3065.387753071217</v>
      </c>
      <c r="AS4" s="85">
        <f>+SUMIF($AC$3:$AQ$3,"USD",$AC4:$AQ4)</f>
        <v>45.469618353511251</v>
      </c>
      <c r="AT4" s="85">
        <f>+SUMIF($AC$3:$AQ$3,"UVA",$AC4:$AQ4)</f>
        <v>55.569016177820686</v>
      </c>
      <c r="AU4" s="34" t="b">
        <f>+SUM(AR4:AT4)=SUM(B4:D4)</f>
        <v>1</v>
      </c>
      <c r="AV4" s="34"/>
      <c r="AW4" s="51" t="s">
        <v>47</v>
      </c>
      <c r="AX4" s="88">
        <f>+AX5/$BA$5</f>
        <v>0.15647280485146051</v>
      </c>
      <c r="AY4" s="88">
        <f>+AY5/$BA$5</f>
        <v>0.84352719514853935</v>
      </c>
      <c r="AZ4" s="88">
        <f>+AZ5/$BA$5</f>
        <v>0</v>
      </c>
      <c r="BA4" s="88">
        <f>+BA5/$BA$5</f>
        <v>1</v>
      </c>
      <c r="BD4" s="51" t="s">
        <v>47</v>
      </c>
      <c r="BE4" s="88">
        <f>+BE5/$BK$5</f>
        <v>0.11077075164125673</v>
      </c>
      <c r="BF4" s="88">
        <f t="shared" ref="BF4:BK4" si="1">+BF5/$BK$5</f>
        <v>0</v>
      </c>
      <c r="BG4" s="88">
        <f t="shared" si="1"/>
        <v>0.56594807702363348</v>
      </c>
      <c r="BH4" s="88">
        <f t="shared" si="1"/>
        <v>4.2998823391318546E-2</v>
      </c>
      <c r="BI4" s="88">
        <f t="shared" si="1"/>
        <v>0.2802823479437912</v>
      </c>
      <c r="BJ4" s="88">
        <f t="shared" si="1"/>
        <v>0</v>
      </c>
      <c r="BK4" s="88">
        <f t="shared" si="1"/>
        <v>1</v>
      </c>
      <c r="BL4" s="54"/>
      <c r="BP4" s="216" t="s">
        <v>224</v>
      </c>
      <c r="BT4" s="58" t="s">
        <v>111</v>
      </c>
    </row>
    <row r="5" spans="1:74" ht="16.5" x14ac:dyDescent="0.25">
      <c r="A5" s="55">
        <f>+A4+1</f>
        <v>2021</v>
      </c>
      <c r="B5" s="139">
        <v>7722.1832983013492</v>
      </c>
      <c r="C5" s="139">
        <v>39.604677280951158</v>
      </c>
      <c r="D5" s="139">
        <v>19.277296437904816</v>
      </c>
      <c r="E5" s="34"/>
      <c r="F5" s="34"/>
      <c r="G5" s="55">
        <f>+G4+1</f>
        <v>2021</v>
      </c>
      <c r="H5" s="139">
        <v>4956.8121740246343</v>
      </c>
      <c r="I5" s="139">
        <v>16.248720311656189</v>
      </c>
      <c r="J5" s="139">
        <v>10.434325061801667</v>
      </c>
      <c r="K5" s="139">
        <v>2765.3711242767149</v>
      </c>
      <c r="L5" s="139">
        <v>23.355956969294969</v>
      </c>
      <c r="M5" s="139">
        <v>8.842971376103149</v>
      </c>
      <c r="N5" s="82">
        <f t="shared" ref="N5:N14" si="2">+K5+H5</f>
        <v>7722.1832983013492</v>
      </c>
      <c r="O5" s="82">
        <f t="shared" ref="O5:O14" si="3">+L5+I5</f>
        <v>39.604677280951158</v>
      </c>
      <c r="P5" s="82">
        <f t="shared" ref="P5:P14" si="4">+M5+J5</f>
        <v>19.277296437904816</v>
      </c>
      <c r="Q5" s="83">
        <f t="shared" ref="Q5:Q14" si="5">+H5/N5</f>
        <v>0.6418925817410972</v>
      </c>
      <c r="R5" s="83">
        <f>+I5/O5</f>
        <v>0.41027276138092433</v>
      </c>
      <c r="S5" s="83">
        <f t="shared" ref="S5:S6" si="6">+J5/P5</f>
        <v>0.5412753336761853</v>
      </c>
      <c r="T5" s="83">
        <f t="shared" ref="T5:T14" si="7">+K5/N5</f>
        <v>0.3581074182589028</v>
      </c>
      <c r="U5" s="83">
        <f t="shared" ref="U5:U14" si="8">+L5/O5</f>
        <v>0.58972723861907572</v>
      </c>
      <c r="V5" s="83">
        <f t="shared" ref="V5:V6" si="9">+M5/P5</f>
        <v>0.4587246663238147</v>
      </c>
      <c r="W5" s="83">
        <v>1</v>
      </c>
      <c r="X5" s="83">
        <v>1</v>
      </c>
      <c r="Y5" s="83">
        <v>1</v>
      </c>
      <c r="Z5" s="57">
        <v>0</v>
      </c>
      <c r="AB5" s="55">
        <f>+AB4+1</f>
        <v>2021</v>
      </c>
      <c r="AC5" s="140">
        <v>4657.6730759813126</v>
      </c>
      <c r="AD5" s="140">
        <v>0</v>
      </c>
      <c r="AE5" s="140">
        <v>0</v>
      </c>
      <c r="AF5" s="140">
        <v>0</v>
      </c>
      <c r="AG5" s="140">
        <v>0</v>
      </c>
      <c r="AH5" s="140">
        <v>19.277296437904816</v>
      </c>
      <c r="AI5" s="140">
        <v>0</v>
      </c>
      <c r="AJ5" s="140">
        <v>0.79255361999999996</v>
      </c>
      <c r="AK5" s="140">
        <v>0</v>
      </c>
      <c r="AL5" s="140">
        <v>0</v>
      </c>
      <c r="AM5" s="140">
        <v>19.38025699428449</v>
      </c>
      <c r="AN5" s="140">
        <v>0</v>
      </c>
      <c r="AO5" s="140">
        <v>3064.5102223200347</v>
      </c>
      <c r="AP5" s="140">
        <v>19.431866666666668</v>
      </c>
      <c r="AQ5" s="140">
        <v>0</v>
      </c>
      <c r="AR5" s="85">
        <f t="shared" ref="AR5:AR14" si="10">+SUMIF($AC$3:$AQ$3,"Pesos",$AC5:$AQ5)</f>
        <v>7722.1832983013473</v>
      </c>
      <c r="AS5" s="85">
        <f t="shared" ref="AS5:AS14" si="11">+SUMIF($AC$3:$AQ$3,"USD",$AC5:$AQ5)</f>
        <v>39.604677280951158</v>
      </c>
      <c r="AT5" s="85">
        <f t="shared" ref="AT5:AT14" si="12">+SUMIF($AC$3:$AQ$3,"UVA",$AC5:$AQ5)</f>
        <v>19.277296437904816</v>
      </c>
      <c r="AU5" s="34" t="b">
        <f>+SUM(AR5:AT5)=SUM(B5:D5)</f>
        <v>0</v>
      </c>
      <c r="AV5" s="34"/>
      <c r="AW5" s="51" t="s">
        <v>101</v>
      </c>
      <c r="AX5" s="86">
        <f>+'Servicios Deuda Anual'!F9+'Servicios Deuda Anual'!F15+'Servicios Deuda Anual'!F34-'Servicios Deuda Anual'!F35</f>
        <v>110.17074660698819</v>
      </c>
      <c r="AY5" s="86">
        <f>+'Servicios Deuda Anual'!F35+'Servicios Deuda Anual'!F17</f>
        <v>593.91803554000001</v>
      </c>
      <c r="AZ5" s="86">
        <v>0</v>
      </c>
      <c r="BA5" s="87">
        <f>+AY5+AX5+AZ5</f>
        <v>704.08878214698825</v>
      </c>
      <c r="BD5" s="51" t="s">
        <v>101</v>
      </c>
      <c r="BE5" s="90">
        <f>'Servicios Deuda Anual'!F38+'Servicios Deuda Anual'!F36+'Servicios Deuda Anual'!F37</f>
        <v>77.992443620598948</v>
      </c>
      <c r="BF5" s="90">
        <v>0</v>
      </c>
      <c r="BG5" s="90">
        <f>+'Servicios Deuda Anual'!F35</f>
        <v>398.47769231000001</v>
      </c>
      <c r="BH5" s="90">
        <f>+'Servicios Deuda Anual'!F43+'Servicios Deuda Anual'!F42+'Servicios Deuda Anual'!F41+'Servicios Deuda Anual'!F40+'Servicios Deuda Anual'!F39+'Servicios Deuda Anual'!F16+'Servicios Deuda Anual'!F13</f>
        <v>30.274989195346905</v>
      </c>
      <c r="BI5" s="90">
        <f>+'Servicios Deuda Anual'!F10+'Servicios Deuda Anual'!F11+'Servicios Deuda Anual'!F12+'Servicios Deuda Anual'!F14+'Servicios Deuda Anual'!F18+'Servicios Deuda Anual'!F30</f>
        <v>197.34365702104236</v>
      </c>
      <c r="BJ5" s="90">
        <v>0</v>
      </c>
      <c r="BK5" s="89">
        <f>+SUM(BE5:BJ5)</f>
        <v>704.08878214698825</v>
      </c>
      <c r="BL5" s="53"/>
      <c r="BP5" s="216" t="s">
        <v>252</v>
      </c>
      <c r="BT5" s="58" t="s">
        <v>112</v>
      </c>
    </row>
    <row r="6" spans="1:74" x14ac:dyDescent="0.25">
      <c r="A6" s="55">
        <f t="shared" ref="A6:A9" si="13">+A5+1</f>
        <v>2022</v>
      </c>
      <c r="B6" s="139">
        <v>24763.11180595223</v>
      </c>
      <c r="C6" s="139">
        <v>42.62848488616963</v>
      </c>
      <c r="D6" s="139">
        <v>13.053123599940303</v>
      </c>
      <c r="E6" s="34"/>
      <c r="F6" s="34"/>
      <c r="G6" s="55">
        <f t="shared" ref="G6:G9" si="14">+G5+1</f>
        <v>2022</v>
      </c>
      <c r="H6" s="139">
        <v>9381.3052599994116</v>
      </c>
      <c r="I6" s="139">
        <v>15.691754258460426</v>
      </c>
      <c r="J6" s="139">
        <v>9.8546403350349081</v>
      </c>
      <c r="K6" s="139">
        <v>15381.806545952819</v>
      </c>
      <c r="L6" s="139">
        <v>26.936730627709203</v>
      </c>
      <c r="M6" s="139">
        <v>3.198483264905394</v>
      </c>
      <c r="N6" s="82">
        <f t="shared" si="2"/>
        <v>24763.11180595223</v>
      </c>
      <c r="O6" s="82">
        <f t="shared" si="3"/>
        <v>42.62848488616963</v>
      </c>
      <c r="P6" s="82">
        <f t="shared" si="4"/>
        <v>13.053123599940303</v>
      </c>
      <c r="Q6" s="83">
        <f t="shared" si="5"/>
        <v>0.37884193769801006</v>
      </c>
      <c r="R6" s="83">
        <f>+I6/O6</f>
        <v>0.3681049021648774</v>
      </c>
      <c r="S6" s="83">
        <f t="shared" si="6"/>
        <v>0.75496414782129062</v>
      </c>
      <c r="T6" s="83">
        <f t="shared" si="7"/>
        <v>0.62115806230199</v>
      </c>
      <c r="U6" s="83">
        <f t="shared" si="8"/>
        <v>0.63189509783512254</v>
      </c>
      <c r="V6" s="83">
        <f t="shared" si="9"/>
        <v>0.24503585217870932</v>
      </c>
      <c r="W6" s="83">
        <v>1</v>
      </c>
      <c r="X6" s="83">
        <v>1</v>
      </c>
      <c r="Y6" s="83">
        <v>1</v>
      </c>
      <c r="Z6" s="57">
        <v>0</v>
      </c>
      <c r="AB6" s="55">
        <f t="shared" ref="AB6:AB9" si="15">+AB5+1</f>
        <v>2022</v>
      </c>
      <c r="AC6" s="140">
        <v>11809.215791485463</v>
      </c>
      <c r="AD6" s="140">
        <v>0</v>
      </c>
      <c r="AE6" s="140">
        <v>0</v>
      </c>
      <c r="AF6" s="140">
        <v>7157.3785598736722</v>
      </c>
      <c r="AG6" s="140">
        <v>0</v>
      </c>
      <c r="AH6" s="140">
        <v>13.053123599940303</v>
      </c>
      <c r="AI6" s="140">
        <v>0</v>
      </c>
      <c r="AJ6" s="140">
        <v>0</v>
      </c>
      <c r="AK6" s="140">
        <v>0</v>
      </c>
      <c r="AL6" s="140">
        <v>0</v>
      </c>
      <c r="AM6" s="140">
        <v>20.261712386169627</v>
      </c>
      <c r="AN6" s="140">
        <v>0</v>
      </c>
      <c r="AO6" s="140">
        <v>5796.5174545930986</v>
      </c>
      <c r="AP6" s="140">
        <v>22.3667725</v>
      </c>
      <c r="AQ6" s="140">
        <v>0</v>
      </c>
      <c r="AR6" s="85">
        <f t="shared" si="10"/>
        <v>24763.111805952234</v>
      </c>
      <c r="AS6" s="85">
        <f t="shared" si="11"/>
        <v>42.62848488616963</v>
      </c>
      <c r="AT6" s="85">
        <f t="shared" si="12"/>
        <v>13.053123599940303</v>
      </c>
      <c r="AU6" s="34" t="b">
        <f t="shared" ref="AU6" si="16">+SUM(AR6:AT6)=SUM(B6:D6)</f>
        <v>1</v>
      </c>
      <c r="AV6" s="34"/>
      <c r="AW6" s="34"/>
      <c r="BA6" s="34"/>
      <c r="BD6" s="34"/>
      <c r="BT6" s="58" t="s">
        <v>113</v>
      </c>
    </row>
    <row r="7" spans="1:74" x14ac:dyDescent="0.25">
      <c r="A7" s="55">
        <f t="shared" si="13"/>
        <v>2023</v>
      </c>
      <c r="B7" s="139">
        <v>57379.118437812736</v>
      </c>
      <c r="C7" s="139">
        <v>130.1440193267137</v>
      </c>
      <c r="D7" s="139">
        <v>0</v>
      </c>
      <c r="E7" s="34"/>
      <c r="F7" s="34"/>
      <c r="G7" s="55">
        <f t="shared" si="14"/>
        <v>2023</v>
      </c>
      <c r="H7" s="139">
        <v>28597.187327013424</v>
      </c>
      <c r="I7" s="139">
        <v>96.00533608296891</v>
      </c>
      <c r="J7" s="139">
        <v>0</v>
      </c>
      <c r="K7" s="139">
        <v>28781.931110799313</v>
      </c>
      <c r="L7" s="139">
        <v>34.138683243744772</v>
      </c>
      <c r="M7" s="139">
        <v>0</v>
      </c>
      <c r="N7" s="82">
        <f t="shared" si="2"/>
        <v>57379.118437812736</v>
      </c>
      <c r="O7" s="82">
        <f t="shared" si="3"/>
        <v>130.14401932671367</v>
      </c>
      <c r="P7" s="82">
        <f t="shared" si="4"/>
        <v>0</v>
      </c>
      <c r="Q7" s="83">
        <f t="shared" si="5"/>
        <v>0.49839014794218117</v>
      </c>
      <c r="R7" s="83">
        <f t="shared" ref="R7:R14" si="17">+I7/O7</f>
        <v>0.73768534719952839</v>
      </c>
      <c r="S7" s="83" t="s">
        <v>164</v>
      </c>
      <c r="T7" s="83">
        <f t="shared" si="7"/>
        <v>0.50160985205781883</v>
      </c>
      <c r="U7" s="83">
        <f t="shared" si="8"/>
        <v>0.26231465280047167</v>
      </c>
      <c r="V7" s="83" t="s">
        <v>164</v>
      </c>
      <c r="W7" s="83">
        <v>1</v>
      </c>
      <c r="X7" s="83">
        <v>1.0000000000000002</v>
      </c>
      <c r="Y7" s="83">
        <v>0</v>
      </c>
      <c r="Z7" s="57">
        <v>0</v>
      </c>
      <c r="AB7" s="55">
        <f t="shared" si="15"/>
        <v>2023</v>
      </c>
      <c r="AC7" s="140">
        <v>15170.333164879847</v>
      </c>
      <c r="AD7" s="140">
        <v>0</v>
      </c>
      <c r="AE7" s="140">
        <v>0</v>
      </c>
      <c r="AF7" s="140">
        <v>19546.544825953002</v>
      </c>
      <c r="AG7" s="140">
        <v>0</v>
      </c>
      <c r="AH7" s="140">
        <v>0</v>
      </c>
      <c r="AI7" s="140">
        <v>0</v>
      </c>
      <c r="AJ7" s="140">
        <v>0</v>
      </c>
      <c r="AK7" s="140">
        <v>0</v>
      </c>
      <c r="AL7" s="140">
        <v>0</v>
      </c>
      <c r="AM7" s="140">
        <v>25.615006634405987</v>
      </c>
      <c r="AN7" s="140">
        <v>0</v>
      </c>
      <c r="AO7" s="140">
        <v>22662.240446979886</v>
      </c>
      <c r="AP7" s="140">
        <v>104.5290126923077</v>
      </c>
      <c r="AQ7" s="140">
        <v>0</v>
      </c>
      <c r="AR7" s="85">
        <f t="shared" si="10"/>
        <v>57379.118437812736</v>
      </c>
      <c r="AS7" s="85">
        <f t="shared" si="11"/>
        <v>130.1440193267137</v>
      </c>
      <c r="AT7" s="85">
        <f t="shared" si="12"/>
        <v>0</v>
      </c>
      <c r="AU7" s="34" t="b">
        <f t="shared" ref="AU7:AU14" si="18">+SUM(AR7:AT7)=SUM(B7:D7)</f>
        <v>1</v>
      </c>
      <c r="AV7" s="34"/>
      <c r="AW7" s="34"/>
      <c r="AZ7" s="97" t="s">
        <v>144</v>
      </c>
      <c r="BA7" s="98">
        <f>+BA5-'Servicios Deuda Anual'!$F$45</f>
        <v>0</v>
      </c>
      <c r="BD7" s="34"/>
      <c r="BJ7" s="97" t="s">
        <v>144</v>
      </c>
      <c r="BK7" s="98">
        <f>+BK5-'Servicios Deuda Anual'!$F$45</f>
        <v>0</v>
      </c>
      <c r="BT7" s="58" t="s">
        <v>114</v>
      </c>
    </row>
    <row r="8" spans="1:74" x14ac:dyDescent="0.25">
      <c r="A8" s="55">
        <f t="shared" si="13"/>
        <v>2024</v>
      </c>
      <c r="B8" s="81">
        <v>42629.947316785379</v>
      </c>
      <c r="C8" s="81">
        <v>132.16979662288759</v>
      </c>
      <c r="D8" s="81">
        <v>0</v>
      </c>
      <c r="E8" s="34"/>
      <c r="F8" s="34"/>
      <c r="G8" s="55">
        <f t="shared" si="14"/>
        <v>2024</v>
      </c>
      <c r="H8" s="81">
        <f t="shared" ref="H8:I14" si="19">+SUMIFS($G$20:$V$20,$G$17:$V$17,H$3,$G$18:$V$18,$G8)</f>
        <v>21301.059967912632</v>
      </c>
      <c r="I8" s="81">
        <f t="shared" si="19"/>
        <v>96.034455665404352</v>
      </c>
      <c r="J8" s="81">
        <v>0</v>
      </c>
      <c r="K8" s="81">
        <f t="shared" ref="K8:L14" si="20">+SUMIFS($G$21:$V$21,$G$17:$V$17,K$3,$G$18:$V$18,$G8)</f>
        <v>21328.887348872748</v>
      </c>
      <c r="L8" s="81">
        <f t="shared" si="20"/>
        <v>36.13534095748323</v>
      </c>
      <c r="M8" s="81">
        <v>0</v>
      </c>
      <c r="N8" s="82">
        <f t="shared" si="2"/>
        <v>42629.947316785379</v>
      </c>
      <c r="O8" s="82">
        <f t="shared" si="3"/>
        <v>132.16979662288759</v>
      </c>
      <c r="P8" s="82">
        <f t="shared" si="4"/>
        <v>0</v>
      </c>
      <c r="Q8" s="83">
        <f t="shared" si="5"/>
        <v>0.49967361699096963</v>
      </c>
      <c r="R8" s="83">
        <f t="shared" si="17"/>
        <v>0.72659910296611785</v>
      </c>
      <c r="S8" s="83" t="s">
        <v>164</v>
      </c>
      <c r="T8" s="83">
        <f t="shared" si="7"/>
        <v>0.50032638300903032</v>
      </c>
      <c r="U8" s="83">
        <f t="shared" si="8"/>
        <v>0.2734008970338821</v>
      </c>
      <c r="V8" s="83" t="s">
        <v>164</v>
      </c>
      <c r="W8" s="83">
        <v>0.99999999999999989</v>
      </c>
      <c r="X8" s="83">
        <v>1</v>
      </c>
      <c r="Y8" s="83">
        <v>0</v>
      </c>
      <c r="Z8" s="57">
        <v>0</v>
      </c>
      <c r="AB8" s="55">
        <f t="shared" si="15"/>
        <v>2024</v>
      </c>
      <c r="AC8" s="84">
        <f>+AE18</f>
        <v>1535.5090114514501</v>
      </c>
      <c r="AD8" s="84">
        <v>0</v>
      </c>
      <c r="AE8" s="84">
        <v>0</v>
      </c>
      <c r="AF8" s="84">
        <f>+AE19</f>
        <v>15491.188270008182</v>
      </c>
      <c r="AG8" s="84">
        <v>0</v>
      </c>
      <c r="AH8" s="84">
        <v>0</v>
      </c>
      <c r="AI8" s="84">
        <v>0</v>
      </c>
      <c r="AJ8" s="84">
        <v>0</v>
      </c>
      <c r="AK8" s="84">
        <v>0</v>
      </c>
      <c r="AL8" s="84">
        <v>0</v>
      </c>
      <c r="AM8" s="104">
        <f>+AF21</f>
        <v>28.41616748827218</v>
      </c>
      <c r="AN8" s="84">
        <v>0</v>
      </c>
      <c r="AO8" s="84">
        <f>+AE22</f>
        <v>25603.250035325746</v>
      </c>
      <c r="AP8" s="84">
        <f>+AF22</f>
        <v>103.75362913461539</v>
      </c>
      <c r="AQ8" s="84">
        <v>0</v>
      </c>
      <c r="AR8" s="85">
        <f t="shared" si="10"/>
        <v>42629.947316785379</v>
      </c>
      <c r="AS8" s="85">
        <f t="shared" si="11"/>
        <v>132.16979662288759</v>
      </c>
      <c r="AT8" s="85">
        <f t="shared" si="12"/>
        <v>0</v>
      </c>
      <c r="AU8" s="34" t="b">
        <f t="shared" si="18"/>
        <v>1</v>
      </c>
      <c r="AV8" s="34"/>
      <c r="AW8" s="34"/>
      <c r="BD8" s="34"/>
      <c r="BT8" s="58" t="s">
        <v>115</v>
      </c>
    </row>
    <row r="9" spans="1:74" x14ac:dyDescent="0.25">
      <c r="A9" s="55">
        <f t="shared" si="13"/>
        <v>2025</v>
      </c>
      <c r="B9" s="81">
        <v>52471.76511541233</v>
      </c>
      <c r="C9" s="81">
        <v>127.85515073334923</v>
      </c>
      <c r="D9" s="81">
        <v>0</v>
      </c>
      <c r="E9" s="34"/>
      <c r="F9" s="34"/>
      <c r="G9" s="55">
        <f t="shared" si="14"/>
        <v>2025</v>
      </c>
      <c r="H9" s="81">
        <f t="shared" si="19"/>
        <v>44693.671498872864</v>
      </c>
      <c r="I9" s="81">
        <f t="shared" si="19"/>
        <v>97.735351165871137</v>
      </c>
      <c r="J9" s="81">
        <v>0</v>
      </c>
      <c r="K9" s="81">
        <f t="shared" si="20"/>
        <v>7778.093616539466</v>
      </c>
      <c r="L9" s="81">
        <f t="shared" si="20"/>
        <v>30.119799567478104</v>
      </c>
      <c r="M9" s="81">
        <v>0</v>
      </c>
      <c r="N9" s="82">
        <f t="shared" si="2"/>
        <v>52471.76511541233</v>
      </c>
      <c r="O9" s="82">
        <f t="shared" si="3"/>
        <v>127.85515073334923</v>
      </c>
      <c r="P9" s="82">
        <f t="shared" si="4"/>
        <v>0</v>
      </c>
      <c r="Q9" s="83">
        <f t="shared" si="5"/>
        <v>0.8517661146059895</v>
      </c>
      <c r="R9" s="83">
        <f t="shared" si="17"/>
        <v>0.76442247813468989</v>
      </c>
      <c r="S9" s="83" t="s">
        <v>164</v>
      </c>
      <c r="T9" s="83">
        <f t="shared" si="7"/>
        <v>0.14823388539401045</v>
      </c>
      <c r="U9" s="83">
        <f t="shared" si="8"/>
        <v>0.23557752186531014</v>
      </c>
      <c r="V9" s="83" t="s">
        <v>164</v>
      </c>
      <c r="W9" s="83">
        <v>1</v>
      </c>
      <c r="X9" s="83">
        <v>1</v>
      </c>
      <c r="Y9" s="83">
        <v>0</v>
      </c>
      <c r="Z9" s="57">
        <v>0</v>
      </c>
      <c r="AB9" s="55">
        <f t="shared" si="15"/>
        <v>2025</v>
      </c>
      <c r="AC9" s="84">
        <f>+AG18</f>
        <v>314.4962934151099</v>
      </c>
      <c r="AD9" s="84">
        <v>0</v>
      </c>
      <c r="AE9" s="84">
        <v>0</v>
      </c>
      <c r="AF9" s="84">
        <f>+AG19</f>
        <v>9026.8003819553614</v>
      </c>
      <c r="AG9" s="84">
        <v>0</v>
      </c>
      <c r="AH9" s="84">
        <v>0</v>
      </c>
      <c r="AI9" s="84">
        <v>0</v>
      </c>
      <c r="AJ9" s="84">
        <v>0</v>
      </c>
      <c r="AK9" s="84">
        <v>0</v>
      </c>
      <c r="AL9" s="84">
        <v>0</v>
      </c>
      <c r="AM9" s="84">
        <f>+AH21</f>
        <v>28.684015060272305</v>
      </c>
      <c r="AN9" s="84">
        <v>0</v>
      </c>
      <c r="AO9" s="84">
        <f>+AG22</f>
        <v>43130.468440041856</v>
      </c>
      <c r="AP9" s="84">
        <f>+AH22</f>
        <v>99.171135673076932</v>
      </c>
      <c r="AQ9" s="84">
        <v>0</v>
      </c>
      <c r="AR9" s="85">
        <f t="shared" si="10"/>
        <v>52471.76511541233</v>
      </c>
      <c r="AS9" s="85">
        <f t="shared" si="11"/>
        <v>127.85515073334923</v>
      </c>
      <c r="AT9" s="85">
        <f t="shared" si="12"/>
        <v>0</v>
      </c>
      <c r="AU9" s="34" t="b">
        <f t="shared" si="18"/>
        <v>1</v>
      </c>
      <c r="AV9" s="34"/>
      <c r="AW9" s="34"/>
      <c r="BD9" s="34"/>
      <c r="BT9" s="58" t="s">
        <v>122</v>
      </c>
    </row>
    <row r="10" spans="1:74" x14ac:dyDescent="0.25">
      <c r="A10" s="55">
        <f>+A9+1</f>
        <v>2026</v>
      </c>
      <c r="B10" s="81">
        <v>21508.421514320056</v>
      </c>
      <c r="C10" s="81">
        <v>116.54703529642183</v>
      </c>
      <c r="D10" s="81">
        <v>0</v>
      </c>
      <c r="E10" s="34"/>
      <c r="F10" s="34"/>
      <c r="G10" s="55">
        <f>+G9+1</f>
        <v>2026</v>
      </c>
      <c r="H10" s="81">
        <f t="shared" si="19"/>
        <v>18926.189884189582</v>
      </c>
      <c r="I10" s="81">
        <f t="shared" si="19"/>
        <v>93.145680712952554</v>
      </c>
      <c r="J10" s="81">
        <v>0</v>
      </c>
      <c r="K10" s="81">
        <f t="shared" si="20"/>
        <v>2582.2316301304809</v>
      </c>
      <c r="L10" s="81">
        <f t="shared" si="20"/>
        <v>23.401354583469264</v>
      </c>
      <c r="M10" s="81">
        <v>0</v>
      </c>
      <c r="N10" s="82">
        <f t="shared" si="2"/>
        <v>21508.421514320064</v>
      </c>
      <c r="O10" s="82">
        <f t="shared" si="3"/>
        <v>116.54703529642183</v>
      </c>
      <c r="P10" s="82">
        <f t="shared" si="4"/>
        <v>0</v>
      </c>
      <c r="Q10" s="83">
        <f t="shared" si="5"/>
        <v>0.87994322928759505</v>
      </c>
      <c r="R10" s="83">
        <f t="shared" si="17"/>
        <v>0.7992110693854112</v>
      </c>
      <c r="S10" s="83" t="s">
        <v>164</v>
      </c>
      <c r="T10" s="83">
        <f t="shared" si="7"/>
        <v>0.12005677071240492</v>
      </c>
      <c r="U10" s="83">
        <f t="shared" si="8"/>
        <v>0.20078893061458872</v>
      </c>
      <c r="V10" s="83" t="s">
        <v>164</v>
      </c>
      <c r="W10" s="83">
        <v>1</v>
      </c>
      <c r="X10" s="83">
        <v>0.99999999999999989</v>
      </c>
      <c r="Y10" s="83">
        <v>0</v>
      </c>
      <c r="Z10" s="57">
        <v>0</v>
      </c>
      <c r="AB10" s="55">
        <f>+AB9+1</f>
        <v>2026</v>
      </c>
      <c r="AC10" s="84">
        <f>+AI18</f>
        <v>155.04237825678263</v>
      </c>
      <c r="AD10" s="84">
        <v>0</v>
      </c>
      <c r="AE10" s="84">
        <v>0</v>
      </c>
      <c r="AF10" s="84">
        <f>+AI19</f>
        <v>5734.8299024114258</v>
      </c>
      <c r="AG10" s="84">
        <v>0</v>
      </c>
      <c r="AH10" s="84">
        <v>0</v>
      </c>
      <c r="AI10" s="84">
        <v>0</v>
      </c>
      <c r="AJ10" s="84">
        <v>0</v>
      </c>
      <c r="AK10" s="84">
        <v>0</v>
      </c>
      <c r="AL10" s="84">
        <v>0</v>
      </c>
      <c r="AM10" s="84">
        <f>+AJ21</f>
        <v>21.958393084883348</v>
      </c>
      <c r="AN10" s="84">
        <v>0</v>
      </c>
      <c r="AO10" s="84">
        <f>+AI22</f>
        <v>15618.549233651851</v>
      </c>
      <c r="AP10" s="84">
        <f>+AJ22</f>
        <v>94.58864221153847</v>
      </c>
      <c r="AQ10" s="84">
        <v>0</v>
      </c>
      <c r="AR10" s="85">
        <f t="shared" si="10"/>
        <v>21508.42151432006</v>
      </c>
      <c r="AS10" s="85">
        <f t="shared" si="11"/>
        <v>116.54703529642183</v>
      </c>
      <c r="AT10" s="85">
        <f t="shared" si="12"/>
        <v>0</v>
      </c>
      <c r="AU10" s="34" t="b">
        <f t="shared" si="18"/>
        <v>1</v>
      </c>
      <c r="AV10" s="34"/>
      <c r="AW10" s="34"/>
      <c r="BD10" s="34"/>
      <c r="BT10" s="58" t="s">
        <v>116</v>
      </c>
    </row>
    <row r="11" spans="1:74" x14ac:dyDescent="0.25">
      <c r="A11" s="55">
        <f>+A10+1</f>
        <v>2027</v>
      </c>
      <c r="B11" s="81">
        <v>9832.0409610133393</v>
      </c>
      <c r="C11" s="81">
        <v>110.09615702411222</v>
      </c>
      <c r="D11" s="81">
        <v>0</v>
      </c>
      <c r="E11" s="34"/>
      <c r="F11" s="34"/>
      <c r="G11" s="55">
        <f>+G10+1</f>
        <v>2027</v>
      </c>
      <c r="H11" s="81">
        <f t="shared" si="19"/>
        <v>9521.7975521348017</v>
      </c>
      <c r="I11" s="81">
        <f t="shared" si="19"/>
        <v>93.145680712952554</v>
      </c>
      <c r="J11" s="81">
        <v>0</v>
      </c>
      <c r="K11" s="81">
        <f t="shared" si="20"/>
        <v>310.24340887853691</v>
      </c>
      <c r="L11" s="81">
        <f t="shared" si="20"/>
        <v>16.950476311159669</v>
      </c>
      <c r="M11" s="81">
        <v>0</v>
      </c>
      <c r="N11" s="82">
        <f t="shared" si="2"/>
        <v>9832.0409610133393</v>
      </c>
      <c r="O11" s="82">
        <f t="shared" si="3"/>
        <v>110.09615702411222</v>
      </c>
      <c r="P11" s="82">
        <f t="shared" si="4"/>
        <v>0</v>
      </c>
      <c r="Q11" s="83">
        <f t="shared" si="5"/>
        <v>0.96844567571384865</v>
      </c>
      <c r="R11" s="83">
        <f t="shared" si="17"/>
        <v>0.84603934624668753</v>
      </c>
      <c r="S11" s="83" t="s">
        <v>164</v>
      </c>
      <c r="T11" s="83">
        <f t="shared" si="7"/>
        <v>3.1554324286151229E-2</v>
      </c>
      <c r="U11" s="83">
        <f t="shared" si="8"/>
        <v>0.15396065375331253</v>
      </c>
      <c r="V11" s="83" t="s">
        <v>164</v>
      </c>
      <c r="W11" s="83">
        <v>1</v>
      </c>
      <c r="X11" s="83">
        <v>1</v>
      </c>
      <c r="Y11" s="83">
        <v>0</v>
      </c>
      <c r="Z11" s="57">
        <v>0</v>
      </c>
      <c r="AB11" s="55">
        <f>+AB10+1</f>
        <v>2027</v>
      </c>
      <c r="AC11" s="84">
        <f>+AK18</f>
        <v>103.98986000236546</v>
      </c>
      <c r="AD11" s="84">
        <v>0</v>
      </c>
      <c r="AE11" s="84">
        <v>0</v>
      </c>
      <c r="AF11" s="84">
        <f>+AK19</f>
        <v>1853.0816291828144</v>
      </c>
      <c r="AG11" s="84">
        <v>0</v>
      </c>
      <c r="AH11" s="84">
        <v>0</v>
      </c>
      <c r="AI11" s="84">
        <v>0</v>
      </c>
      <c r="AJ11" s="84">
        <v>0</v>
      </c>
      <c r="AK11" s="84">
        <v>0</v>
      </c>
      <c r="AL11" s="84">
        <v>0</v>
      </c>
      <c r="AM11" s="84">
        <f>+AL21</f>
        <v>20.090008274112215</v>
      </c>
      <c r="AN11" s="84">
        <v>0</v>
      </c>
      <c r="AO11" s="84">
        <f>+AK22</f>
        <v>7874.9694718281589</v>
      </c>
      <c r="AP11" s="84">
        <f>+AL22</f>
        <v>90.006148750000008</v>
      </c>
      <c r="AQ11" s="84">
        <v>0</v>
      </c>
      <c r="AR11" s="85">
        <f t="shared" si="10"/>
        <v>9832.0409610133393</v>
      </c>
      <c r="AS11" s="85">
        <f t="shared" si="11"/>
        <v>110.09615702411222</v>
      </c>
      <c r="AT11" s="85">
        <f t="shared" si="12"/>
        <v>0</v>
      </c>
      <c r="AU11" s="34" t="b">
        <f t="shared" si="18"/>
        <v>1</v>
      </c>
      <c r="AV11" s="34"/>
      <c r="AW11" s="34"/>
      <c r="BD11" s="34"/>
      <c r="BT11" s="58" t="s">
        <v>117</v>
      </c>
    </row>
    <row r="12" spans="1:74" x14ac:dyDescent="0.25">
      <c r="A12" s="55">
        <f>+A11+1</f>
        <v>2028</v>
      </c>
      <c r="B12" s="81">
        <v>1035.8269998430394</v>
      </c>
      <c r="C12" s="81">
        <v>103.9386238913666</v>
      </c>
      <c r="D12" s="81">
        <v>0</v>
      </c>
      <c r="E12" s="34"/>
      <c r="F12" s="34"/>
      <c r="G12" s="55">
        <f>+G11+1</f>
        <v>2028</v>
      </c>
      <c r="H12" s="81">
        <f t="shared" si="19"/>
        <v>874.51585332480226</v>
      </c>
      <c r="I12" s="81">
        <f t="shared" si="19"/>
        <v>93.145680712952554</v>
      </c>
      <c r="J12" s="81">
        <v>0</v>
      </c>
      <c r="K12" s="81">
        <f t="shared" si="20"/>
        <v>161.31114651823714</v>
      </c>
      <c r="L12" s="81">
        <f t="shared" si="20"/>
        <v>10.792943178414045</v>
      </c>
      <c r="M12" s="81">
        <v>0</v>
      </c>
      <c r="N12" s="82">
        <f t="shared" si="2"/>
        <v>1035.8269998430394</v>
      </c>
      <c r="O12" s="82">
        <f t="shared" si="3"/>
        <v>103.9386238913666</v>
      </c>
      <c r="P12" s="82">
        <f t="shared" si="4"/>
        <v>0</v>
      </c>
      <c r="Q12" s="83">
        <f t="shared" si="5"/>
        <v>0.84426825469631428</v>
      </c>
      <c r="R12" s="83">
        <f t="shared" si="17"/>
        <v>0.89616041877084596</v>
      </c>
      <c r="S12" s="83" t="s">
        <v>164</v>
      </c>
      <c r="T12" s="83">
        <f t="shared" si="7"/>
        <v>0.15573174530368575</v>
      </c>
      <c r="U12" s="83">
        <f t="shared" si="8"/>
        <v>0.10383958122915396</v>
      </c>
      <c r="V12" s="83" t="s">
        <v>164</v>
      </c>
      <c r="W12" s="83">
        <v>1</v>
      </c>
      <c r="X12" s="83">
        <v>1</v>
      </c>
      <c r="Y12" s="83">
        <v>0</v>
      </c>
      <c r="Z12" s="57">
        <v>0</v>
      </c>
      <c r="AB12" s="55">
        <f>+AB11+1</f>
        <v>2028</v>
      </c>
      <c r="AC12" s="84">
        <f>+AM18</f>
        <v>103.13718434488226</v>
      </c>
      <c r="AD12" s="84">
        <v>0</v>
      </c>
      <c r="AE12" s="84">
        <v>0</v>
      </c>
      <c r="AF12" s="84">
        <f>+AM19</f>
        <v>0</v>
      </c>
      <c r="AG12" s="84">
        <v>0</v>
      </c>
      <c r="AH12" s="84">
        <v>0</v>
      </c>
      <c r="AI12" s="84">
        <v>0</v>
      </c>
      <c r="AJ12" s="84">
        <v>0</v>
      </c>
      <c r="AK12" s="84">
        <v>0</v>
      </c>
      <c r="AL12" s="84">
        <v>0</v>
      </c>
      <c r="AM12" s="84">
        <f>+AN21</f>
        <v>18.51496860290505</v>
      </c>
      <c r="AN12" s="84">
        <v>0</v>
      </c>
      <c r="AO12" s="84">
        <f>+AM22</f>
        <v>932.68981549815715</v>
      </c>
      <c r="AP12" s="84">
        <f>+AN22</f>
        <v>85.423655288461546</v>
      </c>
      <c r="AQ12" s="84">
        <v>0</v>
      </c>
      <c r="AR12" s="85">
        <f t="shared" si="10"/>
        <v>1035.8269998430394</v>
      </c>
      <c r="AS12" s="85">
        <f t="shared" si="11"/>
        <v>103.9386238913666</v>
      </c>
      <c r="AT12" s="85">
        <f t="shared" si="12"/>
        <v>0</v>
      </c>
      <c r="AU12" s="34" t="b">
        <f t="shared" si="18"/>
        <v>1</v>
      </c>
      <c r="AV12" s="34"/>
      <c r="AW12" s="34"/>
      <c r="BD12" s="34"/>
    </row>
    <row r="13" spans="1:74" x14ac:dyDescent="0.25">
      <c r="A13" s="55">
        <f t="shared" ref="A13" si="21">+A12+1</f>
        <v>2029</v>
      </c>
      <c r="B13" s="81">
        <v>995.58043338443474</v>
      </c>
      <c r="C13" s="81">
        <v>58.70748390817181</v>
      </c>
      <c r="D13" s="81">
        <v>0</v>
      </c>
      <c r="E13" s="34"/>
      <c r="F13" s="34"/>
      <c r="G13" s="55">
        <f>+G12+1</f>
        <v>2029</v>
      </c>
      <c r="H13" s="81">
        <f t="shared" si="19"/>
        <v>874.51585332480226</v>
      </c>
      <c r="I13" s="81">
        <f t="shared" si="19"/>
        <v>53.297911482183324</v>
      </c>
      <c r="J13" s="81">
        <v>0</v>
      </c>
      <c r="K13" s="81">
        <f t="shared" si="20"/>
        <v>121.0645800596325</v>
      </c>
      <c r="L13" s="81">
        <f t="shared" si="20"/>
        <v>5.4095724259884843</v>
      </c>
      <c r="M13" s="81">
        <v>0</v>
      </c>
      <c r="N13" s="82">
        <f t="shared" si="2"/>
        <v>995.58043338443474</v>
      </c>
      <c r="O13" s="82">
        <f t="shared" si="3"/>
        <v>58.70748390817181</v>
      </c>
      <c r="P13" s="82">
        <f t="shared" si="4"/>
        <v>0</v>
      </c>
      <c r="Q13" s="83">
        <f t="shared" si="5"/>
        <v>0.87839799176438371</v>
      </c>
      <c r="R13" s="83">
        <f t="shared" si="17"/>
        <v>0.90785548850211417</v>
      </c>
      <c r="S13" s="83" t="s">
        <v>164</v>
      </c>
      <c r="T13" s="83">
        <f t="shared" si="7"/>
        <v>0.12160200823561633</v>
      </c>
      <c r="U13" s="83">
        <f t="shared" si="8"/>
        <v>9.2144511497885828E-2</v>
      </c>
      <c r="V13" s="83" t="s">
        <v>164</v>
      </c>
      <c r="W13" s="83">
        <v>1</v>
      </c>
      <c r="X13" s="83">
        <v>1</v>
      </c>
      <c r="Y13" s="83">
        <v>0</v>
      </c>
      <c r="Z13" s="57">
        <v>0</v>
      </c>
      <c r="AB13" s="55">
        <f t="shared" ref="AB13" si="22">+AB12+1</f>
        <v>2029</v>
      </c>
      <c r="AC13" s="84">
        <f>+AO18</f>
        <v>103.02316711031008</v>
      </c>
      <c r="AD13" s="84">
        <v>0</v>
      </c>
      <c r="AE13" s="84">
        <v>0</v>
      </c>
      <c r="AF13" s="84">
        <f>+AO19</f>
        <v>0</v>
      </c>
      <c r="AG13" s="84">
        <v>0</v>
      </c>
      <c r="AH13" s="84">
        <v>0</v>
      </c>
      <c r="AI13" s="84">
        <v>0</v>
      </c>
      <c r="AJ13" s="84">
        <v>0</v>
      </c>
      <c r="AK13" s="84">
        <v>0</v>
      </c>
      <c r="AL13" s="84">
        <v>0</v>
      </c>
      <c r="AM13" s="84">
        <f>+AP21</f>
        <v>17.714091312017956</v>
      </c>
      <c r="AN13" s="84">
        <v>0</v>
      </c>
      <c r="AO13" s="84">
        <f>+AO22</f>
        <v>892.55726627412469</v>
      </c>
      <c r="AP13" s="84">
        <f>+AP22</f>
        <v>40.993392596153853</v>
      </c>
      <c r="AQ13" s="84">
        <v>0</v>
      </c>
      <c r="AR13" s="85">
        <f t="shared" si="10"/>
        <v>995.58043338443474</v>
      </c>
      <c r="AS13" s="85">
        <f t="shared" si="11"/>
        <v>58.70748390817181</v>
      </c>
      <c r="AT13" s="85">
        <f t="shared" si="12"/>
        <v>0</v>
      </c>
      <c r="AU13" s="34" t="b">
        <f t="shared" si="18"/>
        <v>1</v>
      </c>
      <c r="AV13" s="34"/>
      <c r="AW13" s="34"/>
      <c r="BD13" s="34"/>
    </row>
    <row r="14" spans="1:74" x14ac:dyDescent="0.25">
      <c r="A14" s="55" t="s">
        <v>176</v>
      </c>
      <c r="B14" s="82">
        <v>730.91341157012289</v>
      </c>
      <c r="C14" s="82">
        <v>14.951644312445957</v>
      </c>
      <c r="D14" s="82">
        <v>0</v>
      </c>
      <c r="E14" s="34"/>
      <c r="F14" s="34"/>
      <c r="G14" s="55" t="s">
        <v>176</v>
      </c>
      <c r="H14" s="82">
        <f t="shared" si="19"/>
        <v>668.67998926265784</v>
      </c>
      <c r="I14" s="82">
        <f t="shared" si="19"/>
        <v>12.903823886504258</v>
      </c>
      <c r="J14" s="82">
        <v>0</v>
      </c>
      <c r="K14" s="82">
        <f t="shared" si="20"/>
        <v>62.233422307465034</v>
      </c>
      <c r="L14" s="82">
        <f t="shared" si="20"/>
        <v>2.0478204259416994</v>
      </c>
      <c r="M14" s="82">
        <v>0</v>
      </c>
      <c r="N14" s="82">
        <f t="shared" si="2"/>
        <v>730.91341157012289</v>
      </c>
      <c r="O14" s="82">
        <f t="shared" si="3"/>
        <v>14.951644312445957</v>
      </c>
      <c r="P14" s="82">
        <f t="shared" si="4"/>
        <v>0</v>
      </c>
      <c r="Q14" s="83">
        <f t="shared" si="5"/>
        <v>0.91485527379532228</v>
      </c>
      <c r="R14" s="83">
        <f t="shared" si="17"/>
        <v>0.86303710928723298</v>
      </c>
      <c r="S14" s="83" t="s">
        <v>164</v>
      </c>
      <c r="T14" s="83">
        <f t="shared" si="7"/>
        <v>8.5144726204677723E-2</v>
      </c>
      <c r="U14" s="83">
        <f t="shared" si="8"/>
        <v>0.13696289071276696</v>
      </c>
      <c r="V14" s="83" t="s">
        <v>164</v>
      </c>
      <c r="W14" s="83">
        <v>1</v>
      </c>
      <c r="X14" s="83">
        <v>1</v>
      </c>
      <c r="Y14" s="83">
        <v>0</v>
      </c>
      <c r="Z14" s="57">
        <v>0</v>
      </c>
      <c r="AB14" s="55" t="s">
        <v>176</v>
      </c>
      <c r="AC14" s="82">
        <f>+AQ18</f>
        <v>98.782793046559405</v>
      </c>
      <c r="AD14" s="82">
        <v>0</v>
      </c>
      <c r="AE14" s="82">
        <v>0</v>
      </c>
      <c r="AF14" s="82">
        <f>+AQ19</f>
        <v>0</v>
      </c>
      <c r="AG14" s="82">
        <v>0</v>
      </c>
      <c r="AH14" s="82">
        <v>0</v>
      </c>
      <c r="AI14" s="82">
        <v>0</v>
      </c>
      <c r="AJ14" s="82">
        <v>0</v>
      </c>
      <c r="AK14" s="82">
        <v>0</v>
      </c>
      <c r="AL14" s="82">
        <v>0</v>
      </c>
      <c r="AM14" s="82">
        <f>+AR21</f>
        <v>14.951644312445957</v>
      </c>
      <c r="AN14" s="82">
        <v>0</v>
      </c>
      <c r="AO14" s="82">
        <f>+AQ22</f>
        <v>632.1306185235635</v>
      </c>
      <c r="AP14" s="82">
        <f>+AR22</f>
        <v>0</v>
      </c>
      <c r="AQ14" s="82">
        <v>0</v>
      </c>
      <c r="AR14" s="85">
        <f t="shared" si="10"/>
        <v>730.91341157012289</v>
      </c>
      <c r="AS14" s="85">
        <f t="shared" si="11"/>
        <v>14.951644312445957</v>
      </c>
      <c r="AT14" s="85">
        <f t="shared" si="12"/>
        <v>0</v>
      </c>
      <c r="AU14" s="34" t="b">
        <f t="shared" si="18"/>
        <v>1</v>
      </c>
      <c r="AV14" s="34"/>
      <c r="AW14" s="34"/>
      <c r="BD14" s="34"/>
      <c r="BT14" s="58"/>
    </row>
    <row r="15" spans="1:74" x14ac:dyDescent="0.25">
      <c r="A15" s="100"/>
      <c r="B15" s="101"/>
      <c r="C15" s="101"/>
      <c r="D15" s="101"/>
      <c r="E15" s="34"/>
      <c r="F15" s="34"/>
      <c r="G15" s="100"/>
      <c r="H15" s="101"/>
      <c r="I15" s="101"/>
      <c r="J15" s="101"/>
      <c r="K15" s="101"/>
      <c r="L15" s="101"/>
      <c r="M15" s="101"/>
      <c r="N15" s="102"/>
      <c r="O15" s="102"/>
      <c r="P15" s="102"/>
      <c r="Q15" s="103"/>
      <c r="R15" s="103"/>
      <c r="S15" s="103"/>
      <c r="T15" s="103"/>
      <c r="U15" s="103"/>
      <c r="V15" s="103"/>
      <c r="W15" s="103"/>
      <c r="X15" s="103"/>
      <c r="Y15" s="103"/>
      <c r="Z15" s="57"/>
      <c r="AB15" s="100"/>
      <c r="AC15" s="104"/>
      <c r="AD15" s="104"/>
      <c r="AE15" s="104"/>
      <c r="AF15" s="104"/>
      <c r="AG15" s="104"/>
      <c r="AH15" s="104"/>
      <c r="AI15" s="104"/>
      <c r="AJ15" s="104"/>
      <c r="AK15" s="104"/>
      <c r="AL15" s="104"/>
      <c r="AM15" s="104"/>
      <c r="AN15" s="104"/>
      <c r="AO15" s="104"/>
      <c r="AP15" s="104"/>
      <c r="AQ15" s="104"/>
      <c r="AR15" s="105"/>
      <c r="AS15" s="105"/>
      <c r="AT15" s="105"/>
      <c r="AU15" s="34"/>
      <c r="AV15" s="34"/>
      <c r="AW15" s="34"/>
      <c r="BD15" s="34"/>
    </row>
    <row r="16" spans="1:74" x14ac:dyDescent="0.25">
      <c r="A16" s="100"/>
      <c r="B16" s="101"/>
      <c r="C16" s="101"/>
      <c r="D16" s="101"/>
      <c r="E16" s="34"/>
      <c r="F16" s="34"/>
      <c r="G16" s="100"/>
      <c r="H16" s="101"/>
      <c r="I16" s="101"/>
      <c r="J16" s="101"/>
      <c r="K16" s="101"/>
      <c r="L16" s="101"/>
      <c r="M16" s="101"/>
      <c r="N16" s="102"/>
      <c r="O16" s="102"/>
      <c r="P16" s="102"/>
      <c r="Q16" s="103"/>
      <c r="R16" s="103"/>
      <c r="S16" s="103"/>
      <c r="T16" s="103"/>
      <c r="U16" s="103"/>
      <c r="V16" s="103"/>
      <c r="W16" s="103"/>
      <c r="X16" s="103"/>
      <c r="Y16" s="103"/>
      <c r="Z16" s="57"/>
      <c r="AB16" s="100"/>
      <c r="AC16" s="104"/>
      <c r="AD16" s="104"/>
      <c r="AE16" s="104"/>
      <c r="AF16" s="104"/>
      <c r="AG16" s="104"/>
      <c r="AH16" s="104"/>
      <c r="AI16" s="104"/>
      <c r="AJ16" s="104"/>
      <c r="AK16" s="104"/>
      <c r="AL16" s="104"/>
      <c r="AM16" s="104"/>
      <c r="AN16" s="104"/>
      <c r="AO16" s="104"/>
      <c r="AP16" s="104"/>
      <c r="AQ16" s="104"/>
      <c r="AR16" s="105"/>
      <c r="AS16" s="105"/>
      <c r="AT16" s="105"/>
      <c r="AU16" s="34"/>
      <c r="AV16" s="34"/>
      <c r="AW16" s="34"/>
      <c r="BD16" s="34"/>
    </row>
    <row r="17" spans="1:68" x14ac:dyDescent="0.25">
      <c r="A17" s="100"/>
      <c r="B17" s="101"/>
      <c r="C17" s="101"/>
      <c r="D17" s="101"/>
      <c r="E17" s="34"/>
      <c r="F17" s="34"/>
      <c r="G17" s="100" t="s">
        <v>2</v>
      </c>
      <c r="H17" s="101" t="s">
        <v>99</v>
      </c>
      <c r="I17" s="100" t="s">
        <v>2</v>
      </c>
      <c r="J17" s="101" t="s">
        <v>99</v>
      </c>
      <c r="K17" s="100" t="s">
        <v>2</v>
      </c>
      <c r="L17" s="101" t="s">
        <v>99</v>
      </c>
      <c r="M17" s="100" t="s">
        <v>2</v>
      </c>
      <c r="N17" s="101" t="s">
        <v>99</v>
      </c>
      <c r="O17" s="100" t="s">
        <v>2</v>
      </c>
      <c r="P17" s="101" t="s">
        <v>99</v>
      </c>
      <c r="Q17" s="100" t="s">
        <v>2</v>
      </c>
      <c r="R17" s="101" t="s">
        <v>99</v>
      </c>
      <c r="S17" s="100" t="s">
        <v>2</v>
      </c>
      <c r="T17" s="101" t="s">
        <v>99</v>
      </c>
      <c r="U17" s="100" t="s">
        <v>2</v>
      </c>
      <c r="V17" s="101" t="s">
        <v>99</v>
      </c>
      <c r="W17" s="103"/>
      <c r="X17" s="103"/>
      <c r="Y17" s="103"/>
      <c r="Z17" s="57"/>
      <c r="AB17" s="100"/>
      <c r="AC17" s="100">
        <v>2023</v>
      </c>
      <c r="AD17" s="100">
        <v>2023</v>
      </c>
      <c r="AE17" s="100">
        <v>2024</v>
      </c>
      <c r="AF17" s="100">
        <v>2024</v>
      </c>
      <c r="AG17" s="100">
        <v>2025</v>
      </c>
      <c r="AH17" s="100">
        <v>2025</v>
      </c>
      <c r="AI17" s="100">
        <v>2026</v>
      </c>
      <c r="AJ17" s="100">
        <v>2026</v>
      </c>
      <c r="AK17" s="100">
        <v>2027</v>
      </c>
      <c r="AL17" s="100">
        <v>2027</v>
      </c>
      <c r="AM17" s="100">
        <v>2028</v>
      </c>
      <c r="AN17" s="100">
        <v>2028</v>
      </c>
      <c r="AO17" s="100">
        <v>2029</v>
      </c>
      <c r="AP17" s="100">
        <v>2029</v>
      </c>
      <c r="AQ17" s="100" t="s">
        <v>173</v>
      </c>
      <c r="AR17" s="100" t="s">
        <v>173</v>
      </c>
      <c r="AS17" s="105"/>
      <c r="AT17" s="105"/>
      <c r="AU17" s="34"/>
      <c r="AV17" s="34"/>
      <c r="AW17" s="34"/>
      <c r="BD17" s="34"/>
    </row>
    <row r="18" spans="1:68" x14ac:dyDescent="0.25">
      <c r="B18" s="81">
        <v>57379.118437812736</v>
      </c>
      <c r="C18" s="81">
        <v>130.1440193267137</v>
      </c>
      <c r="D18" s="101"/>
      <c r="E18" s="34"/>
      <c r="F18" s="34"/>
      <c r="G18" s="100">
        <v>2023</v>
      </c>
      <c r="H18" s="100">
        <v>2023</v>
      </c>
      <c r="I18" s="100">
        <v>2024</v>
      </c>
      <c r="J18" s="100">
        <v>2024</v>
      </c>
      <c r="K18" s="100">
        <v>2025</v>
      </c>
      <c r="L18" s="100">
        <v>2025</v>
      </c>
      <c r="M18" s="100">
        <v>2026</v>
      </c>
      <c r="N18" s="100">
        <v>2026</v>
      </c>
      <c r="O18" s="100">
        <v>2027</v>
      </c>
      <c r="P18" s="100">
        <v>2027</v>
      </c>
      <c r="Q18" s="100">
        <v>2028</v>
      </c>
      <c r="R18" s="100">
        <v>2028</v>
      </c>
      <c r="S18" s="100">
        <v>2029</v>
      </c>
      <c r="T18" s="100">
        <v>2029</v>
      </c>
      <c r="U18" s="100" t="s">
        <v>176</v>
      </c>
      <c r="V18" s="100" t="s">
        <v>176</v>
      </c>
      <c r="W18" s="103"/>
      <c r="X18" s="103"/>
      <c r="Y18" s="103"/>
      <c r="Z18" s="57"/>
      <c r="AB18" s="100" t="s">
        <v>178</v>
      </c>
      <c r="AC18" s="214">
        <v>15170.333164879847</v>
      </c>
      <c r="AD18" s="214">
        <v>0</v>
      </c>
      <c r="AE18" s="104">
        <v>1535.5090114514501</v>
      </c>
      <c r="AF18" s="104">
        <v>0</v>
      </c>
      <c r="AG18" s="104">
        <v>314.4962934151099</v>
      </c>
      <c r="AH18" s="104">
        <v>0</v>
      </c>
      <c r="AI18" s="104">
        <v>155.04237825678263</v>
      </c>
      <c r="AJ18" s="104">
        <v>0</v>
      </c>
      <c r="AK18" s="104">
        <v>103.98986000236546</v>
      </c>
      <c r="AL18" s="104">
        <v>0</v>
      </c>
      <c r="AM18" s="104">
        <v>103.13718434488226</v>
      </c>
      <c r="AN18" s="104">
        <v>0</v>
      </c>
      <c r="AO18" s="104">
        <v>103.02316711031008</v>
      </c>
      <c r="AP18" s="104">
        <v>0</v>
      </c>
      <c r="AQ18" s="104">
        <v>98.782793046559405</v>
      </c>
      <c r="AR18" s="105">
        <v>0</v>
      </c>
      <c r="AS18" s="105"/>
      <c r="AT18" s="105"/>
      <c r="AU18" s="34"/>
      <c r="AV18" s="34"/>
      <c r="AW18" s="34"/>
      <c r="BD18" s="34"/>
    </row>
    <row r="19" spans="1:68" x14ac:dyDescent="0.25">
      <c r="B19" s="81">
        <v>42629.947316785379</v>
      </c>
      <c r="C19" s="81">
        <v>132.16979662288759</v>
      </c>
      <c r="D19" s="117"/>
      <c r="E19" s="34"/>
      <c r="F19" s="34" t="s">
        <v>219</v>
      </c>
      <c r="G19" s="212">
        <v>57379.118437812736</v>
      </c>
      <c r="H19" s="213">
        <v>130.1440193267137</v>
      </c>
      <c r="I19" s="148">
        <v>42629.947316785379</v>
      </c>
      <c r="J19" s="148">
        <v>132.16979662288759</v>
      </c>
      <c r="K19" s="148">
        <v>52471.76511541233</v>
      </c>
      <c r="L19" s="148">
        <v>127.85515073334923</v>
      </c>
      <c r="M19" s="148">
        <v>21508.421514320056</v>
      </c>
      <c r="N19" s="149">
        <v>116.54703529642183</v>
      </c>
      <c r="O19" s="149">
        <v>9832.0409610133393</v>
      </c>
      <c r="P19" s="149">
        <v>110.09615702411222</v>
      </c>
      <c r="Q19" s="150">
        <v>1035.8269998430394</v>
      </c>
      <c r="R19" s="150">
        <v>103.9386238913666</v>
      </c>
      <c r="S19" s="150">
        <v>995.58043338443474</v>
      </c>
      <c r="T19" s="150">
        <v>58.70748390817181</v>
      </c>
      <c r="U19" s="150">
        <v>730.91341157012289</v>
      </c>
      <c r="V19" s="150">
        <v>14.951644312445957</v>
      </c>
      <c r="W19" s="103"/>
      <c r="X19" s="103"/>
      <c r="Y19" s="103"/>
      <c r="Z19" s="57"/>
      <c r="AB19" s="100" t="s">
        <v>179</v>
      </c>
      <c r="AC19" s="214">
        <v>19546.544825953002</v>
      </c>
      <c r="AD19" s="214">
        <v>0</v>
      </c>
      <c r="AE19" s="104">
        <v>15491.188270008182</v>
      </c>
      <c r="AF19" s="104">
        <v>0</v>
      </c>
      <c r="AG19" s="104">
        <v>9026.8003819553614</v>
      </c>
      <c r="AH19" s="104">
        <v>0</v>
      </c>
      <c r="AI19" s="104">
        <v>5734.8299024114258</v>
      </c>
      <c r="AJ19" s="104">
        <v>0</v>
      </c>
      <c r="AK19" s="104">
        <v>1853.0816291828144</v>
      </c>
      <c r="AL19" s="104">
        <v>0</v>
      </c>
      <c r="AM19" s="104">
        <v>0</v>
      </c>
      <c r="AN19" s="104">
        <v>0</v>
      </c>
      <c r="AO19" s="104">
        <v>0</v>
      </c>
      <c r="AP19" s="104">
        <v>0</v>
      </c>
      <c r="AQ19" s="104">
        <v>0</v>
      </c>
      <c r="AR19" s="105">
        <v>0</v>
      </c>
      <c r="AS19" s="105"/>
      <c r="AT19" s="105"/>
      <c r="AU19" s="34"/>
      <c r="AV19" s="34"/>
      <c r="AW19" s="34"/>
      <c r="BD19" s="34"/>
    </row>
    <row r="20" spans="1:68" x14ac:dyDescent="0.25">
      <c r="B20" s="81">
        <v>52471.76511541233</v>
      </c>
      <c r="C20" s="81">
        <v>127.85515073334923</v>
      </c>
      <c r="D20" s="101"/>
      <c r="E20" s="34"/>
      <c r="F20" s="34" t="s">
        <v>87</v>
      </c>
      <c r="G20" s="212">
        <v>28597.187327013424</v>
      </c>
      <c r="H20" s="213">
        <v>96.00533608296891</v>
      </c>
      <c r="I20" s="148">
        <v>21301.059967912632</v>
      </c>
      <c r="J20" s="148">
        <v>96.034455665404352</v>
      </c>
      <c r="K20" s="148">
        <v>44693.671498872864</v>
      </c>
      <c r="L20" s="148">
        <v>97.735351165871137</v>
      </c>
      <c r="M20" s="148">
        <v>18926.189884189582</v>
      </c>
      <c r="N20" s="149">
        <v>93.145680712952554</v>
      </c>
      <c r="O20" s="149">
        <v>9521.7975521348017</v>
      </c>
      <c r="P20" s="149">
        <v>93.145680712952554</v>
      </c>
      <c r="Q20" s="150">
        <v>874.51585332480226</v>
      </c>
      <c r="R20" s="150">
        <v>93.145680712952554</v>
      </c>
      <c r="S20" s="150">
        <v>874.51585332480226</v>
      </c>
      <c r="T20" s="150">
        <v>53.297911482183324</v>
      </c>
      <c r="U20" s="150">
        <v>668.67998926265784</v>
      </c>
      <c r="V20" s="150">
        <v>12.903823886504258</v>
      </c>
      <c r="W20" s="103"/>
      <c r="X20" s="103"/>
      <c r="Y20" s="103"/>
      <c r="Z20" s="57"/>
      <c r="AB20" s="100" t="s">
        <v>181</v>
      </c>
      <c r="AC20" s="214"/>
      <c r="AD20" s="214"/>
      <c r="AE20" s="104"/>
      <c r="AF20" s="104"/>
      <c r="AG20" s="104"/>
      <c r="AH20" s="104"/>
      <c r="AI20" s="104"/>
      <c r="AJ20" s="104"/>
      <c r="AK20" s="104"/>
      <c r="AL20" s="104"/>
      <c r="AM20" s="104"/>
      <c r="AN20" s="104"/>
      <c r="AO20" s="104"/>
      <c r="AP20" s="104"/>
      <c r="AQ20" s="104"/>
      <c r="AR20" s="105"/>
      <c r="AS20" s="105"/>
      <c r="AT20" s="105"/>
      <c r="AU20" s="34"/>
      <c r="AV20" s="34"/>
      <c r="AW20" s="34"/>
      <c r="BD20" s="34"/>
    </row>
    <row r="21" spans="1:68" ht="18" x14ac:dyDescent="0.25">
      <c r="B21" s="81">
        <v>21508.421514320056</v>
      </c>
      <c r="C21" s="81">
        <v>116.54703529642183</v>
      </c>
      <c r="D21" s="101"/>
      <c r="E21" s="34"/>
      <c r="F21" s="34" t="s">
        <v>88</v>
      </c>
      <c r="G21" s="212">
        <v>28781.931110799313</v>
      </c>
      <c r="H21" s="213">
        <v>34.138683243744772</v>
      </c>
      <c r="I21" s="148">
        <v>21328.887348872748</v>
      </c>
      <c r="J21" s="148">
        <v>36.13534095748323</v>
      </c>
      <c r="K21" s="148">
        <v>7778.093616539466</v>
      </c>
      <c r="L21" s="148">
        <v>30.119799567478104</v>
      </c>
      <c r="M21" s="148">
        <v>2582.2316301304809</v>
      </c>
      <c r="N21" s="149">
        <v>23.401354583469264</v>
      </c>
      <c r="O21" s="149">
        <v>310.24340887853691</v>
      </c>
      <c r="P21" s="149">
        <v>16.950476311159669</v>
      </c>
      <c r="Q21" s="150">
        <v>161.31114651823714</v>
      </c>
      <c r="R21" s="150">
        <v>10.792943178414045</v>
      </c>
      <c r="S21" s="150">
        <v>121.0645800596325</v>
      </c>
      <c r="T21" s="150">
        <v>5.4095724259884843</v>
      </c>
      <c r="U21" s="150">
        <v>62.233422307465034</v>
      </c>
      <c r="V21" s="150">
        <v>2.0478204259416994</v>
      </c>
      <c r="W21" s="103"/>
      <c r="X21" s="103"/>
      <c r="Y21" s="103"/>
      <c r="Z21" s="57"/>
      <c r="AB21" s="100" t="s">
        <v>180</v>
      </c>
      <c r="AC21" s="214">
        <v>0</v>
      </c>
      <c r="AD21" s="214">
        <v>25.615006634405987</v>
      </c>
      <c r="AE21" s="104">
        <v>0</v>
      </c>
      <c r="AF21" s="104">
        <v>28.41616748827218</v>
      </c>
      <c r="AG21" s="104">
        <v>0</v>
      </c>
      <c r="AH21" s="104">
        <v>28.684015060272305</v>
      </c>
      <c r="AI21" s="104">
        <v>0</v>
      </c>
      <c r="AJ21" s="104">
        <v>21.958393084883348</v>
      </c>
      <c r="AK21" s="104">
        <v>0</v>
      </c>
      <c r="AL21" s="104">
        <v>20.090008274112215</v>
      </c>
      <c r="AM21" s="104">
        <v>0</v>
      </c>
      <c r="AN21" s="104">
        <v>18.51496860290505</v>
      </c>
      <c r="AO21" s="104">
        <v>0</v>
      </c>
      <c r="AP21" s="104">
        <v>17.714091312017956</v>
      </c>
      <c r="AQ21" s="104">
        <v>0</v>
      </c>
      <c r="AR21" s="105">
        <v>14.951644312445957</v>
      </c>
      <c r="AS21" s="105"/>
      <c r="AT21" s="105"/>
      <c r="AU21" s="34"/>
      <c r="AV21" s="34"/>
      <c r="AW21" s="34"/>
      <c r="BD21" s="34"/>
      <c r="BP21" s="215" t="s">
        <v>223</v>
      </c>
    </row>
    <row r="22" spans="1:68" ht="15.75" x14ac:dyDescent="0.25">
      <c r="B22" s="81">
        <v>9832.0409610133393</v>
      </c>
      <c r="C22" s="81">
        <v>110.09615702411222</v>
      </c>
      <c r="D22" s="101"/>
      <c r="E22" s="34"/>
      <c r="F22" s="34"/>
      <c r="G22" s="100"/>
      <c r="H22" s="101"/>
      <c r="I22" s="101"/>
      <c r="J22" s="101"/>
      <c r="K22" s="101"/>
      <c r="L22" s="101"/>
      <c r="M22" s="101"/>
      <c r="N22" s="102"/>
      <c r="O22" s="102"/>
      <c r="P22" s="102"/>
      <c r="Q22" s="103"/>
      <c r="R22" s="103"/>
      <c r="S22" s="103"/>
      <c r="T22" s="103"/>
      <c r="U22" s="103"/>
      <c r="V22" s="103"/>
      <c r="W22" s="103"/>
      <c r="X22" s="103"/>
      <c r="Y22" s="103"/>
      <c r="Z22" s="57"/>
      <c r="AB22" s="100" t="s">
        <v>182</v>
      </c>
      <c r="AC22" s="214">
        <v>22662.240446979886</v>
      </c>
      <c r="AD22" s="214">
        <v>104.5290126923077</v>
      </c>
      <c r="AE22" s="104">
        <v>25603.250035325746</v>
      </c>
      <c r="AF22" s="104">
        <v>103.75362913461539</v>
      </c>
      <c r="AG22" s="104">
        <v>43130.468440041856</v>
      </c>
      <c r="AH22" s="104">
        <v>99.171135673076932</v>
      </c>
      <c r="AI22" s="104">
        <v>15618.549233651851</v>
      </c>
      <c r="AJ22" s="104">
        <v>94.58864221153847</v>
      </c>
      <c r="AK22" s="104">
        <v>7874.9694718281589</v>
      </c>
      <c r="AL22" s="104">
        <v>90.006148750000008</v>
      </c>
      <c r="AM22" s="104">
        <v>932.68981549815715</v>
      </c>
      <c r="AN22" s="104">
        <v>85.423655288461546</v>
      </c>
      <c r="AO22" s="104">
        <v>892.55726627412469</v>
      </c>
      <c r="AP22" s="104">
        <v>40.993392596153853</v>
      </c>
      <c r="AQ22" s="104">
        <v>632.1306185235635</v>
      </c>
      <c r="AR22" s="105">
        <v>0</v>
      </c>
      <c r="AS22" s="105"/>
      <c r="AT22" s="105"/>
      <c r="AU22" s="34"/>
      <c r="AV22" s="34"/>
      <c r="AW22" s="34"/>
      <c r="BD22" s="34"/>
      <c r="BP22" s="216" t="s">
        <v>224</v>
      </c>
    </row>
    <row r="23" spans="1:68" ht="15.75" x14ac:dyDescent="0.25">
      <c r="B23" s="81">
        <v>1035.8269998430394</v>
      </c>
      <c r="C23" s="81">
        <v>103.9386238913666</v>
      </c>
      <c r="D23" s="101"/>
      <c r="E23" s="34"/>
      <c r="F23" s="34"/>
      <c r="G23" s="100"/>
      <c r="H23" s="101"/>
      <c r="I23" s="101"/>
      <c r="J23" s="101"/>
      <c r="K23" s="101"/>
      <c r="L23" s="101"/>
      <c r="M23" s="101"/>
      <c r="N23" s="102"/>
      <c r="O23" s="102"/>
      <c r="P23" s="102"/>
      <c r="Q23" s="103"/>
      <c r="R23" s="103"/>
      <c r="S23" s="103"/>
      <c r="T23" s="103"/>
      <c r="U23" s="103"/>
      <c r="V23" s="103"/>
      <c r="W23" s="103"/>
      <c r="X23" s="103"/>
      <c r="Y23" s="103"/>
      <c r="Z23" s="57"/>
      <c r="AB23" s="100"/>
      <c r="AC23" s="214"/>
      <c r="AD23" s="214"/>
      <c r="AE23" s="104"/>
      <c r="AF23" s="104"/>
      <c r="AG23" s="104"/>
      <c r="AH23" s="104"/>
      <c r="AI23" s="104"/>
      <c r="AJ23" s="104"/>
      <c r="AK23" s="104"/>
      <c r="AL23" s="104"/>
      <c r="AM23" s="104"/>
      <c r="AN23" s="104"/>
      <c r="AO23" s="104"/>
      <c r="AP23" s="104"/>
      <c r="AQ23" s="104"/>
      <c r="AR23" s="105"/>
      <c r="AS23" s="105"/>
      <c r="AT23" s="105"/>
      <c r="AU23" s="34"/>
      <c r="AV23" s="34"/>
      <c r="AW23" s="34"/>
      <c r="BD23" s="34"/>
      <c r="BP23" s="216" t="s">
        <v>251</v>
      </c>
    </row>
    <row r="24" spans="1:68" x14ac:dyDescent="0.25">
      <c r="B24" s="81">
        <v>995.58043338443474</v>
      </c>
      <c r="C24" s="81">
        <v>58.70748390817181</v>
      </c>
      <c r="D24" s="101"/>
      <c r="E24" s="34"/>
      <c r="F24" s="34"/>
      <c r="G24" s="100"/>
      <c r="H24" s="101"/>
      <c r="I24" s="101"/>
      <c r="J24" s="101"/>
      <c r="K24" s="101"/>
      <c r="L24" s="101"/>
      <c r="M24" s="101"/>
      <c r="N24" s="102"/>
      <c r="O24" s="102"/>
      <c r="P24" s="102"/>
      <c r="Q24" s="103"/>
      <c r="R24" s="103"/>
      <c r="S24" s="103"/>
      <c r="T24" s="103"/>
      <c r="U24" s="103"/>
      <c r="V24" s="103"/>
      <c r="W24" s="103"/>
      <c r="X24" s="103"/>
      <c r="Y24" s="103"/>
      <c r="Z24" s="57"/>
      <c r="AB24" s="100"/>
      <c r="AC24" s="214" t="b">
        <f>+SUM(AC18:AC22)=G19</f>
        <v>1</v>
      </c>
      <c r="AD24" s="214" t="b">
        <f t="shared" ref="AD24:AR24" si="23">+SUM(AD18:AD22)=H19</f>
        <v>1</v>
      </c>
      <c r="AE24" s="104" t="b">
        <f t="shared" si="23"/>
        <v>1</v>
      </c>
      <c r="AF24" s="104" t="b">
        <f t="shared" si="23"/>
        <v>1</v>
      </c>
      <c r="AG24" s="104" t="b">
        <f t="shared" si="23"/>
        <v>1</v>
      </c>
      <c r="AH24" s="104" t="b">
        <f t="shared" si="23"/>
        <v>1</v>
      </c>
      <c r="AI24" s="104" t="b">
        <f t="shared" si="23"/>
        <v>1</v>
      </c>
      <c r="AJ24" s="104" t="b">
        <f t="shared" si="23"/>
        <v>1</v>
      </c>
      <c r="AK24" s="104" t="b">
        <f t="shared" si="23"/>
        <v>1</v>
      </c>
      <c r="AL24" s="104" t="b">
        <f t="shared" si="23"/>
        <v>1</v>
      </c>
      <c r="AM24" s="104" t="b">
        <f t="shared" si="23"/>
        <v>1</v>
      </c>
      <c r="AN24" s="104" t="b">
        <f t="shared" si="23"/>
        <v>1</v>
      </c>
      <c r="AO24" s="104" t="b">
        <f t="shared" si="23"/>
        <v>1</v>
      </c>
      <c r="AP24" s="104" t="b">
        <f t="shared" si="23"/>
        <v>1</v>
      </c>
      <c r="AQ24" s="104" t="b">
        <f>+SUM(AQ18:AQ22)=U19</f>
        <v>1</v>
      </c>
      <c r="AR24" s="104" t="b">
        <f t="shared" si="23"/>
        <v>1</v>
      </c>
      <c r="AS24" s="105"/>
      <c r="AT24" s="105"/>
      <c r="AU24" s="34"/>
      <c r="AV24" s="34"/>
      <c r="AW24" s="34"/>
      <c r="BD24" s="34"/>
    </row>
    <row r="25" spans="1:68" x14ac:dyDescent="0.25">
      <c r="B25" s="81">
        <v>730.91341157012289</v>
      </c>
      <c r="C25" s="81">
        <v>14.951644312445957</v>
      </c>
      <c r="D25" s="101"/>
      <c r="E25" s="34"/>
      <c r="F25" s="34"/>
      <c r="G25" s="100"/>
      <c r="H25" s="101"/>
      <c r="I25" s="101"/>
      <c r="J25" s="101"/>
      <c r="K25" s="101"/>
      <c r="L25" s="101"/>
      <c r="M25" s="101"/>
      <c r="N25" s="102"/>
      <c r="O25" s="102"/>
      <c r="P25" s="102"/>
      <c r="Q25" s="103"/>
      <c r="R25" s="103"/>
      <c r="S25" s="103"/>
      <c r="T25" s="103"/>
      <c r="U25" s="103"/>
      <c r="V25" s="103"/>
      <c r="W25" s="103"/>
      <c r="X25" s="103"/>
      <c r="Y25" s="103"/>
      <c r="Z25" s="57"/>
      <c r="AB25" s="100"/>
      <c r="AC25" s="104"/>
      <c r="AD25" s="104"/>
      <c r="AE25" s="104"/>
      <c r="AF25" s="104"/>
      <c r="AG25" s="104"/>
      <c r="AH25" s="104"/>
      <c r="AI25" s="104"/>
      <c r="AJ25" s="104"/>
      <c r="AK25" s="104"/>
      <c r="AL25" s="104"/>
      <c r="AM25" s="104"/>
      <c r="AN25" s="104"/>
      <c r="AO25" s="104"/>
      <c r="AP25" s="104"/>
      <c r="AQ25" s="104"/>
      <c r="AR25" s="105"/>
      <c r="AS25" s="105"/>
      <c r="AT25" s="105"/>
      <c r="AU25" s="34"/>
      <c r="AV25" s="34"/>
      <c r="AW25" s="34"/>
      <c r="BD25" s="34"/>
    </row>
    <row r="26" spans="1:68" x14ac:dyDescent="0.25">
      <c r="B26" s="101"/>
      <c r="C26" s="101"/>
      <c r="D26" s="101"/>
      <c r="E26" s="34"/>
      <c r="F26" s="34"/>
      <c r="G26" s="100"/>
      <c r="H26" s="101"/>
      <c r="I26" s="101"/>
      <c r="J26" s="101"/>
      <c r="K26" s="101"/>
      <c r="L26" s="101"/>
      <c r="M26" s="101"/>
      <c r="N26" s="102"/>
      <c r="O26" s="102"/>
      <c r="P26" s="102"/>
      <c r="Q26" s="103"/>
      <c r="R26" s="103"/>
      <c r="S26" s="103"/>
      <c r="T26" s="103"/>
      <c r="U26" s="103"/>
      <c r="V26" s="103"/>
      <c r="W26" s="103"/>
      <c r="X26" s="103"/>
      <c r="Y26" s="103"/>
      <c r="Z26" s="57"/>
      <c r="AB26" s="100"/>
      <c r="AC26" s="104"/>
      <c r="AD26" s="104"/>
      <c r="AE26" s="104"/>
      <c r="AF26" s="104"/>
      <c r="AG26" s="104"/>
      <c r="AH26" s="104"/>
      <c r="AI26" s="104"/>
      <c r="AJ26" s="104"/>
      <c r="AK26" s="104"/>
      <c r="AL26" s="104"/>
      <c r="AM26" s="104"/>
      <c r="AN26" s="104"/>
      <c r="AO26" s="104"/>
      <c r="AP26" s="104"/>
      <c r="AQ26" s="104"/>
      <c r="AR26" s="105"/>
      <c r="AS26" s="105"/>
      <c r="AT26" s="105"/>
      <c r="AU26" s="34"/>
      <c r="AV26" s="34"/>
      <c r="AW26" s="34"/>
      <c r="BD26" s="34"/>
    </row>
    <row r="27" spans="1:68" x14ac:dyDescent="0.25">
      <c r="B27" s="101"/>
      <c r="C27" s="101"/>
      <c r="D27" s="101"/>
      <c r="E27" s="34"/>
      <c r="F27" s="34"/>
      <c r="G27" s="100"/>
      <c r="H27" s="101"/>
      <c r="I27" s="101"/>
      <c r="J27" s="101"/>
      <c r="K27" s="101"/>
      <c r="L27" s="101"/>
      <c r="M27" s="101"/>
      <c r="N27" s="102"/>
      <c r="O27" s="102"/>
      <c r="P27" s="102"/>
      <c r="Q27" s="103"/>
      <c r="R27" s="103"/>
      <c r="S27" s="103"/>
      <c r="T27" s="103"/>
      <c r="U27" s="103"/>
      <c r="V27" s="103"/>
      <c r="W27" s="103"/>
      <c r="X27" s="103"/>
      <c r="Y27" s="103"/>
      <c r="Z27" s="57"/>
      <c r="AB27" s="100"/>
      <c r="AC27" s="104"/>
      <c r="AD27" s="104"/>
      <c r="AE27" s="104"/>
      <c r="AF27" s="104"/>
      <c r="AG27" s="104"/>
      <c r="AH27" s="104"/>
      <c r="AI27" s="104"/>
      <c r="AJ27" s="104"/>
      <c r="AK27" s="104"/>
      <c r="AL27" s="104"/>
      <c r="AM27" s="104"/>
      <c r="AN27" s="104"/>
      <c r="AO27" s="104"/>
      <c r="AP27" s="104"/>
      <c r="AQ27" s="104"/>
      <c r="AR27" s="105"/>
      <c r="AS27" s="105"/>
      <c r="AT27" s="105"/>
      <c r="AU27" s="34"/>
      <c r="AV27" s="34"/>
      <c r="AW27" s="34"/>
      <c r="BD27" s="34"/>
    </row>
    <row r="28" spans="1:68" x14ac:dyDescent="0.25">
      <c r="B28" s="101"/>
      <c r="C28" s="101"/>
      <c r="D28" s="101"/>
      <c r="E28" s="34"/>
      <c r="F28" s="34"/>
      <c r="G28" s="100"/>
      <c r="H28" s="101"/>
      <c r="I28" s="101"/>
      <c r="J28" s="101"/>
      <c r="K28" s="101"/>
      <c r="L28" s="101"/>
      <c r="M28" s="101"/>
      <c r="N28" s="102"/>
      <c r="O28" s="102"/>
      <c r="P28" s="102"/>
      <c r="Q28" s="103"/>
      <c r="R28" s="103"/>
      <c r="S28" s="103"/>
      <c r="T28" s="103"/>
      <c r="U28" s="103"/>
      <c r="V28" s="103"/>
      <c r="W28" s="103"/>
      <c r="X28" s="103"/>
      <c r="Y28" s="103"/>
      <c r="Z28" s="57"/>
      <c r="AB28" s="100"/>
      <c r="AC28" s="104"/>
      <c r="AD28" s="104"/>
      <c r="AE28" s="104"/>
      <c r="AF28" s="104"/>
      <c r="AG28" s="104"/>
      <c r="AH28" s="104"/>
      <c r="AI28" s="104"/>
      <c r="AJ28" s="104"/>
      <c r="AK28" s="104"/>
      <c r="AL28" s="104"/>
      <c r="AM28" s="104"/>
      <c r="AN28" s="104"/>
      <c r="AO28" s="104"/>
      <c r="AP28" s="104"/>
      <c r="AQ28" s="104"/>
      <c r="AR28" s="105"/>
      <c r="AS28" s="105"/>
      <c r="AT28" s="105"/>
      <c r="AU28" s="34"/>
      <c r="AV28" s="34"/>
    </row>
    <row r="29" spans="1:68" x14ac:dyDescent="0.25">
      <c r="B29" s="101"/>
      <c r="C29" s="101"/>
      <c r="D29" s="101"/>
      <c r="E29" s="34"/>
      <c r="F29" s="34"/>
      <c r="G29" s="100"/>
      <c r="H29" s="101"/>
      <c r="I29" s="101"/>
      <c r="J29" s="101"/>
      <c r="K29" s="101"/>
      <c r="L29" s="101"/>
      <c r="M29" s="101"/>
      <c r="N29" s="102"/>
      <c r="O29" s="102"/>
      <c r="P29" s="102"/>
      <c r="Q29" s="103"/>
      <c r="R29" s="103"/>
      <c r="S29" s="103"/>
      <c r="T29" s="103"/>
      <c r="U29" s="103"/>
      <c r="V29" s="103"/>
      <c r="W29" s="103"/>
      <c r="X29" s="103"/>
      <c r="Y29" s="103"/>
      <c r="Z29" s="57"/>
      <c r="AB29" s="100"/>
      <c r="AC29" s="104"/>
      <c r="AD29" s="104"/>
      <c r="AE29" s="104"/>
      <c r="AF29" s="104"/>
      <c r="AG29" s="104"/>
      <c r="AH29" s="104"/>
      <c r="AI29" s="104"/>
      <c r="AJ29" s="104"/>
      <c r="AK29" s="104"/>
      <c r="AL29" s="104"/>
      <c r="AM29" s="104"/>
      <c r="AN29" s="104"/>
      <c r="AO29" s="104"/>
      <c r="AP29" s="104"/>
      <c r="AQ29" s="104"/>
      <c r="AR29" s="105"/>
      <c r="AS29" s="105"/>
      <c r="AT29" s="105"/>
      <c r="AU29" s="34"/>
      <c r="AV29" s="34"/>
    </row>
    <row r="30" spans="1:68" x14ac:dyDescent="0.25">
      <c r="P30" s="102"/>
      <c r="Q30" s="103"/>
      <c r="R30" s="103"/>
      <c r="S30" s="103"/>
      <c r="T30" s="103"/>
      <c r="U30" s="103"/>
      <c r="V30" s="103"/>
      <c r="W30" s="103"/>
      <c r="X30" s="103"/>
      <c r="Y30" s="103"/>
      <c r="Z30" s="57"/>
      <c r="AB30" s="100"/>
      <c r="AC30" s="104"/>
      <c r="AD30" s="104"/>
      <c r="AE30" s="104"/>
      <c r="AF30" s="104"/>
      <c r="AG30" s="104"/>
      <c r="AH30" s="104"/>
      <c r="AI30" s="104"/>
      <c r="AJ30" s="104"/>
      <c r="AK30" s="104"/>
      <c r="AL30" s="104"/>
      <c r="AM30" s="104"/>
      <c r="AN30" s="104"/>
      <c r="AO30" s="104"/>
      <c r="AP30" s="104"/>
      <c r="AQ30" s="104"/>
      <c r="AR30" s="105"/>
      <c r="AS30" s="105"/>
      <c r="AT30" s="105"/>
      <c r="AU30" s="34"/>
      <c r="AV30" s="34"/>
    </row>
    <row r="31" spans="1:68" x14ac:dyDescent="0.25">
      <c r="B31" s="101"/>
      <c r="C31" s="101"/>
      <c r="D31" s="101"/>
      <c r="G31" s="100"/>
      <c r="H31" s="101"/>
      <c r="I31" s="101"/>
      <c r="J31" s="101"/>
      <c r="K31" s="101"/>
      <c r="L31" s="101"/>
      <c r="M31" s="101"/>
      <c r="N31" s="102"/>
      <c r="O31" s="102"/>
      <c r="P31" s="102"/>
      <c r="Q31" s="103"/>
      <c r="R31" s="103"/>
      <c r="S31" s="103"/>
      <c r="T31" s="103"/>
      <c r="U31" s="103"/>
      <c r="V31" s="103"/>
      <c r="W31" s="103"/>
      <c r="X31" s="103"/>
      <c r="Y31" s="103"/>
      <c r="Z31" s="57"/>
      <c r="AB31" s="100"/>
      <c r="AC31" s="104"/>
      <c r="AD31" s="104"/>
      <c r="AE31" s="104"/>
      <c r="AF31" s="104"/>
      <c r="AG31" s="104"/>
      <c r="AH31" s="104"/>
      <c r="AI31" s="104"/>
      <c r="AJ31" s="104"/>
      <c r="AK31" s="104"/>
      <c r="AL31" s="104"/>
      <c r="AM31" s="104"/>
      <c r="AN31" s="104"/>
      <c r="AO31" s="104"/>
      <c r="AP31" s="104"/>
      <c r="AQ31" s="104"/>
      <c r="AR31" s="105"/>
      <c r="AS31" s="105"/>
      <c r="AT31" s="105"/>
      <c r="AU31" s="34"/>
      <c r="AV31" s="34"/>
    </row>
    <row r="32" spans="1:68" x14ac:dyDescent="0.25">
      <c r="B32" s="101"/>
      <c r="C32" s="101"/>
      <c r="D32" s="101"/>
      <c r="G32" s="100"/>
      <c r="H32" s="101"/>
      <c r="I32" s="101"/>
      <c r="J32" s="101"/>
      <c r="K32" s="101"/>
      <c r="L32" s="101"/>
      <c r="M32" s="101"/>
      <c r="N32" s="102"/>
      <c r="O32" s="102"/>
      <c r="P32" s="102"/>
      <c r="Q32" s="103"/>
      <c r="R32" s="103"/>
      <c r="S32" s="103"/>
      <c r="T32" s="103"/>
      <c r="U32" s="103"/>
      <c r="V32" s="103"/>
      <c r="W32" s="103"/>
      <c r="X32" s="103"/>
      <c r="Y32" s="103"/>
      <c r="Z32" s="57"/>
      <c r="AB32" s="100"/>
      <c r="AC32" s="104"/>
      <c r="AD32" s="104"/>
      <c r="AE32" s="104"/>
      <c r="AF32" s="104"/>
      <c r="AG32" s="104"/>
      <c r="AH32" s="104"/>
      <c r="AI32" s="104"/>
      <c r="AJ32" s="104"/>
      <c r="AK32" s="104"/>
      <c r="AL32" s="104"/>
      <c r="AM32" s="104"/>
      <c r="AN32" s="104"/>
      <c r="AO32" s="104"/>
      <c r="AP32" s="104"/>
      <c r="AQ32" s="104"/>
      <c r="AR32" s="105"/>
      <c r="AS32" s="105"/>
      <c r="AT32" s="105"/>
      <c r="AU32" s="34"/>
      <c r="AV32" s="34"/>
    </row>
    <row r="33" spans="1:68" x14ac:dyDescent="0.25">
      <c r="B33" s="101"/>
      <c r="C33" s="101"/>
      <c r="D33" s="101"/>
      <c r="G33" s="100"/>
      <c r="H33" s="101"/>
      <c r="I33" s="101"/>
      <c r="J33" s="101"/>
      <c r="K33" s="101"/>
      <c r="L33" s="101"/>
      <c r="M33" s="101"/>
      <c r="N33" s="102"/>
      <c r="O33" s="102"/>
      <c r="P33" s="102"/>
      <c r="Q33" s="103"/>
      <c r="R33" s="103"/>
      <c r="S33" s="103"/>
      <c r="T33" s="103"/>
      <c r="U33" s="103"/>
      <c r="V33" s="103"/>
      <c r="W33" s="103"/>
      <c r="X33" s="103"/>
      <c r="Y33" s="103"/>
      <c r="Z33" s="57"/>
      <c r="AB33" s="100"/>
      <c r="AC33" s="104"/>
      <c r="AD33" s="104"/>
      <c r="AE33" s="104"/>
      <c r="AF33" s="104"/>
      <c r="AG33" s="104"/>
      <c r="AH33" s="104"/>
      <c r="AI33" s="104"/>
      <c r="AJ33" s="104"/>
      <c r="AK33" s="104"/>
      <c r="AL33" s="104"/>
      <c r="AM33" s="104"/>
      <c r="AN33" s="104"/>
      <c r="AO33" s="104"/>
      <c r="AP33" s="104"/>
      <c r="AQ33" s="104"/>
      <c r="AR33" s="105"/>
      <c r="AS33" s="105"/>
      <c r="AT33" s="105"/>
      <c r="AU33" s="34"/>
      <c r="AV33" s="34"/>
    </row>
    <row r="34" spans="1:68" x14ac:dyDescent="0.25">
      <c r="A34" s="100"/>
      <c r="B34" s="101"/>
      <c r="C34" s="101"/>
      <c r="D34" s="101"/>
      <c r="G34" s="100"/>
      <c r="H34" s="101"/>
      <c r="I34" s="101"/>
      <c r="J34" s="101"/>
      <c r="K34" s="101"/>
      <c r="L34" s="101"/>
      <c r="M34" s="101"/>
      <c r="N34" s="102"/>
      <c r="O34" s="102"/>
      <c r="P34" s="102"/>
      <c r="Q34" s="103"/>
      <c r="R34" s="103"/>
      <c r="S34" s="103"/>
      <c r="T34" s="103"/>
      <c r="U34" s="103"/>
      <c r="V34" s="103"/>
      <c r="W34" s="103"/>
      <c r="X34" s="103"/>
      <c r="Y34" s="103"/>
      <c r="Z34" s="57"/>
      <c r="AB34" s="100"/>
      <c r="AC34" s="104"/>
      <c r="AD34" s="104"/>
      <c r="AE34" s="104"/>
      <c r="AF34" s="104"/>
      <c r="AG34" s="104"/>
      <c r="AH34" s="104"/>
      <c r="AI34" s="104"/>
      <c r="AJ34" s="104"/>
      <c r="AK34" s="104"/>
      <c r="AL34" s="104"/>
      <c r="AM34" s="104"/>
      <c r="AN34" s="104"/>
      <c r="AO34" s="104"/>
      <c r="AP34" s="104"/>
      <c r="AQ34" s="104"/>
      <c r="AR34" s="105"/>
      <c r="AS34" s="105"/>
      <c r="AT34" s="105"/>
      <c r="AU34" s="34"/>
      <c r="AV34" s="34"/>
    </row>
    <row r="35" spans="1:68" x14ac:dyDescent="0.25">
      <c r="A35" s="100"/>
      <c r="B35" s="101"/>
      <c r="C35" s="101"/>
      <c r="D35" s="101"/>
      <c r="G35" s="100"/>
      <c r="H35" s="101"/>
      <c r="I35" s="101"/>
      <c r="J35" s="101"/>
      <c r="K35" s="101"/>
      <c r="L35" s="101"/>
      <c r="M35" s="101"/>
      <c r="N35" s="102"/>
      <c r="O35" s="102"/>
      <c r="P35" s="102"/>
      <c r="Q35" s="103"/>
      <c r="R35" s="103"/>
      <c r="S35" s="103"/>
      <c r="T35" s="103"/>
      <c r="U35" s="103"/>
      <c r="V35" s="103"/>
      <c r="W35" s="103"/>
      <c r="X35" s="103"/>
      <c r="Y35" s="103"/>
      <c r="Z35" s="57"/>
      <c r="AB35" s="100"/>
      <c r="AC35" s="104"/>
      <c r="AD35" s="104"/>
      <c r="AE35" s="104"/>
      <c r="AF35" s="104"/>
      <c r="AG35" s="104"/>
      <c r="AH35" s="104"/>
      <c r="AI35" s="104"/>
      <c r="AJ35" s="104"/>
      <c r="AK35" s="104"/>
      <c r="AL35" s="104"/>
      <c r="AM35" s="104"/>
      <c r="AN35" s="104"/>
      <c r="AO35" s="104"/>
      <c r="AP35" s="104"/>
      <c r="AQ35" s="104"/>
      <c r="AR35" s="105"/>
      <c r="AS35" s="105"/>
      <c r="AT35" s="105"/>
      <c r="AU35" s="34"/>
      <c r="AV35" s="34"/>
    </row>
    <row r="40" spans="1:68" ht="18" x14ac:dyDescent="0.25">
      <c r="BP40" s="215" t="s">
        <v>226</v>
      </c>
    </row>
    <row r="41" spans="1:68" ht="15.75" x14ac:dyDescent="0.25">
      <c r="BP41" s="216" t="s">
        <v>229</v>
      </c>
    </row>
    <row r="42" spans="1:68" ht="15.75" x14ac:dyDescent="0.25">
      <c r="BP42" s="216" t="s">
        <v>250</v>
      </c>
    </row>
    <row r="58" spans="61:68" ht="18" x14ac:dyDescent="0.25">
      <c r="BI58">
        <v>2023</v>
      </c>
      <c r="BJ58" s="76">
        <v>57379.118437812736</v>
      </c>
      <c r="BK58" s="141">
        <v>130.1440193267137</v>
      </c>
      <c r="BP58" s="215" t="s">
        <v>227</v>
      </c>
    </row>
    <row r="59" spans="61:68" ht="15.75" x14ac:dyDescent="0.25">
      <c r="BI59">
        <f>+BI58+1</f>
        <v>2024</v>
      </c>
      <c r="BJ59" s="76">
        <v>42629.947316785379</v>
      </c>
      <c r="BK59" s="141">
        <v>132.16979662288759</v>
      </c>
      <c r="BP59" s="216" t="s">
        <v>228</v>
      </c>
    </row>
    <row r="60" spans="61:68" ht="15.75" x14ac:dyDescent="0.25">
      <c r="BI60">
        <f t="shared" ref="BI60:BI64" si="24">+BI59+1</f>
        <v>2025</v>
      </c>
      <c r="BJ60" s="76">
        <v>52471.76511541233</v>
      </c>
      <c r="BK60" s="141">
        <v>127.85515073334923</v>
      </c>
      <c r="BP60" s="216" t="s">
        <v>250</v>
      </c>
    </row>
    <row r="61" spans="61:68" x14ac:dyDescent="0.25">
      <c r="BI61">
        <f t="shared" si="24"/>
        <v>2026</v>
      </c>
      <c r="BJ61" s="76">
        <v>21508.421514320056</v>
      </c>
      <c r="BK61" s="141">
        <v>116.54703529642183</v>
      </c>
    </row>
    <row r="62" spans="61:68" x14ac:dyDescent="0.25">
      <c r="BI62">
        <f t="shared" si="24"/>
        <v>2027</v>
      </c>
      <c r="BJ62" s="76">
        <v>9832.0409610133393</v>
      </c>
      <c r="BK62" s="141">
        <v>110.09615702411222</v>
      </c>
    </row>
    <row r="63" spans="61:68" x14ac:dyDescent="0.25">
      <c r="BI63">
        <f t="shared" si="24"/>
        <v>2028</v>
      </c>
      <c r="BJ63" s="76">
        <v>1035.8269998430394</v>
      </c>
      <c r="BK63" s="141">
        <v>103.9386238913666</v>
      </c>
    </row>
    <row r="64" spans="61:68" x14ac:dyDescent="0.25">
      <c r="BI64">
        <f t="shared" si="24"/>
        <v>2029</v>
      </c>
      <c r="BJ64" s="76">
        <v>995.58043338443474</v>
      </c>
      <c r="BK64" s="141">
        <v>58.70748390817181</v>
      </c>
    </row>
    <row r="65" spans="61:63" x14ac:dyDescent="0.25">
      <c r="BI65" t="s">
        <v>220</v>
      </c>
      <c r="BJ65" s="76">
        <v>730.91341157012289</v>
      </c>
      <c r="BK65" s="141">
        <v>14.951644312445957</v>
      </c>
    </row>
    <row r="94" spans="59:69" ht="18" x14ac:dyDescent="0.25">
      <c r="BI94" t="s">
        <v>197</v>
      </c>
      <c r="BJ94" t="s">
        <v>198</v>
      </c>
      <c r="BQ94" s="215" t="s">
        <v>253</v>
      </c>
    </row>
    <row r="95" spans="59:69" ht="18" x14ac:dyDescent="0.25">
      <c r="BG95">
        <v>2023</v>
      </c>
      <c r="BH95" s="76">
        <v>57379.118437812736</v>
      </c>
      <c r="BI95" s="120">
        <v>0.49839014794218117</v>
      </c>
      <c r="BJ95" s="120">
        <v>0.50160985205781883</v>
      </c>
      <c r="BQ95" s="215" t="s">
        <v>254</v>
      </c>
    </row>
    <row r="96" spans="59:69" ht="15.75" x14ac:dyDescent="0.25">
      <c r="BG96">
        <f>+BG95+1</f>
        <v>2024</v>
      </c>
      <c r="BH96" s="76">
        <v>42629.947316785379</v>
      </c>
      <c r="BI96" s="120">
        <v>0.49967361699096963</v>
      </c>
      <c r="BJ96" s="120">
        <v>0.50032638300903032</v>
      </c>
      <c r="BQ96" s="216" t="s">
        <v>232</v>
      </c>
    </row>
    <row r="97" spans="59:72" ht="15.75" x14ac:dyDescent="0.25">
      <c r="BG97">
        <f t="shared" ref="BG97:BG101" si="25">+BG96+1</f>
        <v>2025</v>
      </c>
      <c r="BH97" s="76">
        <v>52471.76511541233</v>
      </c>
      <c r="BI97" s="120">
        <v>0.8517661146059895</v>
      </c>
      <c r="BJ97" s="120">
        <v>0.14823388539401045</v>
      </c>
      <c r="BQ97" s="216" t="s">
        <v>255</v>
      </c>
    </row>
    <row r="98" spans="59:72" x14ac:dyDescent="0.25">
      <c r="BG98">
        <f t="shared" si="25"/>
        <v>2026</v>
      </c>
      <c r="BH98" s="76">
        <v>21508.421514320056</v>
      </c>
      <c r="BI98" s="120">
        <v>0.87994322928759505</v>
      </c>
      <c r="BJ98" s="120">
        <v>0.12005677071240492</v>
      </c>
    </row>
    <row r="99" spans="59:72" x14ac:dyDescent="0.25">
      <c r="BG99">
        <f t="shared" si="25"/>
        <v>2027</v>
      </c>
      <c r="BH99" s="76">
        <v>9832.0409610133393</v>
      </c>
      <c r="BI99" s="120">
        <v>0.96844567571384865</v>
      </c>
      <c r="BJ99" s="120">
        <v>3.1554324286151229E-2</v>
      </c>
    </row>
    <row r="100" spans="59:72" x14ac:dyDescent="0.25">
      <c r="BG100">
        <f t="shared" si="25"/>
        <v>2028</v>
      </c>
      <c r="BH100" s="76">
        <v>1035.8269998430394</v>
      </c>
      <c r="BI100" s="120">
        <v>0.84426825469631428</v>
      </c>
      <c r="BJ100" s="120">
        <v>0.15573174530368575</v>
      </c>
    </row>
    <row r="101" spans="59:72" x14ac:dyDescent="0.25">
      <c r="BG101">
        <f t="shared" si="25"/>
        <v>2029</v>
      </c>
      <c r="BH101" s="76">
        <v>995.58043338443474</v>
      </c>
      <c r="BI101" s="120">
        <v>0.87839799176438371</v>
      </c>
      <c r="BJ101" s="120">
        <v>0.12160200823561633</v>
      </c>
    </row>
    <row r="102" spans="59:72" x14ac:dyDescent="0.25">
      <c r="BG102" t="s">
        <v>220</v>
      </c>
      <c r="BH102" s="76">
        <v>730.91341157012289</v>
      </c>
      <c r="BI102" s="120">
        <v>0.91485527379532228</v>
      </c>
      <c r="BJ102" s="120">
        <v>8.5144726204677723E-2</v>
      </c>
    </row>
    <row r="112" spans="59:72" ht="18" x14ac:dyDescent="0.25">
      <c r="BT112" s="215" t="s">
        <v>230</v>
      </c>
    </row>
    <row r="113" spans="67:72" ht="15.75" x14ac:dyDescent="0.25">
      <c r="BP113" t="s">
        <v>177</v>
      </c>
      <c r="BQ113" t="s">
        <v>199</v>
      </c>
      <c r="BT113" s="216" t="s">
        <v>231</v>
      </c>
    </row>
    <row r="114" spans="67:72" ht="15.75" x14ac:dyDescent="0.25">
      <c r="BO114" s="121">
        <v>130.1440193267137</v>
      </c>
      <c r="BP114" s="120">
        <v>0.73768534719952839</v>
      </c>
      <c r="BQ114" s="120">
        <v>0.26231465280047167</v>
      </c>
      <c r="BT114" s="216" t="s">
        <v>255</v>
      </c>
    </row>
    <row r="115" spans="67:72" x14ac:dyDescent="0.25">
      <c r="BO115" s="121">
        <v>132.16979662288759</v>
      </c>
      <c r="BP115" s="120">
        <v>0.72659910296611785</v>
      </c>
      <c r="BQ115" s="120">
        <v>0.2734008970338821</v>
      </c>
    </row>
    <row r="116" spans="67:72" x14ac:dyDescent="0.25">
      <c r="BO116" s="121">
        <v>127.85515073334923</v>
      </c>
      <c r="BP116" s="120">
        <v>0.76442247813468989</v>
      </c>
      <c r="BQ116" s="120">
        <v>0.23557752186531014</v>
      </c>
    </row>
    <row r="117" spans="67:72" x14ac:dyDescent="0.25">
      <c r="BO117" s="121">
        <v>116.54703529642183</v>
      </c>
      <c r="BP117" s="120">
        <v>0.7992110693854112</v>
      </c>
      <c r="BQ117" s="120">
        <v>0.20078893061458872</v>
      </c>
    </row>
    <row r="118" spans="67:72" x14ac:dyDescent="0.25">
      <c r="BO118" s="121">
        <v>110.09615702411222</v>
      </c>
      <c r="BP118" s="120">
        <v>0.84603934624668753</v>
      </c>
      <c r="BQ118" s="120">
        <v>0.15396065375331253</v>
      </c>
    </row>
    <row r="119" spans="67:72" x14ac:dyDescent="0.25">
      <c r="BO119" s="121">
        <v>103.9386238913666</v>
      </c>
      <c r="BP119" s="120">
        <v>0.89616041877084596</v>
      </c>
      <c r="BQ119" s="120">
        <v>0.10383958122915396</v>
      </c>
    </row>
    <row r="120" spans="67:72" x14ac:dyDescent="0.25">
      <c r="BO120" s="121">
        <v>58.70748390817181</v>
      </c>
      <c r="BP120" s="120">
        <v>0.90785548850211417</v>
      </c>
      <c r="BQ120" s="120">
        <v>9.2144511497885828E-2</v>
      </c>
    </row>
    <row r="121" spans="67:72" x14ac:dyDescent="0.25">
      <c r="BO121" s="121">
        <v>14.951644312445957</v>
      </c>
      <c r="BP121" s="120">
        <v>0.86303710928723298</v>
      </c>
      <c r="BQ121" s="120">
        <v>0.13696289071276696</v>
      </c>
    </row>
    <row r="122" spans="67:72" x14ac:dyDescent="0.25">
      <c r="BP122" s="120"/>
      <c r="BQ122" s="120"/>
    </row>
    <row r="149" spans="67:69" ht="18" x14ac:dyDescent="0.25">
      <c r="BQ149" s="215" t="s">
        <v>234</v>
      </c>
    </row>
    <row r="150" spans="67:69" ht="15.75" x14ac:dyDescent="0.25">
      <c r="BQ150" s="216" t="s">
        <v>229</v>
      </c>
    </row>
    <row r="151" spans="67:69" ht="15.75" x14ac:dyDescent="0.25">
      <c r="BO151" s="76">
        <v>57379.118437812736</v>
      </c>
      <c r="BQ151" s="216" t="s">
        <v>250</v>
      </c>
    </row>
    <row r="152" spans="67:69" x14ac:dyDescent="0.25">
      <c r="BO152" s="76">
        <v>42629.947316785379</v>
      </c>
    </row>
    <row r="153" spans="67:69" x14ac:dyDescent="0.25">
      <c r="BO153" s="76">
        <v>52471.76511541233</v>
      </c>
    </row>
    <row r="154" spans="67:69" x14ac:dyDescent="0.25">
      <c r="BO154" s="76">
        <v>21508.421514320056</v>
      </c>
    </row>
    <row r="155" spans="67:69" x14ac:dyDescent="0.25">
      <c r="BO155" s="76">
        <v>9832.0409610133393</v>
      </c>
    </row>
    <row r="156" spans="67:69" x14ac:dyDescent="0.25">
      <c r="BO156" s="76">
        <v>1035.8269998430394</v>
      </c>
    </row>
    <row r="157" spans="67:69" x14ac:dyDescent="0.25">
      <c r="BO157" s="76">
        <v>995.58043338443474</v>
      </c>
    </row>
    <row r="158" spans="67:69" x14ac:dyDescent="0.25">
      <c r="BO158" s="76">
        <v>730.91341157012289</v>
      </c>
    </row>
    <row r="167" spans="67:69" ht="18" x14ac:dyDescent="0.25">
      <c r="BO167" s="121">
        <v>130.1440193267137</v>
      </c>
      <c r="BQ167" s="215" t="s">
        <v>235</v>
      </c>
    </row>
    <row r="168" spans="67:69" ht="15.75" x14ac:dyDescent="0.25">
      <c r="BO168" s="121">
        <v>132.16979662288759</v>
      </c>
      <c r="BQ168" s="216" t="s">
        <v>228</v>
      </c>
    </row>
    <row r="169" spans="67:69" ht="15.75" x14ac:dyDescent="0.25">
      <c r="BO169" s="121">
        <v>127.85515073334923</v>
      </c>
      <c r="BQ169" s="216" t="s">
        <v>250</v>
      </c>
    </row>
    <row r="170" spans="67:69" x14ac:dyDescent="0.25">
      <c r="BO170" s="121">
        <v>116.54703529642183</v>
      </c>
    </row>
    <row r="171" spans="67:69" x14ac:dyDescent="0.25">
      <c r="BO171" s="121">
        <v>110.09615702411222</v>
      </c>
    </row>
    <row r="172" spans="67:69" x14ac:dyDescent="0.25">
      <c r="BO172" s="121">
        <v>103.9386238913666</v>
      </c>
    </row>
    <row r="173" spans="67:69" x14ac:dyDescent="0.25">
      <c r="BO173" s="121">
        <v>58.70748390817181</v>
      </c>
    </row>
    <row r="174" spans="67:69" x14ac:dyDescent="0.25">
      <c r="BO174" s="121">
        <v>14.951644312445957</v>
      </c>
    </row>
  </sheetData>
  <mergeCells count="10">
    <mergeCell ref="BT3:BV3"/>
    <mergeCell ref="H2:J2"/>
    <mergeCell ref="K2:M2"/>
    <mergeCell ref="N2:P2"/>
    <mergeCell ref="G2:G3"/>
    <mergeCell ref="AR2:AT2"/>
    <mergeCell ref="AB2:AB3"/>
    <mergeCell ref="Q2:S2"/>
    <mergeCell ref="T2:V2"/>
    <mergeCell ref="W2:Y2"/>
  </mergeCells>
  <pageMargins left="0.7" right="0.7" top="0.75" bottom="0.75" header="0.3" footer="0.3"/>
  <pageSetup paperSize="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O17"/>
  <sheetViews>
    <sheetView showGridLines="0" zoomScale="85" zoomScaleNormal="85" workbookViewId="0">
      <pane xSplit="2" ySplit="2" topLeftCell="C3" activePane="bottomRight" state="frozen"/>
      <selection activeCell="F1" sqref="F1"/>
      <selection pane="topRight" activeCell="F1" sqref="F1"/>
      <selection pane="bottomLeft" activeCell="F1" sqref="F1"/>
      <selection pane="bottomRight"/>
    </sheetView>
  </sheetViews>
  <sheetFormatPr baseColWidth="10" defaultRowHeight="15" x14ac:dyDescent="0.25"/>
  <cols>
    <col min="1" max="1" width="20.85546875" customWidth="1"/>
    <col min="2" max="2" width="49.85546875" customWidth="1"/>
    <col min="3" max="3" width="19.5703125" customWidth="1"/>
    <col min="5" max="5" width="16.7109375" bestFit="1" customWidth="1"/>
    <col min="6" max="6" width="15.5703125" bestFit="1" customWidth="1"/>
  </cols>
  <sheetData>
    <row r="1" spans="1:15" ht="24.75" customHeight="1" x14ac:dyDescent="0.25">
      <c r="A1" s="11"/>
      <c r="B1" s="62"/>
      <c r="C1" s="211">
        <v>2024</v>
      </c>
      <c r="D1" s="11"/>
      <c r="E1" s="35"/>
      <c r="F1" s="33"/>
      <c r="G1" s="11"/>
      <c r="H1" s="11"/>
      <c r="I1" s="11"/>
      <c r="J1" s="11"/>
      <c r="K1" s="11"/>
    </row>
    <row r="2" spans="1:15" ht="21" customHeight="1" x14ac:dyDescent="0.25">
      <c r="A2" s="11"/>
      <c r="B2" s="11"/>
      <c r="C2" s="183" t="s">
        <v>58</v>
      </c>
      <c r="D2" s="11"/>
      <c r="E2" s="35"/>
      <c r="F2" s="35"/>
      <c r="G2" s="11"/>
      <c r="H2" s="11"/>
      <c r="I2" s="11"/>
      <c r="J2" s="11"/>
      <c r="K2" s="11"/>
    </row>
    <row r="3" spans="1:15" ht="57" customHeight="1" x14ac:dyDescent="0.25">
      <c r="A3" s="256" t="s">
        <v>59</v>
      </c>
      <c r="B3" s="183" t="s">
        <v>60</v>
      </c>
      <c r="C3" s="78">
        <v>134972.37735487398</v>
      </c>
      <c r="D3" s="257" t="s">
        <v>127</v>
      </c>
      <c r="E3" s="257"/>
      <c r="F3" s="257"/>
      <c r="G3" s="257"/>
      <c r="H3" s="257"/>
      <c r="I3" s="257"/>
      <c r="J3" s="257"/>
      <c r="K3" s="257"/>
      <c r="L3" s="34"/>
      <c r="M3" s="34"/>
      <c r="N3" s="34"/>
      <c r="O3" s="34"/>
    </row>
    <row r="4" spans="1:15" ht="57" customHeight="1" x14ac:dyDescent="0.25">
      <c r="A4" s="256"/>
      <c r="B4" s="183" t="s">
        <v>61</v>
      </c>
      <c r="C4" s="78">
        <v>1214786.91669168</v>
      </c>
      <c r="D4" s="257"/>
      <c r="E4" s="257"/>
      <c r="F4" s="257"/>
      <c r="G4" s="257"/>
      <c r="H4" s="257"/>
      <c r="I4" s="257"/>
      <c r="J4" s="257"/>
      <c r="K4" s="257"/>
      <c r="L4" s="34"/>
      <c r="M4" s="34"/>
      <c r="N4" s="34"/>
      <c r="O4" s="34"/>
    </row>
    <row r="5" spans="1:15" ht="57" customHeight="1" x14ac:dyDescent="0.25">
      <c r="A5" s="256"/>
      <c r="B5" s="183" t="s">
        <v>62</v>
      </c>
      <c r="C5" s="79">
        <f>+C3/C4</f>
        <v>0.11110786221048079</v>
      </c>
      <c r="D5" s="257"/>
      <c r="E5" s="257"/>
      <c r="F5" s="257"/>
      <c r="G5" s="257"/>
      <c r="H5" s="257"/>
      <c r="I5" s="257"/>
      <c r="J5" s="257"/>
      <c r="K5" s="257"/>
      <c r="L5" s="34"/>
      <c r="M5" s="34"/>
      <c r="N5" s="34"/>
      <c r="O5" s="34"/>
    </row>
    <row r="6" spans="1:15" ht="57" customHeight="1" x14ac:dyDescent="0.25">
      <c r="A6" s="256" t="s">
        <v>63</v>
      </c>
      <c r="B6" s="183" t="s">
        <v>64</v>
      </c>
      <c r="C6" s="78">
        <v>71937.263064545536</v>
      </c>
      <c r="D6" s="257" t="s">
        <v>138</v>
      </c>
      <c r="E6" s="257"/>
      <c r="F6" s="257"/>
      <c r="G6" s="257"/>
      <c r="H6" s="257"/>
      <c r="I6" s="257"/>
      <c r="J6" s="257"/>
      <c r="K6" s="257"/>
      <c r="L6" s="34"/>
      <c r="M6" s="34"/>
      <c r="N6" s="34"/>
      <c r="O6" s="34"/>
    </row>
    <row r="7" spans="1:15" ht="57" customHeight="1" x14ac:dyDescent="0.25">
      <c r="A7" s="256"/>
      <c r="B7" s="183" t="s">
        <v>65</v>
      </c>
      <c r="C7" s="78">
        <v>876711.50025988009</v>
      </c>
      <c r="D7" s="257"/>
      <c r="E7" s="257"/>
      <c r="F7" s="257"/>
      <c r="G7" s="257"/>
      <c r="H7" s="257"/>
      <c r="I7" s="257"/>
      <c r="J7" s="257"/>
      <c r="K7" s="257"/>
      <c r="L7" s="34"/>
      <c r="M7" s="34"/>
      <c r="N7" s="34"/>
      <c r="O7" s="34"/>
    </row>
    <row r="8" spans="1:15" ht="57" customHeight="1" x14ac:dyDescent="0.25">
      <c r="A8" s="256"/>
      <c r="B8" s="183" t="s">
        <v>66</v>
      </c>
      <c r="C8" s="79">
        <f>+C6/C7</f>
        <v>8.2053518224890931E-2</v>
      </c>
      <c r="D8" s="257"/>
      <c r="E8" s="257"/>
      <c r="F8" s="257"/>
      <c r="G8" s="257"/>
      <c r="H8" s="257"/>
      <c r="I8" s="257"/>
      <c r="J8" s="257"/>
      <c r="K8" s="257"/>
      <c r="L8" s="34"/>
      <c r="M8" s="34"/>
      <c r="N8" s="34"/>
      <c r="O8" s="34"/>
    </row>
    <row r="9" spans="1:15" ht="57" customHeight="1" x14ac:dyDescent="0.25">
      <c r="A9" s="256"/>
      <c r="B9" s="183" t="s">
        <v>67</v>
      </c>
      <c r="C9" s="78">
        <v>51726.291057572329</v>
      </c>
      <c r="D9" s="257" t="s">
        <v>139</v>
      </c>
      <c r="E9" s="257"/>
      <c r="F9" s="257"/>
      <c r="G9" s="257"/>
      <c r="H9" s="257"/>
      <c r="I9" s="257"/>
      <c r="J9" s="257"/>
      <c r="K9" s="257"/>
      <c r="L9" s="34"/>
      <c r="M9" s="34"/>
      <c r="N9" s="34"/>
      <c r="O9" s="34"/>
    </row>
    <row r="10" spans="1:15" ht="57" customHeight="1" x14ac:dyDescent="0.25">
      <c r="A10" s="256"/>
      <c r="B10" s="183" t="s">
        <v>68</v>
      </c>
      <c r="C10" s="78">
        <v>1431784.2292266199</v>
      </c>
      <c r="D10" s="257"/>
      <c r="E10" s="257"/>
      <c r="F10" s="257"/>
      <c r="G10" s="257"/>
      <c r="H10" s="257"/>
      <c r="I10" s="257"/>
      <c r="J10" s="257"/>
      <c r="K10" s="257"/>
      <c r="L10" s="34"/>
      <c r="M10" s="34"/>
      <c r="N10" s="34"/>
      <c r="O10" s="34"/>
    </row>
    <row r="11" spans="1:15" ht="57" customHeight="1" x14ac:dyDescent="0.25">
      <c r="A11" s="256"/>
      <c r="B11" s="183" t="s">
        <v>69</v>
      </c>
      <c r="C11" s="79">
        <f>+C9/C10</f>
        <v>3.6127155196780142E-2</v>
      </c>
      <c r="D11" s="257"/>
      <c r="E11" s="257"/>
      <c r="F11" s="257"/>
      <c r="G11" s="257"/>
      <c r="H11" s="257"/>
      <c r="I11" s="257"/>
      <c r="J11" s="257"/>
      <c r="K11" s="257"/>
      <c r="L11" s="34"/>
      <c r="M11" s="34"/>
      <c r="N11" s="34"/>
      <c r="O11" s="34"/>
    </row>
    <row r="12" spans="1:15" ht="57" customHeight="1" x14ac:dyDescent="0.25">
      <c r="A12" s="256"/>
      <c r="B12" s="183" t="s">
        <v>70</v>
      </c>
      <c r="C12" s="78">
        <v>60.345689380000003</v>
      </c>
      <c r="D12" s="257" t="s">
        <v>140</v>
      </c>
      <c r="E12" s="257"/>
      <c r="F12" s="257"/>
      <c r="G12" s="257"/>
      <c r="H12" s="257"/>
      <c r="I12" s="257"/>
      <c r="J12" s="257"/>
      <c r="K12" s="257"/>
      <c r="L12" s="34"/>
      <c r="M12" s="34"/>
      <c r="N12" s="34"/>
      <c r="O12" s="34"/>
    </row>
    <row r="13" spans="1:15" ht="57" customHeight="1" x14ac:dyDescent="0.25">
      <c r="A13" s="256"/>
      <c r="B13" s="183" t="s">
        <v>71</v>
      </c>
      <c r="C13" s="78">
        <v>1431784.2292266199</v>
      </c>
      <c r="D13" s="257"/>
      <c r="E13" s="257"/>
      <c r="F13" s="257"/>
      <c r="G13" s="257"/>
      <c r="H13" s="257"/>
      <c r="I13" s="257"/>
      <c r="J13" s="257"/>
      <c r="K13" s="257"/>
      <c r="L13" s="34"/>
      <c r="M13" s="34"/>
      <c r="N13" s="34"/>
      <c r="O13" s="34"/>
    </row>
    <row r="14" spans="1:15" ht="57" customHeight="1" x14ac:dyDescent="0.25">
      <c r="A14" s="256"/>
      <c r="B14" s="183" t="s">
        <v>72</v>
      </c>
      <c r="C14" s="274">
        <f>+C12/C13</f>
        <v>4.2147195190574073E-5</v>
      </c>
      <c r="D14" s="257"/>
      <c r="E14" s="257"/>
      <c r="F14" s="257"/>
      <c r="G14" s="257"/>
      <c r="H14" s="257"/>
      <c r="I14" s="257"/>
      <c r="J14" s="257"/>
      <c r="K14" s="257"/>
      <c r="L14" s="34"/>
      <c r="M14" s="34"/>
      <c r="N14" s="34"/>
      <c r="O14" s="34"/>
    </row>
    <row r="15" spans="1:15" ht="57" customHeight="1" x14ac:dyDescent="0.25">
      <c r="A15" s="256"/>
      <c r="B15" s="183" t="s">
        <v>73</v>
      </c>
      <c r="C15" s="78">
        <v>71458.908726737514</v>
      </c>
      <c r="D15" s="257" t="s">
        <v>141</v>
      </c>
      <c r="E15" s="257"/>
      <c r="F15" s="257"/>
      <c r="G15" s="257"/>
      <c r="H15" s="257"/>
      <c r="I15" s="257"/>
      <c r="J15" s="257"/>
      <c r="K15" s="257"/>
      <c r="L15" s="34"/>
      <c r="M15" s="34"/>
      <c r="N15" s="34"/>
      <c r="O15" s="34"/>
    </row>
    <row r="16" spans="1:15" ht="57" customHeight="1" x14ac:dyDescent="0.25">
      <c r="A16" s="256"/>
      <c r="B16" s="183" t="s">
        <v>74</v>
      </c>
      <c r="C16" s="78">
        <v>628147.59332671005</v>
      </c>
      <c r="D16" s="257"/>
      <c r="E16" s="257"/>
      <c r="F16" s="257"/>
      <c r="G16" s="257"/>
      <c r="H16" s="257"/>
      <c r="I16" s="257"/>
      <c r="J16" s="257"/>
      <c r="K16" s="257"/>
      <c r="L16" s="34"/>
      <c r="M16" s="34"/>
      <c r="N16" s="34"/>
      <c r="O16" s="34"/>
    </row>
    <row r="17" spans="1:15" ht="57" customHeight="1" x14ac:dyDescent="0.25">
      <c r="A17" s="256"/>
      <c r="B17" s="183" t="s">
        <v>75</v>
      </c>
      <c r="C17" s="79">
        <f>+C15/C16</f>
        <v>0.11376133489310457</v>
      </c>
      <c r="D17" s="257"/>
      <c r="E17" s="257"/>
      <c r="F17" s="257"/>
      <c r="G17" s="257"/>
      <c r="H17" s="257"/>
      <c r="I17" s="257"/>
      <c r="J17" s="257"/>
      <c r="K17" s="257"/>
      <c r="L17" s="34"/>
      <c r="M17" s="34"/>
      <c r="N17" s="34"/>
      <c r="O17" s="34"/>
    </row>
  </sheetData>
  <mergeCells count="7">
    <mergeCell ref="A3:A5"/>
    <mergeCell ref="D3:K5"/>
    <mergeCell ref="A6:A17"/>
    <mergeCell ref="D6:K8"/>
    <mergeCell ref="D9:K11"/>
    <mergeCell ref="D12:K14"/>
    <mergeCell ref="D15:K17"/>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U9"/>
  <sheetViews>
    <sheetView showGridLines="0" workbookViewId="0"/>
  </sheetViews>
  <sheetFormatPr baseColWidth="10" defaultRowHeight="15" x14ac:dyDescent="0.25"/>
  <cols>
    <col min="1" max="1" width="4.5703125" customWidth="1"/>
    <col min="2" max="2" width="39.85546875" customWidth="1"/>
    <col min="3" max="3" width="11.28515625" customWidth="1"/>
    <col min="4" max="4" width="9.85546875" customWidth="1"/>
    <col min="5" max="5" width="11" customWidth="1"/>
    <col min="6" max="6" width="13.42578125" customWidth="1"/>
    <col min="7" max="9" width="12.42578125" customWidth="1"/>
    <col min="10" max="10" width="6.28515625" customWidth="1"/>
    <col min="11" max="11" width="6.42578125" customWidth="1"/>
    <col min="12" max="12" width="6.85546875" customWidth="1"/>
    <col min="13" max="13" width="9.28515625" customWidth="1"/>
    <col min="14" max="14" width="11.28515625" customWidth="1"/>
    <col min="259" max="259" width="39.85546875" customWidth="1"/>
    <col min="260" max="260" width="11.28515625" customWidth="1"/>
    <col min="261" max="261" width="9.85546875" customWidth="1"/>
    <col min="262" max="262" width="11" customWidth="1"/>
    <col min="263" max="263" width="13.42578125" customWidth="1"/>
    <col min="264" max="265" width="12.42578125" customWidth="1"/>
    <col min="266" max="266" width="6.28515625" customWidth="1"/>
    <col min="267" max="267" width="6.42578125" customWidth="1"/>
    <col min="268" max="268" width="6.85546875" customWidth="1"/>
    <col min="269" max="269" width="9.28515625" customWidth="1"/>
    <col min="270" max="270" width="11.28515625" customWidth="1"/>
    <col min="515" max="515" width="39.85546875" customWidth="1"/>
    <col min="516" max="516" width="11.28515625" customWidth="1"/>
    <col min="517" max="517" width="9.85546875" customWidth="1"/>
    <col min="518" max="518" width="11" customWidth="1"/>
    <col min="519" max="519" width="13.42578125" customWidth="1"/>
    <col min="520" max="521" width="12.42578125" customWidth="1"/>
    <col min="522" max="522" width="6.28515625" customWidth="1"/>
    <col min="523" max="523" width="6.42578125" customWidth="1"/>
    <col min="524" max="524" width="6.85546875" customWidth="1"/>
    <col min="525" max="525" width="9.28515625" customWidth="1"/>
    <col min="526" max="526" width="11.28515625" customWidth="1"/>
    <col min="771" max="771" width="39.85546875" customWidth="1"/>
    <col min="772" max="772" width="11.28515625" customWidth="1"/>
    <col min="773" max="773" width="9.85546875" customWidth="1"/>
    <col min="774" max="774" width="11" customWidth="1"/>
    <col min="775" max="775" width="13.42578125" customWidth="1"/>
    <col min="776" max="777" width="12.42578125" customWidth="1"/>
    <col min="778" max="778" width="6.28515625" customWidth="1"/>
    <col min="779" max="779" width="6.42578125" customWidth="1"/>
    <col min="780" max="780" width="6.85546875" customWidth="1"/>
    <col min="781" max="781" width="9.28515625" customWidth="1"/>
    <col min="782" max="782" width="11.28515625" customWidth="1"/>
    <col min="1027" max="1027" width="39.85546875" customWidth="1"/>
    <col min="1028" max="1028" width="11.28515625" customWidth="1"/>
    <col min="1029" max="1029" width="9.85546875" customWidth="1"/>
    <col min="1030" max="1030" width="11" customWidth="1"/>
    <col min="1031" max="1031" width="13.42578125" customWidth="1"/>
    <col min="1032" max="1033" width="12.42578125" customWidth="1"/>
    <col min="1034" max="1034" width="6.28515625" customWidth="1"/>
    <col min="1035" max="1035" width="6.42578125" customWidth="1"/>
    <col min="1036" max="1036" width="6.85546875" customWidth="1"/>
    <col min="1037" max="1037" width="9.28515625" customWidth="1"/>
    <col min="1038" max="1038" width="11.28515625" customWidth="1"/>
    <col min="1283" max="1283" width="39.85546875" customWidth="1"/>
    <col min="1284" max="1284" width="11.28515625" customWidth="1"/>
    <col min="1285" max="1285" width="9.85546875" customWidth="1"/>
    <col min="1286" max="1286" width="11" customWidth="1"/>
    <col min="1287" max="1287" width="13.42578125" customWidth="1"/>
    <col min="1288" max="1289" width="12.42578125" customWidth="1"/>
    <col min="1290" max="1290" width="6.28515625" customWidth="1"/>
    <col min="1291" max="1291" width="6.42578125" customWidth="1"/>
    <col min="1292" max="1292" width="6.85546875" customWidth="1"/>
    <col min="1293" max="1293" width="9.28515625" customWidth="1"/>
    <col min="1294" max="1294" width="11.28515625" customWidth="1"/>
    <col min="1539" max="1539" width="39.85546875" customWidth="1"/>
    <col min="1540" max="1540" width="11.28515625" customWidth="1"/>
    <col min="1541" max="1541" width="9.85546875" customWidth="1"/>
    <col min="1542" max="1542" width="11" customWidth="1"/>
    <col min="1543" max="1543" width="13.42578125" customWidth="1"/>
    <col min="1544" max="1545" width="12.42578125" customWidth="1"/>
    <col min="1546" max="1546" width="6.28515625" customWidth="1"/>
    <col min="1547" max="1547" width="6.42578125" customWidth="1"/>
    <col min="1548" max="1548" width="6.85546875" customWidth="1"/>
    <col min="1549" max="1549" width="9.28515625" customWidth="1"/>
    <col min="1550" max="1550" width="11.28515625" customWidth="1"/>
    <col min="1795" max="1795" width="39.85546875" customWidth="1"/>
    <col min="1796" max="1796" width="11.28515625" customWidth="1"/>
    <col min="1797" max="1797" width="9.85546875" customWidth="1"/>
    <col min="1798" max="1798" width="11" customWidth="1"/>
    <col min="1799" max="1799" width="13.42578125" customWidth="1"/>
    <col min="1800" max="1801" width="12.42578125" customWidth="1"/>
    <col min="1802" max="1802" width="6.28515625" customWidth="1"/>
    <col min="1803" max="1803" width="6.42578125" customWidth="1"/>
    <col min="1804" max="1804" width="6.85546875" customWidth="1"/>
    <col min="1805" max="1805" width="9.28515625" customWidth="1"/>
    <col min="1806" max="1806" width="11.28515625" customWidth="1"/>
    <col min="2051" max="2051" width="39.85546875" customWidth="1"/>
    <col min="2052" max="2052" width="11.28515625" customWidth="1"/>
    <col min="2053" max="2053" width="9.85546875" customWidth="1"/>
    <col min="2054" max="2054" width="11" customWidth="1"/>
    <col min="2055" max="2055" width="13.42578125" customWidth="1"/>
    <col min="2056" max="2057" width="12.42578125" customWidth="1"/>
    <col min="2058" max="2058" width="6.28515625" customWidth="1"/>
    <col min="2059" max="2059" width="6.42578125" customWidth="1"/>
    <col min="2060" max="2060" width="6.85546875" customWidth="1"/>
    <col min="2061" max="2061" width="9.28515625" customWidth="1"/>
    <col min="2062" max="2062" width="11.28515625" customWidth="1"/>
    <col min="2307" max="2307" width="39.85546875" customWidth="1"/>
    <col min="2308" max="2308" width="11.28515625" customWidth="1"/>
    <col min="2309" max="2309" width="9.85546875" customWidth="1"/>
    <col min="2310" max="2310" width="11" customWidth="1"/>
    <col min="2311" max="2311" width="13.42578125" customWidth="1"/>
    <col min="2312" max="2313" width="12.42578125" customWidth="1"/>
    <col min="2314" max="2314" width="6.28515625" customWidth="1"/>
    <col min="2315" max="2315" width="6.42578125" customWidth="1"/>
    <col min="2316" max="2316" width="6.85546875" customWidth="1"/>
    <col min="2317" max="2317" width="9.28515625" customWidth="1"/>
    <col min="2318" max="2318" width="11.28515625" customWidth="1"/>
    <col min="2563" max="2563" width="39.85546875" customWidth="1"/>
    <col min="2564" max="2564" width="11.28515625" customWidth="1"/>
    <col min="2565" max="2565" width="9.85546875" customWidth="1"/>
    <col min="2566" max="2566" width="11" customWidth="1"/>
    <col min="2567" max="2567" width="13.42578125" customWidth="1"/>
    <col min="2568" max="2569" width="12.42578125" customWidth="1"/>
    <col min="2570" max="2570" width="6.28515625" customWidth="1"/>
    <col min="2571" max="2571" width="6.42578125" customWidth="1"/>
    <col min="2572" max="2572" width="6.85546875" customWidth="1"/>
    <col min="2573" max="2573" width="9.28515625" customWidth="1"/>
    <col min="2574" max="2574" width="11.28515625" customWidth="1"/>
    <col min="2819" max="2819" width="39.85546875" customWidth="1"/>
    <col min="2820" max="2820" width="11.28515625" customWidth="1"/>
    <col min="2821" max="2821" width="9.85546875" customWidth="1"/>
    <col min="2822" max="2822" width="11" customWidth="1"/>
    <col min="2823" max="2823" width="13.42578125" customWidth="1"/>
    <col min="2824" max="2825" width="12.42578125" customWidth="1"/>
    <col min="2826" max="2826" width="6.28515625" customWidth="1"/>
    <col min="2827" max="2827" width="6.42578125" customWidth="1"/>
    <col min="2828" max="2828" width="6.85546875" customWidth="1"/>
    <col min="2829" max="2829" width="9.28515625" customWidth="1"/>
    <col min="2830" max="2830" width="11.28515625" customWidth="1"/>
    <col min="3075" max="3075" width="39.85546875" customWidth="1"/>
    <col min="3076" max="3076" width="11.28515625" customWidth="1"/>
    <col min="3077" max="3077" width="9.85546875" customWidth="1"/>
    <col min="3078" max="3078" width="11" customWidth="1"/>
    <col min="3079" max="3079" width="13.42578125" customWidth="1"/>
    <col min="3080" max="3081" width="12.42578125" customWidth="1"/>
    <col min="3082" max="3082" width="6.28515625" customWidth="1"/>
    <col min="3083" max="3083" width="6.42578125" customWidth="1"/>
    <col min="3084" max="3084" width="6.85546875" customWidth="1"/>
    <col min="3085" max="3085" width="9.28515625" customWidth="1"/>
    <col min="3086" max="3086" width="11.28515625" customWidth="1"/>
    <col min="3331" max="3331" width="39.85546875" customWidth="1"/>
    <col min="3332" max="3332" width="11.28515625" customWidth="1"/>
    <col min="3333" max="3333" width="9.85546875" customWidth="1"/>
    <col min="3334" max="3334" width="11" customWidth="1"/>
    <col min="3335" max="3335" width="13.42578125" customWidth="1"/>
    <col min="3336" max="3337" width="12.42578125" customWidth="1"/>
    <col min="3338" max="3338" width="6.28515625" customWidth="1"/>
    <col min="3339" max="3339" width="6.42578125" customWidth="1"/>
    <col min="3340" max="3340" width="6.85546875" customWidth="1"/>
    <col min="3341" max="3341" width="9.28515625" customWidth="1"/>
    <col min="3342" max="3342" width="11.28515625" customWidth="1"/>
    <col min="3587" max="3587" width="39.85546875" customWidth="1"/>
    <col min="3588" max="3588" width="11.28515625" customWidth="1"/>
    <col min="3589" max="3589" width="9.85546875" customWidth="1"/>
    <col min="3590" max="3590" width="11" customWidth="1"/>
    <col min="3591" max="3591" width="13.42578125" customWidth="1"/>
    <col min="3592" max="3593" width="12.42578125" customWidth="1"/>
    <col min="3594" max="3594" width="6.28515625" customWidth="1"/>
    <col min="3595" max="3595" width="6.42578125" customWidth="1"/>
    <col min="3596" max="3596" width="6.85546875" customWidth="1"/>
    <col min="3597" max="3597" width="9.28515625" customWidth="1"/>
    <col min="3598" max="3598" width="11.28515625" customWidth="1"/>
    <col min="3843" max="3843" width="39.85546875" customWidth="1"/>
    <col min="3844" max="3844" width="11.28515625" customWidth="1"/>
    <col min="3845" max="3845" width="9.85546875" customWidth="1"/>
    <col min="3846" max="3846" width="11" customWidth="1"/>
    <col min="3847" max="3847" width="13.42578125" customWidth="1"/>
    <col min="3848" max="3849" width="12.42578125" customWidth="1"/>
    <col min="3850" max="3850" width="6.28515625" customWidth="1"/>
    <col min="3851" max="3851" width="6.42578125" customWidth="1"/>
    <col min="3852" max="3852" width="6.85546875" customWidth="1"/>
    <col min="3853" max="3853" width="9.28515625" customWidth="1"/>
    <col min="3854" max="3854" width="11.28515625" customWidth="1"/>
    <col min="4099" max="4099" width="39.85546875" customWidth="1"/>
    <col min="4100" max="4100" width="11.28515625" customWidth="1"/>
    <col min="4101" max="4101" width="9.85546875" customWidth="1"/>
    <col min="4102" max="4102" width="11" customWidth="1"/>
    <col min="4103" max="4103" width="13.42578125" customWidth="1"/>
    <col min="4104" max="4105" width="12.42578125" customWidth="1"/>
    <col min="4106" max="4106" width="6.28515625" customWidth="1"/>
    <col min="4107" max="4107" width="6.42578125" customWidth="1"/>
    <col min="4108" max="4108" width="6.85546875" customWidth="1"/>
    <col min="4109" max="4109" width="9.28515625" customWidth="1"/>
    <col min="4110" max="4110" width="11.28515625" customWidth="1"/>
    <col min="4355" max="4355" width="39.85546875" customWidth="1"/>
    <col min="4356" max="4356" width="11.28515625" customWidth="1"/>
    <col min="4357" max="4357" width="9.85546875" customWidth="1"/>
    <col min="4358" max="4358" width="11" customWidth="1"/>
    <col min="4359" max="4359" width="13.42578125" customWidth="1"/>
    <col min="4360" max="4361" width="12.42578125" customWidth="1"/>
    <col min="4362" max="4362" width="6.28515625" customWidth="1"/>
    <col min="4363" max="4363" width="6.42578125" customWidth="1"/>
    <col min="4364" max="4364" width="6.85546875" customWidth="1"/>
    <col min="4365" max="4365" width="9.28515625" customWidth="1"/>
    <col min="4366" max="4366" width="11.28515625" customWidth="1"/>
    <col min="4611" max="4611" width="39.85546875" customWidth="1"/>
    <col min="4612" max="4612" width="11.28515625" customWidth="1"/>
    <col min="4613" max="4613" width="9.85546875" customWidth="1"/>
    <col min="4614" max="4614" width="11" customWidth="1"/>
    <col min="4615" max="4615" width="13.42578125" customWidth="1"/>
    <col min="4616" max="4617" width="12.42578125" customWidth="1"/>
    <col min="4618" max="4618" width="6.28515625" customWidth="1"/>
    <col min="4619" max="4619" width="6.42578125" customWidth="1"/>
    <col min="4620" max="4620" width="6.85546875" customWidth="1"/>
    <col min="4621" max="4621" width="9.28515625" customWidth="1"/>
    <col min="4622" max="4622" width="11.28515625" customWidth="1"/>
    <col min="4867" max="4867" width="39.85546875" customWidth="1"/>
    <col min="4868" max="4868" width="11.28515625" customWidth="1"/>
    <col min="4869" max="4869" width="9.85546875" customWidth="1"/>
    <col min="4870" max="4870" width="11" customWidth="1"/>
    <col min="4871" max="4871" width="13.42578125" customWidth="1"/>
    <col min="4872" max="4873" width="12.42578125" customWidth="1"/>
    <col min="4874" max="4874" width="6.28515625" customWidth="1"/>
    <col min="4875" max="4875" width="6.42578125" customWidth="1"/>
    <col min="4876" max="4876" width="6.85546875" customWidth="1"/>
    <col min="4877" max="4877" width="9.28515625" customWidth="1"/>
    <col min="4878" max="4878" width="11.28515625" customWidth="1"/>
    <col min="5123" max="5123" width="39.85546875" customWidth="1"/>
    <col min="5124" max="5124" width="11.28515625" customWidth="1"/>
    <col min="5125" max="5125" width="9.85546875" customWidth="1"/>
    <col min="5126" max="5126" width="11" customWidth="1"/>
    <col min="5127" max="5127" width="13.42578125" customWidth="1"/>
    <col min="5128" max="5129" width="12.42578125" customWidth="1"/>
    <col min="5130" max="5130" width="6.28515625" customWidth="1"/>
    <col min="5131" max="5131" width="6.42578125" customWidth="1"/>
    <col min="5132" max="5132" width="6.85546875" customWidth="1"/>
    <col min="5133" max="5133" width="9.28515625" customWidth="1"/>
    <col min="5134" max="5134" width="11.28515625" customWidth="1"/>
    <col min="5379" max="5379" width="39.85546875" customWidth="1"/>
    <col min="5380" max="5380" width="11.28515625" customWidth="1"/>
    <col min="5381" max="5381" width="9.85546875" customWidth="1"/>
    <col min="5382" max="5382" width="11" customWidth="1"/>
    <col min="5383" max="5383" width="13.42578125" customWidth="1"/>
    <col min="5384" max="5385" width="12.42578125" customWidth="1"/>
    <col min="5386" max="5386" width="6.28515625" customWidth="1"/>
    <col min="5387" max="5387" width="6.42578125" customWidth="1"/>
    <col min="5388" max="5388" width="6.85546875" customWidth="1"/>
    <col min="5389" max="5389" width="9.28515625" customWidth="1"/>
    <col min="5390" max="5390" width="11.28515625" customWidth="1"/>
    <col min="5635" max="5635" width="39.85546875" customWidth="1"/>
    <col min="5636" max="5636" width="11.28515625" customWidth="1"/>
    <col min="5637" max="5637" width="9.85546875" customWidth="1"/>
    <col min="5638" max="5638" width="11" customWidth="1"/>
    <col min="5639" max="5639" width="13.42578125" customWidth="1"/>
    <col min="5640" max="5641" width="12.42578125" customWidth="1"/>
    <col min="5642" max="5642" width="6.28515625" customWidth="1"/>
    <col min="5643" max="5643" width="6.42578125" customWidth="1"/>
    <col min="5644" max="5644" width="6.85546875" customWidth="1"/>
    <col min="5645" max="5645" width="9.28515625" customWidth="1"/>
    <col min="5646" max="5646" width="11.28515625" customWidth="1"/>
    <col min="5891" max="5891" width="39.85546875" customWidth="1"/>
    <col min="5892" max="5892" width="11.28515625" customWidth="1"/>
    <col min="5893" max="5893" width="9.85546875" customWidth="1"/>
    <col min="5894" max="5894" width="11" customWidth="1"/>
    <col min="5895" max="5895" width="13.42578125" customWidth="1"/>
    <col min="5896" max="5897" width="12.42578125" customWidth="1"/>
    <col min="5898" max="5898" width="6.28515625" customWidth="1"/>
    <col min="5899" max="5899" width="6.42578125" customWidth="1"/>
    <col min="5900" max="5900" width="6.85546875" customWidth="1"/>
    <col min="5901" max="5901" width="9.28515625" customWidth="1"/>
    <col min="5902" max="5902" width="11.28515625" customWidth="1"/>
    <col min="6147" max="6147" width="39.85546875" customWidth="1"/>
    <col min="6148" max="6148" width="11.28515625" customWidth="1"/>
    <col min="6149" max="6149" width="9.85546875" customWidth="1"/>
    <col min="6150" max="6150" width="11" customWidth="1"/>
    <col min="6151" max="6151" width="13.42578125" customWidth="1"/>
    <col min="6152" max="6153" width="12.42578125" customWidth="1"/>
    <col min="6154" max="6154" width="6.28515625" customWidth="1"/>
    <col min="6155" max="6155" width="6.42578125" customWidth="1"/>
    <col min="6156" max="6156" width="6.85546875" customWidth="1"/>
    <col min="6157" max="6157" width="9.28515625" customWidth="1"/>
    <col min="6158" max="6158" width="11.28515625" customWidth="1"/>
    <col min="6403" max="6403" width="39.85546875" customWidth="1"/>
    <col min="6404" max="6404" width="11.28515625" customWidth="1"/>
    <col min="6405" max="6405" width="9.85546875" customWidth="1"/>
    <col min="6406" max="6406" width="11" customWidth="1"/>
    <col min="6407" max="6407" width="13.42578125" customWidth="1"/>
    <col min="6408" max="6409" width="12.42578125" customWidth="1"/>
    <col min="6410" max="6410" width="6.28515625" customWidth="1"/>
    <col min="6411" max="6411" width="6.42578125" customWidth="1"/>
    <col min="6412" max="6412" width="6.85546875" customWidth="1"/>
    <col min="6413" max="6413" width="9.28515625" customWidth="1"/>
    <col min="6414" max="6414" width="11.28515625" customWidth="1"/>
    <col min="6659" max="6659" width="39.85546875" customWidth="1"/>
    <col min="6660" max="6660" width="11.28515625" customWidth="1"/>
    <col min="6661" max="6661" width="9.85546875" customWidth="1"/>
    <col min="6662" max="6662" width="11" customWidth="1"/>
    <col min="6663" max="6663" width="13.42578125" customWidth="1"/>
    <col min="6664" max="6665" width="12.42578125" customWidth="1"/>
    <col min="6666" max="6666" width="6.28515625" customWidth="1"/>
    <col min="6667" max="6667" width="6.42578125" customWidth="1"/>
    <col min="6668" max="6668" width="6.85546875" customWidth="1"/>
    <col min="6669" max="6669" width="9.28515625" customWidth="1"/>
    <col min="6670" max="6670" width="11.28515625" customWidth="1"/>
    <col min="6915" max="6915" width="39.85546875" customWidth="1"/>
    <col min="6916" max="6916" width="11.28515625" customWidth="1"/>
    <col min="6917" max="6917" width="9.85546875" customWidth="1"/>
    <col min="6918" max="6918" width="11" customWidth="1"/>
    <col min="6919" max="6919" width="13.42578125" customWidth="1"/>
    <col min="6920" max="6921" width="12.42578125" customWidth="1"/>
    <col min="6922" max="6922" width="6.28515625" customWidth="1"/>
    <col min="6923" max="6923" width="6.42578125" customWidth="1"/>
    <col min="6924" max="6924" width="6.85546875" customWidth="1"/>
    <col min="6925" max="6925" width="9.28515625" customWidth="1"/>
    <col min="6926" max="6926" width="11.28515625" customWidth="1"/>
    <col min="7171" max="7171" width="39.85546875" customWidth="1"/>
    <col min="7172" max="7172" width="11.28515625" customWidth="1"/>
    <col min="7173" max="7173" width="9.85546875" customWidth="1"/>
    <col min="7174" max="7174" width="11" customWidth="1"/>
    <col min="7175" max="7175" width="13.42578125" customWidth="1"/>
    <col min="7176" max="7177" width="12.42578125" customWidth="1"/>
    <col min="7178" max="7178" width="6.28515625" customWidth="1"/>
    <col min="7179" max="7179" width="6.42578125" customWidth="1"/>
    <col min="7180" max="7180" width="6.85546875" customWidth="1"/>
    <col min="7181" max="7181" width="9.28515625" customWidth="1"/>
    <col min="7182" max="7182" width="11.28515625" customWidth="1"/>
    <col min="7427" max="7427" width="39.85546875" customWidth="1"/>
    <col min="7428" max="7428" width="11.28515625" customWidth="1"/>
    <col min="7429" max="7429" width="9.85546875" customWidth="1"/>
    <col min="7430" max="7430" width="11" customWidth="1"/>
    <col min="7431" max="7431" width="13.42578125" customWidth="1"/>
    <col min="7432" max="7433" width="12.42578125" customWidth="1"/>
    <col min="7434" max="7434" width="6.28515625" customWidth="1"/>
    <col min="7435" max="7435" width="6.42578125" customWidth="1"/>
    <col min="7436" max="7436" width="6.85546875" customWidth="1"/>
    <col min="7437" max="7437" width="9.28515625" customWidth="1"/>
    <col min="7438" max="7438" width="11.28515625" customWidth="1"/>
    <col min="7683" max="7683" width="39.85546875" customWidth="1"/>
    <col min="7684" max="7684" width="11.28515625" customWidth="1"/>
    <col min="7685" max="7685" width="9.85546875" customWidth="1"/>
    <col min="7686" max="7686" width="11" customWidth="1"/>
    <col min="7687" max="7687" width="13.42578125" customWidth="1"/>
    <col min="7688" max="7689" width="12.42578125" customWidth="1"/>
    <col min="7690" max="7690" width="6.28515625" customWidth="1"/>
    <col min="7691" max="7691" width="6.42578125" customWidth="1"/>
    <col min="7692" max="7692" width="6.85546875" customWidth="1"/>
    <col min="7693" max="7693" width="9.28515625" customWidth="1"/>
    <col min="7694" max="7694" width="11.28515625" customWidth="1"/>
    <col min="7939" max="7939" width="39.85546875" customWidth="1"/>
    <col min="7940" max="7940" width="11.28515625" customWidth="1"/>
    <col min="7941" max="7941" width="9.85546875" customWidth="1"/>
    <col min="7942" max="7942" width="11" customWidth="1"/>
    <col min="7943" max="7943" width="13.42578125" customWidth="1"/>
    <col min="7944" max="7945" width="12.42578125" customWidth="1"/>
    <col min="7946" max="7946" width="6.28515625" customWidth="1"/>
    <col min="7947" max="7947" width="6.42578125" customWidth="1"/>
    <col min="7948" max="7948" width="6.85546875" customWidth="1"/>
    <col min="7949" max="7949" width="9.28515625" customWidth="1"/>
    <col min="7950" max="7950" width="11.28515625" customWidth="1"/>
    <col min="8195" max="8195" width="39.85546875" customWidth="1"/>
    <col min="8196" max="8196" width="11.28515625" customWidth="1"/>
    <col min="8197" max="8197" width="9.85546875" customWidth="1"/>
    <col min="8198" max="8198" width="11" customWidth="1"/>
    <col min="8199" max="8199" width="13.42578125" customWidth="1"/>
    <col min="8200" max="8201" width="12.42578125" customWidth="1"/>
    <col min="8202" max="8202" width="6.28515625" customWidth="1"/>
    <col min="8203" max="8203" width="6.42578125" customWidth="1"/>
    <col min="8204" max="8204" width="6.85546875" customWidth="1"/>
    <col min="8205" max="8205" width="9.28515625" customWidth="1"/>
    <col min="8206" max="8206" width="11.28515625" customWidth="1"/>
    <col min="8451" max="8451" width="39.85546875" customWidth="1"/>
    <col min="8452" max="8452" width="11.28515625" customWidth="1"/>
    <col min="8453" max="8453" width="9.85546875" customWidth="1"/>
    <col min="8454" max="8454" width="11" customWidth="1"/>
    <col min="8455" max="8455" width="13.42578125" customWidth="1"/>
    <col min="8456" max="8457" width="12.42578125" customWidth="1"/>
    <col min="8458" max="8458" width="6.28515625" customWidth="1"/>
    <col min="8459" max="8459" width="6.42578125" customWidth="1"/>
    <col min="8460" max="8460" width="6.85546875" customWidth="1"/>
    <col min="8461" max="8461" width="9.28515625" customWidth="1"/>
    <col min="8462" max="8462" width="11.28515625" customWidth="1"/>
    <col min="8707" max="8707" width="39.85546875" customWidth="1"/>
    <col min="8708" max="8708" width="11.28515625" customWidth="1"/>
    <col min="8709" max="8709" width="9.85546875" customWidth="1"/>
    <col min="8710" max="8710" width="11" customWidth="1"/>
    <col min="8711" max="8711" width="13.42578125" customWidth="1"/>
    <col min="8712" max="8713" width="12.42578125" customWidth="1"/>
    <col min="8714" max="8714" width="6.28515625" customWidth="1"/>
    <col min="8715" max="8715" width="6.42578125" customWidth="1"/>
    <col min="8716" max="8716" width="6.85546875" customWidth="1"/>
    <col min="8717" max="8717" width="9.28515625" customWidth="1"/>
    <col min="8718" max="8718" width="11.28515625" customWidth="1"/>
    <col min="8963" max="8963" width="39.85546875" customWidth="1"/>
    <col min="8964" max="8964" width="11.28515625" customWidth="1"/>
    <col min="8965" max="8965" width="9.85546875" customWidth="1"/>
    <col min="8966" max="8966" width="11" customWidth="1"/>
    <col min="8967" max="8967" width="13.42578125" customWidth="1"/>
    <col min="8968" max="8969" width="12.42578125" customWidth="1"/>
    <col min="8970" max="8970" width="6.28515625" customWidth="1"/>
    <col min="8971" max="8971" width="6.42578125" customWidth="1"/>
    <col min="8972" max="8972" width="6.85546875" customWidth="1"/>
    <col min="8973" max="8973" width="9.28515625" customWidth="1"/>
    <col min="8974" max="8974" width="11.28515625" customWidth="1"/>
    <col min="9219" max="9219" width="39.85546875" customWidth="1"/>
    <col min="9220" max="9220" width="11.28515625" customWidth="1"/>
    <col min="9221" max="9221" width="9.85546875" customWidth="1"/>
    <col min="9222" max="9222" width="11" customWidth="1"/>
    <col min="9223" max="9223" width="13.42578125" customWidth="1"/>
    <col min="9224" max="9225" width="12.42578125" customWidth="1"/>
    <col min="9226" max="9226" width="6.28515625" customWidth="1"/>
    <col min="9227" max="9227" width="6.42578125" customWidth="1"/>
    <col min="9228" max="9228" width="6.85546875" customWidth="1"/>
    <col min="9229" max="9229" width="9.28515625" customWidth="1"/>
    <col min="9230" max="9230" width="11.28515625" customWidth="1"/>
    <col min="9475" max="9475" width="39.85546875" customWidth="1"/>
    <col min="9476" max="9476" width="11.28515625" customWidth="1"/>
    <col min="9477" max="9477" width="9.85546875" customWidth="1"/>
    <col min="9478" max="9478" width="11" customWidth="1"/>
    <col min="9479" max="9479" width="13.42578125" customWidth="1"/>
    <col min="9480" max="9481" width="12.42578125" customWidth="1"/>
    <col min="9482" max="9482" width="6.28515625" customWidth="1"/>
    <col min="9483" max="9483" width="6.42578125" customWidth="1"/>
    <col min="9484" max="9484" width="6.85546875" customWidth="1"/>
    <col min="9485" max="9485" width="9.28515625" customWidth="1"/>
    <col min="9486" max="9486" width="11.28515625" customWidth="1"/>
    <col min="9731" max="9731" width="39.85546875" customWidth="1"/>
    <col min="9732" max="9732" width="11.28515625" customWidth="1"/>
    <col min="9733" max="9733" width="9.85546875" customWidth="1"/>
    <col min="9734" max="9734" width="11" customWidth="1"/>
    <col min="9735" max="9735" width="13.42578125" customWidth="1"/>
    <col min="9736" max="9737" width="12.42578125" customWidth="1"/>
    <col min="9738" max="9738" width="6.28515625" customWidth="1"/>
    <col min="9739" max="9739" width="6.42578125" customWidth="1"/>
    <col min="9740" max="9740" width="6.85546875" customWidth="1"/>
    <col min="9741" max="9741" width="9.28515625" customWidth="1"/>
    <col min="9742" max="9742" width="11.28515625" customWidth="1"/>
    <col min="9987" max="9987" width="39.85546875" customWidth="1"/>
    <col min="9988" max="9988" width="11.28515625" customWidth="1"/>
    <col min="9989" max="9989" width="9.85546875" customWidth="1"/>
    <col min="9990" max="9990" width="11" customWidth="1"/>
    <col min="9991" max="9991" width="13.42578125" customWidth="1"/>
    <col min="9992" max="9993" width="12.42578125" customWidth="1"/>
    <col min="9994" max="9994" width="6.28515625" customWidth="1"/>
    <col min="9995" max="9995" width="6.42578125" customWidth="1"/>
    <col min="9996" max="9996" width="6.85546875" customWidth="1"/>
    <col min="9997" max="9997" width="9.28515625" customWidth="1"/>
    <col min="9998" max="9998" width="11.28515625" customWidth="1"/>
    <col min="10243" max="10243" width="39.85546875" customWidth="1"/>
    <col min="10244" max="10244" width="11.28515625" customWidth="1"/>
    <col min="10245" max="10245" width="9.85546875" customWidth="1"/>
    <col min="10246" max="10246" width="11" customWidth="1"/>
    <col min="10247" max="10247" width="13.42578125" customWidth="1"/>
    <col min="10248" max="10249" width="12.42578125" customWidth="1"/>
    <col min="10250" max="10250" width="6.28515625" customWidth="1"/>
    <col min="10251" max="10251" width="6.42578125" customWidth="1"/>
    <col min="10252" max="10252" width="6.85546875" customWidth="1"/>
    <col min="10253" max="10253" width="9.28515625" customWidth="1"/>
    <col min="10254" max="10254" width="11.28515625" customWidth="1"/>
    <col min="10499" max="10499" width="39.85546875" customWidth="1"/>
    <col min="10500" max="10500" width="11.28515625" customWidth="1"/>
    <col min="10501" max="10501" width="9.85546875" customWidth="1"/>
    <col min="10502" max="10502" width="11" customWidth="1"/>
    <col min="10503" max="10503" width="13.42578125" customWidth="1"/>
    <col min="10504" max="10505" width="12.42578125" customWidth="1"/>
    <col min="10506" max="10506" width="6.28515625" customWidth="1"/>
    <col min="10507" max="10507" width="6.42578125" customWidth="1"/>
    <col min="10508" max="10508" width="6.85546875" customWidth="1"/>
    <col min="10509" max="10509" width="9.28515625" customWidth="1"/>
    <col min="10510" max="10510" width="11.28515625" customWidth="1"/>
    <col min="10755" max="10755" width="39.85546875" customWidth="1"/>
    <col min="10756" max="10756" width="11.28515625" customWidth="1"/>
    <col min="10757" max="10757" width="9.85546875" customWidth="1"/>
    <col min="10758" max="10758" width="11" customWidth="1"/>
    <col min="10759" max="10759" width="13.42578125" customWidth="1"/>
    <col min="10760" max="10761" width="12.42578125" customWidth="1"/>
    <col min="10762" max="10762" width="6.28515625" customWidth="1"/>
    <col min="10763" max="10763" width="6.42578125" customWidth="1"/>
    <col min="10764" max="10764" width="6.85546875" customWidth="1"/>
    <col min="10765" max="10765" width="9.28515625" customWidth="1"/>
    <col min="10766" max="10766" width="11.28515625" customWidth="1"/>
    <col min="11011" max="11011" width="39.85546875" customWidth="1"/>
    <col min="11012" max="11012" width="11.28515625" customWidth="1"/>
    <col min="11013" max="11013" width="9.85546875" customWidth="1"/>
    <col min="11014" max="11014" width="11" customWidth="1"/>
    <col min="11015" max="11015" width="13.42578125" customWidth="1"/>
    <col min="11016" max="11017" width="12.42578125" customWidth="1"/>
    <col min="11018" max="11018" width="6.28515625" customWidth="1"/>
    <col min="11019" max="11019" width="6.42578125" customWidth="1"/>
    <col min="11020" max="11020" width="6.85546875" customWidth="1"/>
    <col min="11021" max="11021" width="9.28515625" customWidth="1"/>
    <col min="11022" max="11022" width="11.28515625" customWidth="1"/>
    <col min="11267" max="11267" width="39.85546875" customWidth="1"/>
    <col min="11268" max="11268" width="11.28515625" customWidth="1"/>
    <col min="11269" max="11269" width="9.85546875" customWidth="1"/>
    <col min="11270" max="11270" width="11" customWidth="1"/>
    <col min="11271" max="11271" width="13.42578125" customWidth="1"/>
    <col min="11272" max="11273" width="12.42578125" customWidth="1"/>
    <col min="11274" max="11274" width="6.28515625" customWidth="1"/>
    <col min="11275" max="11275" width="6.42578125" customWidth="1"/>
    <col min="11276" max="11276" width="6.85546875" customWidth="1"/>
    <col min="11277" max="11277" width="9.28515625" customWidth="1"/>
    <col min="11278" max="11278" width="11.28515625" customWidth="1"/>
    <col min="11523" max="11523" width="39.85546875" customWidth="1"/>
    <col min="11524" max="11524" width="11.28515625" customWidth="1"/>
    <col min="11525" max="11525" width="9.85546875" customWidth="1"/>
    <col min="11526" max="11526" width="11" customWidth="1"/>
    <col min="11527" max="11527" width="13.42578125" customWidth="1"/>
    <col min="11528" max="11529" width="12.42578125" customWidth="1"/>
    <col min="11530" max="11530" width="6.28515625" customWidth="1"/>
    <col min="11531" max="11531" width="6.42578125" customWidth="1"/>
    <col min="11532" max="11532" width="6.85546875" customWidth="1"/>
    <col min="11533" max="11533" width="9.28515625" customWidth="1"/>
    <col min="11534" max="11534" width="11.28515625" customWidth="1"/>
    <col min="11779" max="11779" width="39.85546875" customWidth="1"/>
    <col min="11780" max="11780" width="11.28515625" customWidth="1"/>
    <col min="11781" max="11781" width="9.85546875" customWidth="1"/>
    <col min="11782" max="11782" width="11" customWidth="1"/>
    <col min="11783" max="11783" width="13.42578125" customWidth="1"/>
    <col min="11784" max="11785" width="12.42578125" customWidth="1"/>
    <col min="11786" max="11786" width="6.28515625" customWidth="1"/>
    <col min="11787" max="11787" width="6.42578125" customWidth="1"/>
    <col min="11788" max="11788" width="6.85546875" customWidth="1"/>
    <col min="11789" max="11789" width="9.28515625" customWidth="1"/>
    <col min="11790" max="11790" width="11.28515625" customWidth="1"/>
    <col min="12035" max="12035" width="39.85546875" customWidth="1"/>
    <col min="12036" max="12036" width="11.28515625" customWidth="1"/>
    <col min="12037" max="12037" width="9.85546875" customWidth="1"/>
    <col min="12038" max="12038" width="11" customWidth="1"/>
    <col min="12039" max="12039" width="13.42578125" customWidth="1"/>
    <col min="12040" max="12041" width="12.42578125" customWidth="1"/>
    <col min="12042" max="12042" width="6.28515625" customWidth="1"/>
    <col min="12043" max="12043" width="6.42578125" customWidth="1"/>
    <col min="12044" max="12044" width="6.85546875" customWidth="1"/>
    <col min="12045" max="12045" width="9.28515625" customWidth="1"/>
    <col min="12046" max="12046" width="11.28515625" customWidth="1"/>
    <col min="12291" max="12291" width="39.85546875" customWidth="1"/>
    <col min="12292" max="12292" width="11.28515625" customWidth="1"/>
    <col min="12293" max="12293" width="9.85546875" customWidth="1"/>
    <col min="12294" max="12294" width="11" customWidth="1"/>
    <col min="12295" max="12295" width="13.42578125" customWidth="1"/>
    <col min="12296" max="12297" width="12.42578125" customWidth="1"/>
    <col min="12298" max="12298" width="6.28515625" customWidth="1"/>
    <col min="12299" max="12299" width="6.42578125" customWidth="1"/>
    <col min="12300" max="12300" width="6.85546875" customWidth="1"/>
    <col min="12301" max="12301" width="9.28515625" customWidth="1"/>
    <col min="12302" max="12302" width="11.28515625" customWidth="1"/>
    <col min="12547" max="12547" width="39.85546875" customWidth="1"/>
    <col min="12548" max="12548" width="11.28515625" customWidth="1"/>
    <col min="12549" max="12549" width="9.85546875" customWidth="1"/>
    <col min="12550" max="12550" width="11" customWidth="1"/>
    <col min="12551" max="12551" width="13.42578125" customWidth="1"/>
    <col min="12552" max="12553" width="12.42578125" customWidth="1"/>
    <col min="12554" max="12554" width="6.28515625" customWidth="1"/>
    <col min="12555" max="12555" width="6.42578125" customWidth="1"/>
    <col min="12556" max="12556" width="6.85546875" customWidth="1"/>
    <col min="12557" max="12557" width="9.28515625" customWidth="1"/>
    <col min="12558" max="12558" width="11.28515625" customWidth="1"/>
    <col min="12803" max="12803" width="39.85546875" customWidth="1"/>
    <col min="12804" max="12804" width="11.28515625" customWidth="1"/>
    <col min="12805" max="12805" width="9.85546875" customWidth="1"/>
    <col min="12806" max="12806" width="11" customWidth="1"/>
    <col min="12807" max="12807" width="13.42578125" customWidth="1"/>
    <col min="12808" max="12809" width="12.42578125" customWidth="1"/>
    <col min="12810" max="12810" width="6.28515625" customWidth="1"/>
    <col min="12811" max="12811" width="6.42578125" customWidth="1"/>
    <col min="12812" max="12812" width="6.85546875" customWidth="1"/>
    <col min="12813" max="12813" width="9.28515625" customWidth="1"/>
    <col min="12814" max="12814" width="11.28515625" customWidth="1"/>
    <col min="13059" max="13059" width="39.85546875" customWidth="1"/>
    <col min="13060" max="13060" width="11.28515625" customWidth="1"/>
    <col min="13061" max="13061" width="9.85546875" customWidth="1"/>
    <col min="13062" max="13062" width="11" customWidth="1"/>
    <col min="13063" max="13063" width="13.42578125" customWidth="1"/>
    <col min="13064" max="13065" width="12.42578125" customWidth="1"/>
    <col min="13066" max="13066" width="6.28515625" customWidth="1"/>
    <col min="13067" max="13067" width="6.42578125" customWidth="1"/>
    <col min="13068" max="13068" width="6.85546875" customWidth="1"/>
    <col min="13069" max="13069" width="9.28515625" customWidth="1"/>
    <col min="13070" max="13070" width="11.28515625" customWidth="1"/>
    <col min="13315" max="13315" width="39.85546875" customWidth="1"/>
    <col min="13316" max="13316" width="11.28515625" customWidth="1"/>
    <col min="13317" max="13317" width="9.85546875" customWidth="1"/>
    <col min="13318" max="13318" width="11" customWidth="1"/>
    <col min="13319" max="13319" width="13.42578125" customWidth="1"/>
    <col min="13320" max="13321" width="12.42578125" customWidth="1"/>
    <col min="13322" max="13322" width="6.28515625" customWidth="1"/>
    <col min="13323" max="13323" width="6.42578125" customWidth="1"/>
    <col min="13324" max="13324" width="6.85546875" customWidth="1"/>
    <col min="13325" max="13325" width="9.28515625" customWidth="1"/>
    <col min="13326" max="13326" width="11.28515625" customWidth="1"/>
    <col min="13571" max="13571" width="39.85546875" customWidth="1"/>
    <col min="13572" max="13572" width="11.28515625" customWidth="1"/>
    <col min="13573" max="13573" width="9.85546875" customWidth="1"/>
    <col min="13574" max="13574" width="11" customWidth="1"/>
    <col min="13575" max="13575" width="13.42578125" customWidth="1"/>
    <col min="13576" max="13577" width="12.42578125" customWidth="1"/>
    <col min="13578" max="13578" width="6.28515625" customWidth="1"/>
    <col min="13579" max="13579" width="6.42578125" customWidth="1"/>
    <col min="13580" max="13580" width="6.85546875" customWidth="1"/>
    <col min="13581" max="13581" width="9.28515625" customWidth="1"/>
    <col min="13582" max="13582" width="11.28515625" customWidth="1"/>
    <col min="13827" max="13827" width="39.85546875" customWidth="1"/>
    <col min="13828" max="13828" width="11.28515625" customWidth="1"/>
    <col min="13829" max="13829" width="9.85546875" customWidth="1"/>
    <col min="13830" max="13830" width="11" customWidth="1"/>
    <col min="13831" max="13831" width="13.42578125" customWidth="1"/>
    <col min="13832" max="13833" width="12.42578125" customWidth="1"/>
    <col min="13834" max="13834" width="6.28515625" customWidth="1"/>
    <col min="13835" max="13835" width="6.42578125" customWidth="1"/>
    <col min="13836" max="13836" width="6.85546875" customWidth="1"/>
    <col min="13837" max="13837" width="9.28515625" customWidth="1"/>
    <col min="13838" max="13838" width="11.28515625" customWidth="1"/>
    <col min="14083" max="14083" width="39.85546875" customWidth="1"/>
    <col min="14084" max="14084" width="11.28515625" customWidth="1"/>
    <col min="14085" max="14085" width="9.85546875" customWidth="1"/>
    <col min="14086" max="14086" width="11" customWidth="1"/>
    <col min="14087" max="14087" width="13.42578125" customWidth="1"/>
    <col min="14088" max="14089" width="12.42578125" customWidth="1"/>
    <col min="14090" max="14090" width="6.28515625" customWidth="1"/>
    <col min="14091" max="14091" width="6.42578125" customWidth="1"/>
    <col min="14092" max="14092" width="6.85546875" customWidth="1"/>
    <col min="14093" max="14093" width="9.28515625" customWidth="1"/>
    <col min="14094" max="14094" width="11.28515625" customWidth="1"/>
    <col min="14339" max="14339" width="39.85546875" customWidth="1"/>
    <col min="14340" max="14340" width="11.28515625" customWidth="1"/>
    <col min="14341" max="14341" width="9.85546875" customWidth="1"/>
    <col min="14342" max="14342" width="11" customWidth="1"/>
    <col min="14343" max="14343" width="13.42578125" customWidth="1"/>
    <col min="14344" max="14345" width="12.42578125" customWidth="1"/>
    <col min="14346" max="14346" width="6.28515625" customWidth="1"/>
    <col min="14347" max="14347" width="6.42578125" customWidth="1"/>
    <col min="14348" max="14348" width="6.85546875" customWidth="1"/>
    <col min="14349" max="14349" width="9.28515625" customWidth="1"/>
    <col min="14350" max="14350" width="11.28515625" customWidth="1"/>
    <col min="14595" max="14595" width="39.85546875" customWidth="1"/>
    <col min="14596" max="14596" width="11.28515625" customWidth="1"/>
    <col min="14597" max="14597" width="9.85546875" customWidth="1"/>
    <col min="14598" max="14598" width="11" customWidth="1"/>
    <col min="14599" max="14599" width="13.42578125" customWidth="1"/>
    <col min="14600" max="14601" width="12.42578125" customWidth="1"/>
    <col min="14602" max="14602" width="6.28515625" customWidth="1"/>
    <col min="14603" max="14603" width="6.42578125" customWidth="1"/>
    <col min="14604" max="14604" width="6.85546875" customWidth="1"/>
    <col min="14605" max="14605" width="9.28515625" customWidth="1"/>
    <col min="14606" max="14606" width="11.28515625" customWidth="1"/>
    <col min="14851" max="14851" width="39.85546875" customWidth="1"/>
    <col min="14852" max="14852" width="11.28515625" customWidth="1"/>
    <col min="14853" max="14853" width="9.85546875" customWidth="1"/>
    <col min="14854" max="14854" width="11" customWidth="1"/>
    <col min="14855" max="14855" width="13.42578125" customWidth="1"/>
    <col min="14856" max="14857" width="12.42578125" customWidth="1"/>
    <col min="14858" max="14858" width="6.28515625" customWidth="1"/>
    <col min="14859" max="14859" width="6.42578125" customWidth="1"/>
    <col min="14860" max="14860" width="6.85546875" customWidth="1"/>
    <col min="14861" max="14861" width="9.28515625" customWidth="1"/>
    <col min="14862" max="14862" width="11.28515625" customWidth="1"/>
    <col min="15107" max="15107" width="39.85546875" customWidth="1"/>
    <col min="15108" max="15108" width="11.28515625" customWidth="1"/>
    <col min="15109" max="15109" width="9.85546875" customWidth="1"/>
    <col min="15110" max="15110" width="11" customWidth="1"/>
    <col min="15111" max="15111" width="13.42578125" customWidth="1"/>
    <col min="15112" max="15113" width="12.42578125" customWidth="1"/>
    <col min="15114" max="15114" width="6.28515625" customWidth="1"/>
    <col min="15115" max="15115" width="6.42578125" customWidth="1"/>
    <col min="15116" max="15116" width="6.85546875" customWidth="1"/>
    <col min="15117" max="15117" width="9.28515625" customWidth="1"/>
    <col min="15118" max="15118" width="11.28515625" customWidth="1"/>
    <col min="15363" max="15363" width="39.85546875" customWidth="1"/>
    <col min="15364" max="15364" width="11.28515625" customWidth="1"/>
    <col min="15365" max="15365" width="9.85546875" customWidth="1"/>
    <col min="15366" max="15366" width="11" customWidth="1"/>
    <col min="15367" max="15367" width="13.42578125" customWidth="1"/>
    <col min="15368" max="15369" width="12.42578125" customWidth="1"/>
    <col min="15370" max="15370" width="6.28515625" customWidth="1"/>
    <col min="15371" max="15371" width="6.42578125" customWidth="1"/>
    <col min="15372" max="15372" width="6.85546875" customWidth="1"/>
    <col min="15373" max="15373" width="9.28515625" customWidth="1"/>
    <col min="15374" max="15374" width="11.28515625" customWidth="1"/>
    <col min="15619" max="15619" width="39.85546875" customWidth="1"/>
    <col min="15620" max="15620" width="11.28515625" customWidth="1"/>
    <col min="15621" max="15621" width="9.85546875" customWidth="1"/>
    <col min="15622" max="15622" width="11" customWidth="1"/>
    <col min="15623" max="15623" width="13.42578125" customWidth="1"/>
    <col min="15624" max="15625" width="12.42578125" customWidth="1"/>
    <col min="15626" max="15626" width="6.28515625" customWidth="1"/>
    <col min="15627" max="15627" width="6.42578125" customWidth="1"/>
    <col min="15628" max="15628" width="6.85546875" customWidth="1"/>
    <col min="15629" max="15629" width="9.28515625" customWidth="1"/>
    <col min="15630" max="15630" width="11.28515625" customWidth="1"/>
    <col min="15875" max="15875" width="39.85546875" customWidth="1"/>
    <col min="15876" max="15876" width="11.28515625" customWidth="1"/>
    <col min="15877" max="15877" width="9.85546875" customWidth="1"/>
    <col min="15878" max="15878" width="11" customWidth="1"/>
    <col min="15879" max="15879" width="13.42578125" customWidth="1"/>
    <col min="15880" max="15881" width="12.42578125" customWidth="1"/>
    <col min="15882" max="15882" width="6.28515625" customWidth="1"/>
    <col min="15883" max="15883" width="6.42578125" customWidth="1"/>
    <col min="15884" max="15884" width="6.85546875" customWidth="1"/>
    <col min="15885" max="15885" width="9.28515625" customWidth="1"/>
    <col min="15886" max="15886" width="11.28515625" customWidth="1"/>
    <col min="16131" max="16131" width="39.85546875" customWidth="1"/>
    <col min="16132" max="16132" width="11.28515625" customWidth="1"/>
    <col min="16133" max="16133" width="9.85546875" customWidth="1"/>
    <col min="16134" max="16134" width="11" customWidth="1"/>
    <col min="16135" max="16135" width="13.42578125" customWidth="1"/>
    <col min="16136" max="16137" width="12.42578125" customWidth="1"/>
    <col min="16138" max="16138" width="6.28515625" customWidth="1"/>
    <col min="16139" max="16139" width="6.42578125" customWidth="1"/>
    <col min="16140" max="16140" width="6.85546875" customWidth="1"/>
    <col min="16141" max="16141" width="9.28515625" customWidth="1"/>
    <col min="16142" max="16142" width="11.28515625" customWidth="1"/>
  </cols>
  <sheetData>
    <row r="1" spans="2:21" ht="10.5" customHeight="1" x14ac:dyDescent="0.25"/>
    <row r="2" spans="2:21" ht="18" x14ac:dyDescent="0.25">
      <c r="B2" s="258" t="s">
        <v>200</v>
      </c>
      <c r="C2" s="258"/>
      <c r="D2" s="258"/>
      <c r="E2" s="258"/>
      <c r="F2" s="258"/>
      <c r="G2" s="258"/>
      <c r="H2" s="258"/>
      <c r="I2" s="258"/>
      <c r="J2" s="258"/>
      <c r="K2" s="258"/>
      <c r="L2" s="258"/>
      <c r="M2" s="258"/>
      <c r="N2" s="258"/>
      <c r="O2" s="258"/>
      <c r="P2" s="258"/>
      <c r="Q2" s="258"/>
      <c r="R2" s="258"/>
      <c r="S2" s="258"/>
      <c r="T2" s="258"/>
      <c r="U2" s="258"/>
    </row>
    <row r="3" spans="2:21" ht="15.75" x14ac:dyDescent="0.25">
      <c r="B3" s="202" t="s">
        <v>201</v>
      </c>
    </row>
    <row r="4" spans="2:21" ht="9" customHeight="1" thickBot="1" x14ac:dyDescent="0.3">
      <c r="B4" s="152"/>
    </row>
    <row r="5" spans="2:21" x14ac:dyDescent="0.25">
      <c r="B5" s="259" t="s">
        <v>202</v>
      </c>
      <c r="C5" s="261" t="s">
        <v>203</v>
      </c>
      <c r="D5" s="263" t="s">
        <v>204</v>
      </c>
      <c r="E5" s="261" t="s">
        <v>205</v>
      </c>
      <c r="F5" s="261" t="s">
        <v>206</v>
      </c>
      <c r="G5" s="261" t="s">
        <v>207</v>
      </c>
      <c r="H5" s="263" t="s">
        <v>208</v>
      </c>
      <c r="I5" s="263" t="s">
        <v>209</v>
      </c>
      <c r="J5" s="263" t="s">
        <v>210</v>
      </c>
      <c r="K5" s="263"/>
      <c r="L5" s="263"/>
      <c r="M5" s="268"/>
      <c r="N5" s="269"/>
    </row>
    <row r="6" spans="2:21" ht="15" customHeight="1" x14ac:dyDescent="0.25">
      <c r="B6" s="260"/>
      <c r="C6" s="262"/>
      <c r="D6" s="264"/>
      <c r="E6" s="262"/>
      <c r="F6" s="262"/>
      <c r="G6" s="262"/>
      <c r="H6" s="266"/>
      <c r="I6" s="264"/>
      <c r="J6" s="270" t="s">
        <v>211</v>
      </c>
      <c r="K6" s="270" t="s">
        <v>212</v>
      </c>
      <c r="L6" s="270" t="s">
        <v>213</v>
      </c>
      <c r="M6" s="270" t="s">
        <v>214</v>
      </c>
      <c r="N6" s="271" t="s">
        <v>215</v>
      </c>
    </row>
    <row r="7" spans="2:21" x14ac:dyDescent="0.25">
      <c r="B7" s="260"/>
      <c r="C7" s="262"/>
      <c r="D7" s="265"/>
      <c r="E7" s="262"/>
      <c r="F7" s="262"/>
      <c r="G7" s="262"/>
      <c r="H7" s="267"/>
      <c r="I7" s="265"/>
      <c r="J7" s="265"/>
      <c r="K7" s="265"/>
      <c r="L7" s="265"/>
      <c r="M7" s="265"/>
      <c r="N7" s="272"/>
    </row>
    <row r="8" spans="2:21" x14ac:dyDescent="0.25">
      <c r="B8" s="153" t="s">
        <v>216</v>
      </c>
      <c r="C8" s="154"/>
      <c r="D8" s="155"/>
      <c r="E8" s="156"/>
      <c r="F8" s="156"/>
      <c r="G8" s="157"/>
      <c r="H8" s="157"/>
      <c r="I8" s="157"/>
      <c r="J8" s="156"/>
      <c r="K8" s="156"/>
      <c r="L8" s="156"/>
      <c r="M8" s="156"/>
      <c r="N8" s="158"/>
    </row>
    <row r="9" spans="2:21" ht="15.75" thickBot="1" x14ac:dyDescent="0.3">
      <c r="B9" s="159"/>
      <c r="C9" s="160"/>
      <c r="D9" s="161"/>
      <c r="E9" s="162"/>
      <c r="F9" s="163"/>
      <c r="G9" s="163"/>
      <c r="H9" s="163"/>
      <c r="I9" s="163"/>
      <c r="J9" s="162"/>
      <c r="K9" s="162"/>
      <c r="L9" s="162"/>
      <c r="M9" s="164"/>
      <c r="N9" s="165"/>
    </row>
  </sheetData>
  <mergeCells count="15">
    <mergeCell ref="B2:U2"/>
    <mergeCell ref="B5:B7"/>
    <mergeCell ref="C5:C7"/>
    <mergeCell ref="D5:D7"/>
    <mergeCell ref="E5:E7"/>
    <mergeCell ref="F5:F7"/>
    <mergeCell ref="G5:G7"/>
    <mergeCell ref="H5:H7"/>
    <mergeCell ref="I5:I7"/>
    <mergeCell ref="J5:N5"/>
    <mergeCell ref="J6:J7"/>
    <mergeCell ref="K6:K7"/>
    <mergeCell ref="L6:L7"/>
    <mergeCell ref="M6:M7"/>
    <mergeCell ref="N6:N7"/>
  </mergeCells>
  <pageMargins left="0.70866141732283472" right="0.70866141732283472" top="0.74803149606299213" bottom="0.74803149606299213" header="0.31496062992125984" footer="0.31496062992125984"/>
  <pageSetup paperSize="9" scale="58" orientation="portrait"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P43"/>
  <sheetViews>
    <sheetView showGridLines="0" zoomScale="80" zoomScaleNormal="80" workbookViewId="0">
      <pane xSplit="1" ySplit="4" topLeftCell="B5" activePane="bottomRight" state="frozen"/>
      <selection pane="topRight" activeCell="B1" sqref="B1"/>
      <selection pane="bottomLeft" activeCell="A3" sqref="A3"/>
      <selection pane="bottomRight" sqref="A1:H1"/>
    </sheetView>
  </sheetViews>
  <sheetFormatPr baseColWidth="10" defaultRowHeight="16.5" x14ac:dyDescent="0.3"/>
  <cols>
    <col min="1" max="1" width="34.42578125" style="42" customWidth="1"/>
    <col min="2" max="29" width="16.140625" style="14" customWidth="1"/>
    <col min="30" max="42" width="16.42578125" style="14" customWidth="1"/>
    <col min="43" max="16384" width="11.42578125" style="14"/>
  </cols>
  <sheetData>
    <row r="1" spans="1:42" ht="30.75" customHeight="1" x14ac:dyDescent="0.3">
      <c r="A1" s="273" t="s">
        <v>110</v>
      </c>
      <c r="B1" s="273"/>
      <c r="C1" s="273"/>
      <c r="D1" s="273"/>
      <c r="E1" s="273"/>
      <c r="F1" s="273"/>
      <c r="G1" s="273"/>
      <c r="H1" s="273"/>
    </row>
    <row r="2" spans="1:42" ht="20.25" customHeight="1" x14ac:dyDescent="0.3">
      <c r="A2" s="181" t="s">
        <v>83</v>
      </c>
      <c r="B2" s="46"/>
      <c r="C2" s="47"/>
      <c r="D2" s="46"/>
      <c r="E2" s="47"/>
      <c r="F2" s="46"/>
      <c r="G2" s="46"/>
      <c r="H2" s="46"/>
      <c r="AO2" s="151"/>
      <c r="AP2" s="151"/>
    </row>
    <row r="3" spans="1:42" x14ac:dyDescent="0.3">
      <c r="B3" s="63"/>
      <c r="C3" s="63"/>
      <c r="D3" s="63"/>
      <c r="E3" s="63"/>
      <c r="F3" s="63"/>
      <c r="G3" s="63"/>
      <c r="H3" s="63"/>
      <c r="I3" s="63"/>
      <c r="J3" s="63"/>
      <c r="K3" s="63"/>
      <c r="L3" s="63"/>
      <c r="M3" s="63"/>
      <c r="N3" s="63"/>
      <c r="O3" s="63"/>
      <c r="P3" s="63"/>
      <c r="Q3" s="63"/>
      <c r="R3" s="63"/>
      <c r="S3" s="63"/>
      <c r="T3" s="63"/>
      <c r="U3" s="63"/>
      <c r="V3" s="63"/>
      <c r="W3" s="63"/>
      <c r="X3" s="63"/>
      <c r="Y3" s="63"/>
      <c r="Z3" s="63"/>
      <c r="AA3" s="63"/>
      <c r="AB3" s="63"/>
      <c r="AC3" s="63"/>
    </row>
    <row r="4" spans="1:42" ht="30" customHeight="1" x14ac:dyDescent="0.3">
      <c r="A4" s="38"/>
      <c r="B4" s="207">
        <v>41729</v>
      </c>
      <c r="C4" s="207">
        <v>41820</v>
      </c>
      <c r="D4" s="207">
        <v>41912</v>
      </c>
      <c r="E4" s="207">
        <v>42004</v>
      </c>
      <c r="F4" s="207">
        <v>42094</v>
      </c>
      <c r="G4" s="207">
        <v>42185</v>
      </c>
      <c r="H4" s="207">
        <v>42277</v>
      </c>
      <c r="I4" s="207">
        <v>42369</v>
      </c>
      <c r="J4" s="207">
        <v>42460</v>
      </c>
      <c r="K4" s="207">
        <v>42551</v>
      </c>
      <c r="L4" s="207">
        <v>42643</v>
      </c>
      <c r="M4" s="207">
        <v>42735</v>
      </c>
      <c r="N4" s="207">
        <v>42825</v>
      </c>
      <c r="O4" s="207">
        <v>42916</v>
      </c>
      <c r="P4" s="207">
        <v>43008</v>
      </c>
      <c r="Q4" s="207">
        <v>43100</v>
      </c>
      <c r="R4" s="207">
        <v>43190</v>
      </c>
      <c r="S4" s="207">
        <v>43281</v>
      </c>
      <c r="T4" s="207">
        <v>43373</v>
      </c>
      <c r="U4" s="207">
        <v>43465</v>
      </c>
      <c r="V4" s="207">
        <v>43555</v>
      </c>
      <c r="W4" s="207">
        <v>43646</v>
      </c>
      <c r="X4" s="207">
        <v>43738</v>
      </c>
      <c r="Y4" s="207">
        <v>43830</v>
      </c>
      <c r="Z4" s="207">
        <v>43921</v>
      </c>
      <c r="AA4" s="207">
        <v>44012</v>
      </c>
      <c r="AB4" s="207">
        <v>44104</v>
      </c>
      <c r="AC4" s="207">
        <v>44196</v>
      </c>
      <c r="AD4" s="207">
        <v>44286</v>
      </c>
      <c r="AE4" s="207">
        <v>44377</v>
      </c>
      <c r="AF4" s="207">
        <v>44469</v>
      </c>
      <c r="AG4" s="207">
        <v>44561</v>
      </c>
      <c r="AH4" s="207">
        <v>44651</v>
      </c>
      <c r="AI4" s="207">
        <v>44742</v>
      </c>
      <c r="AJ4" s="207">
        <v>44834</v>
      </c>
      <c r="AK4" s="207">
        <v>44926</v>
      </c>
      <c r="AL4" s="207">
        <v>45016</v>
      </c>
      <c r="AM4" s="207">
        <v>45107</v>
      </c>
      <c r="AN4" s="207">
        <v>45199</v>
      </c>
      <c r="AO4" s="207">
        <v>45291</v>
      </c>
      <c r="AP4" s="207">
        <v>45382</v>
      </c>
    </row>
    <row r="5" spans="1:42" ht="52.5" customHeight="1" x14ac:dyDescent="0.3">
      <c r="A5" s="208" t="s">
        <v>76</v>
      </c>
      <c r="B5" s="40">
        <v>8781.7199999999993</v>
      </c>
      <c r="C5" s="40">
        <v>8719.68</v>
      </c>
      <c r="D5" s="40">
        <v>8671.31</v>
      </c>
      <c r="E5" s="40">
        <v>9251.6200000000008</v>
      </c>
      <c r="F5" s="40">
        <v>8711.33</v>
      </c>
      <c r="G5" s="40">
        <v>8883.2999999999993</v>
      </c>
      <c r="H5" s="40">
        <v>8777.94</v>
      </c>
      <c r="I5" s="40">
        <v>14590.026342765899</v>
      </c>
      <c r="J5" s="40">
        <v>15552.766008292954</v>
      </c>
      <c r="K5" s="40">
        <v>23183.662216917499</v>
      </c>
      <c r="L5" s="40">
        <v>24968.595473778529</v>
      </c>
      <c r="M5" s="40">
        <v>26143.372847835599</v>
      </c>
      <c r="N5" s="40">
        <v>26357.580883104267</v>
      </c>
      <c r="O5" s="40">
        <v>32363.693825003349</v>
      </c>
      <c r="P5" s="40">
        <v>32739.973955860674</v>
      </c>
      <c r="Q5" s="40">
        <v>33066.920518488216</v>
      </c>
      <c r="R5" s="40">
        <v>35523.531142391745</v>
      </c>
      <c r="S5" s="40">
        <v>42512.097230935367</v>
      </c>
      <c r="T5" s="40">
        <v>49897.666266168861</v>
      </c>
      <c r="U5" s="40">
        <v>48061.669901665373</v>
      </c>
      <c r="V5" s="40">
        <v>54971.132794337202</v>
      </c>
      <c r="W5" s="40">
        <v>57477.574093920899</v>
      </c>
      <c r="X5" s="40">
        <v>70107.671098561274</v>
      </c>
      <c r="Y5" s="40">
        <v>73073.385231942695</v>
      </c>
      <c r="Z5" s="40">
        <v>76873.589091758549</v>
      </c>
      <c r="AA5" s="40">
        <v>81321.301084087594</v>
      </c>
      <c r="AB5" s="40">
        <v>87659.723356733972</v>
      </c>
      <c r="AC5" s="40">
        <v>98086.703607309493</v>
      </c>
      <c r="AD5" s="40">
        <v>105498.39985939959</v>
      </c>
      <c r="AE5" s="40">
        <v>104307.6114064088</v>
      </c>
      <c r="AF5" s="40">
        <v>109501.85230045371</v>
      </c>
      <c r="AG5" s="40">
        <v>118375.03408370932</v>
      </c>
      <c r="AH5" s="40">
        <v>125218.25101459341</v>
      </c>
      <c r="AI5" s="40">
        <v>136288.86474127742</v>
      </c>
      <c r="AJ5" s="40">
        <v>152793.80111647217</v>
      </c>
      <c r="AK5" s="40">
        <v>173744.05273852008</v>
      </c>
      <c r="AL5" s="40">
        <v>184002.77888037229</v>
      </c>
      <c r="AM5" s="40">
        <v>217722.16278989098</v>
      </c>
      <c r="AN5" s="40">
        <v>264718.17902564391</v>
      </c>
      <c r="AO5" s="40">
        <v>552742.441324963</v>
      </c>
      <c r="AP5" s="40">
        <f>+'Servicios Deuda Anual'!F45*'Servicios Deuda Anual'!C52</f>
        <v>603697.48009548953</v>
      </c>
    </row>
    <row r="6" spans="1:42" ht="52.5" customHeight="1" x14ac:dyDescent="0.3">
      <c r="A6" s="208" t="s">
        <v>77</v>
      </c>
      <c r="B6" s="40">
        <v>814.06924421000008</v>
      </c>
      <c r="C6" s="40">
        <v>1334.7686670200001</v>
      </c>
      <c r="D6" s="40">
        <v>1606.3620389600001</v>
      </c>
      <c r="E6" s="40">
        <v>2059.9873684600002</v>
      </c>
      <c r="F6" s="40">
        <v>1532.2292152100001</v>
      </c>
      <c r="G6" s="40">
        <v>2787.2709622900002</v>
      </c>
      <c r="H6" s="40">
        <v>3436.8373112600002</v>
      </c>
      <c r="I6" s="40">
        <v>4751.3450329800007</v>
      </c>
      <c r="J6" s="40">
        <v>1748.5210195500001</v>
      </c>
      <c r="K6" s="48">
        <v>1979.8916584900003</v>
      </c>
      <c r="L6" s="48">
        <v>2005.6820979800002</v>
      </c>
      <c r="M6" s="48">
        <v>2713.09112757</v>
      </c>
      <c r="N6" s="48">
        <v>1455.4634681099999</v>
      </c>
      <c r="O6" s="48">
        <v>2358.1514273500002</v>
      </c>
      <c r="P6" s="48">
        <v>2403.9927246800003</v>
      </c>
      <c r="Q6" s="48">
        <v>3051.1866099200001</v>
      </c>
      <c r="R6" s="48">
        <v>2887.47474384</v>
      </c>
      <c r="S6" s="48">
        <v>2566.0700995500001</v>
      </c>
      <c r="T6" s="48">
        <v>2260.5505495299999</v>
      </c>
      <c r="U6" s="48">
        <v>5907.5229735200001</v>
      </c>
      <c r="V6" s="48">
        <v>2465.16920291</v>
      </c>
      <c r="W6" s="40">
        <v>4329.9503111499998</v>
      </c>
      <c r="X6" s="40">
        <v>4646.9381585399997</v>
      </c>
      <c r="Y6" s="40">
        <v>9439.5116885000007</v>
      </c>
      <c r="Z6" s="40">
        <v>3694.6763252000001</v>
      </c>
      <c r="AA6" s="40">
        <v>6793.2007236199997</v>
      </c>
      <c r="AB6" s="40">
        <v>7216.9493976200001</v>
      </c>
      <c r="AC6" s="40">
        <v>15771.225058290001</v>
      </c>
      <c r="AD6" s="40">
        <v>4714.8373600100003</v>
      </c>
      <c r="AE6" s="40">
        <v>8017.0700839199999</v>
      </c>
      <c r="AF6" s="40">
        <v>12560.355571530001</v>
      </c>
      <c r="AG6" s="40">
        <v>26355.928719810003</v>
      </c>
      <c r="AH6" s="95">
        <v>7068.6826936500001</v>
      </c>
      <c r="AI6" s="95">
        <v>12519.52704866</v>
      </c>
      <c r="AJ6" s="95">
        <v>14153.615796210001</v>
      </c>
      <c r="AK6" s="95">
        <v>50923.483293849997</v>
      </c>
      <c r="AL6" s="95">
        <v>16141.696247110001</v>
      </c>
      <c r="AM6" s="95">
        <v>26252.587002599998</v>
      </c>
      <c r="AN6" s="95">
        <v>64142.556503469998</v>
      </c>
      <c r="AO6" s="95">
        <f>149200.95760792-77622.2</f>
        <v>71578.757607919993</v>
      </c>
      <c r="AP6" s="95">
        <v>61212.177888062208</v>
      </c>
    </row>
    <row r="7" spans="1:42" ht="52.5" customHeight="1" x14ac:dyDescent="0.3">
      <c r="A7" s="208" t="s">
        <v>78</v>
      </c>
      <c r="B7" s="61">
        <f>+SUM(B5:B6)</f>
        <v>9595.7892442100001</v>
      </c>
      <c r="C7" s="61">
        <f t="shared" ref="C7:AH7" si="0">+SUM(C5:C6)</f>
        <v>10054.44866702</v>
      </c>
      <c r="D7" s="61">
        <f t="shared" si="0"/>
        <v>10277.67203896</v>
      </c>
      <c r="E7" s="61">
        <f t="shared" si="0"/>
        <v>11311.607368460001</v>
      </c>
      <c r="F7" s="61">
        <f t="shared" si="0"/>
        <v>10243.55921521</v>
      </c>
      <c r="G7" s="61">
        <f t="shared" si="0"/>
        <v>11670.570962289999</v>
      </c>
      <c r="H7" s="61">
        <f t="shared" si="0"/>
        <v>12214.777311260001</v>
      </c>
      <c r="I7" s="61">
        <f t="shared" si="0"/>
        <v>19341.371375745901</v>
      </c>
      <c r="J7" s="61">
        <f t="shared" si="0"/>
        <v>17301.287027842955</v>
      </c>
      <c r="K7" s="61">
        <f t="shared" si="0"/>
        <v>25163.553875407499</v>
      </c>
      <c r="L7" s="61">
        <f t="shared" si="0"/>
        <v>26974.277571758528</v>
      </c>
      <c r="M7" s="61">
        <f t="shared" si="0"/>
        <v>28856.463975405597</v>
      </c>
      <c r="N7" s="61">
        <f t="shared" si="0"/>
        <v>27813.044351214266</v>
      </c>
      <c r="O7" s="61">
        <f t="shared" si="0"/>
        <v>34721.845252353349</v>
      </c>
      <c r="P7" s="61">
        <f t="shared" si="0"/>
        <v>35143.966680540674</v>
      </c>
      <c r="Q7" s="61">
        <f t="shared" si="0"/>
        <v>36118.107128408214</v>
      </c>
      <c r="R7" s="61">
        <f t="shared" si="0"/>
        <v>38411.005886231746</v>
      </c>
      <c r="S7" s="61">
        <f t="shared" si="0"/>
        <v>45078.167330485368</v>
      </c>
      <c r="T7" s="61">
        <f t="shared" si="0"/>
        <v>52158.216815698863</v>
      </c>
      <c r="U7" s="61">
        <f t="shared" si="0"/>
        <v>53969.19287518537</v>
      </c>
      <c r="V7" s="61">
        <f t="shared" si="0"/>
        <v>57436.301997247203</v>
      </c>
      <c r="W7" s="61">
        <f t="shared" si="0"/>
        <v>61807.524405070901</v>
      </c>
      <c r="X7" s="61">
        <f t="shared" si="0"/>
        <v>74754.60925710127</v>
      </c>
      <c r="Y7" s="61">
        <f t="shared" si="0"/>
        <v>82512.896920442698</v>
      </c>
      <c r="Z7" s="61">
        <f t="shared" si="0"/>
        <v>80568.265416958544</v>
      </c>
      <c r="AA7" s="61">
        <f t="shared" si="0"/>
        <v>88114.501807707595</v>
      </c>
      <c r="AB7" s="61">
        <f t="shared" si="0"/>
        <v>94876.672754353975</v>
      </c>
      <c r="AC7" s="61">
        <f t="shared" si="0"/>
        <v>113857.92866559949</v>
      </c>
      <c r="AD7" s="61">
        <f t="shared" si="0"/>
        <v>110213.2372194096</v>
      </c>
      <c r="AE7" s="61">
        <f t="shared" si="0"/>
        <v>112324.6814903288</v>
      </c>
      <c r="AF7" s="61">
        <f t="shared" si="0"/>
        <v>122062.20787198372</v>
      </c>
      <c r="AG7" s="61">
        <f t="shared" si="0"/>
        <v>144730.96280351933</v>
      </c>
      <c r="AH7" s="61">
        <f t="shared" si="0"/>
        <v>132286.93370824342</v>
      </c>
      <c r="AI7" s="61">
        <f t="shared" ref="AI7:AJ7" si="1">+SUM(AI5:AI6)</f>
        <v>148808.39178993742</v>
      </c>
      <c r="AJ7" s="61">
        <f t="shared" si="1"/>
        <v>166947.41691268218</v>
      </c>
      <c r="AK7" s="61">
        <f>+SUM(AK5:AK6)</f>
        <v>224667.53603237009</v>
      </c>
      <c r="AL7" s="61">
        <f>+SUM(AL5:AL6)</f>
        <v>200144.47512748229</v>
      </c>
      <c r="AM7" s="61">
        <f>+SUM(AM5:AM6)</f>
        <v>243974.74979249097</v>
      </c>
      <c r="AN7" s="61">
        <f t="shared" ref="AN7:AO7" si="2">+SUM(AN5:AN6)</f>
        <v>328860.73552911391</v>
      </c>
      <c r="AO7" s="61">
        <f t="shared" si="2"/>
        <v>624321.19893288298</v>
      </c>
      <c r="AP7" s="61">
        <f t="shared" ref="AP7" si="3">+SUM(AP5:AP6)</f>
        <v>664909.65798355173</v>
      </c>
    </row>
    <row r="8" spans="1:42" ht="52.5" customHeight="1" x14ac:dyDescent="0.3">
      <c r="A8" s="208" t="s">
        <v>258</v>
      </c>
      <c r="B8" s="41">
        <v>114.08843686784942</v>
      </c>
      <c r="C8" s="41">
        <v>104.8121935093716</v>
      </c>
      <c r="D8" s="41">
        <v>98.495738155511475</v>
      </c>
      <c r="E8" s="41">
        <v>92.99147421643795</v>
      </c>
      <c r="F8" s="41">
        <v>88.509860397397134</v>
      </c>
      <c r="G8" s="41">
        <v>83.537547232461776</v>
      </c>
      <c r="H8" s="41">
        <v>79.242186735688691</v>
      </c>
      <c r="I8" s="41">
        <v>74.168834165083837</v>
      </c>
      <c r="J8" s="41">
        <v>65.08371516281332</v>
      </c>
      <c r="K8" s="41">
        <v>58.670632872574977</v>
      </c>
      <c r="L8" s="41">
        <v>56.186181673684494</v>
      </c>
      <c r="M8" s="41">
        <v>53.449506516660918</v>
      </c>
      <c r="N8" s="41">
        <v>50.318106869593535</v>
      </c>
      <c r="O8" s="41">
        <v>47.745822819267303</v>
      </c>
      <c r="P8" s="41">
        <v>45.436230089857652</v>
      </c>
      <c r="Q8" s="41">
        <v>42.819306344751908</v>
      </c>
      <c r="R8" s="41">
        <v>40.152839170874202</v>
      </c>
      <c r="S8" s="41">
        <v>36.926769643225612</v>
      </c>
      <c r="T8" s="41">
        <v>32.368121570280863</v>
      </c>
      <c r="U8" s="41">
        <v>29.003461135645011</v>
      </c>
      <c r="V8" s="41">
        <v>25.935248745917928</v>
      </c>
      <c r="W8" s="41">
        <v>23.688675023318332</v>
      </c>
      <c r="X8" s="41">
        <v>21.045564288029809</v>
      </c>
      <c r="Y8" s="41">
        <v>18.836368953377281</v>
      </c>
      <c r="Z8" s="41">
        <v>17.475156005923775</v>
      </c>
      <c r="AA8" s="41">
        <v>16.597324350872356</v>
      </c>
      <c r="AB8" s="41">
        <v>15.427669938791055</v>
      </c>
      <c r="AC8" s="41">
        <v>13.848092278371794</v>
      </c>
      <c r="AD8" s="41">
        <v>12.264096849844769</v>
      </c>
      <c r="AE8" s="41">
        <v>11.051082553339571</v>
      </c>
      <c r="AF8" s="41">
        <v>10.113544350150208</v>
      </c>
      <c r="AG8" s="41">
        <v>9.184210193080256</v>
      </c>
      <c r="AH8" s="41">
        <v>7.9125262885108407</v>
      </c>
      <c r="AI8" s="41">
        <v>6.7449419058151632</v>
      </c>
      <c r="AJ8" s="41">
        <v>5.5266967775623801</v>
      </c>
      <c r="AK8" s="41">
        <v>4.7157868697830967</v>
      </c>
      <c r="AL8" s="41">
        <v>3.8750329136169919</v>
      </c>
      <c r="AM8" s="41">
        <v>3.1283943101723821</v>
      </c>
      <c r="AN8" s="41">
        <v>2.3232609649141343</v>
      </c>
      <c r="AO8" s="41">
        <v>1.5153631200000002</v>
      </c>
      <c r="AP8" s="41">
        <v>1</v>
      </c>
    </row>
    <row r="9" spans="1:42" ht="52.5" customHeight="1" x14ac:dyDescent="0.3">
      <c r="A9" s="208" t="s">
        <v>257</v>
      </c>
      <c r="B9" s="209">
        <f>+B7*B8</f>
        <v>1094768.5953852411</v>
      </c>
      <c r="C9" s="209">
        <f t="shared" ref="C9:AH9" si="4">+C7*C8</f>
        <v>1053828.8193177436</v>
      </c>
      <c r="D9" s="209">
        <f t="shared" si="4"/>
        <v>1012306.8939976258</v>
      </c>
      <c r="E9" s="209">
        <f t="shared" si="4"/>
        <v>1051883.0449506177</v>
      </c>
      <c r="F9" s="209">
        <f t="shared" si="4"/>
        <v>906655.99611070799</v>
      </c>
      <c r="G9" s="209">
        <f t="shared" si="4"/>
        <v>974930.87299209775</v>
      </c>
      <c r="H9" s="209">
        <f t="shared" si="4"/>
        <v>967925.66463371844</v>
      </c>
      <c r="I9" s="209">
        <f t="shared" si="4"/>
        <v>1434526.9660929972</v>
      </c>
      <c r="J9" s="209">
        <f t="shared" si="4"/>
        <v>1126032.0368702079</v>
      </c>
      <c r="K9" s="209">
        <f t="shared" si="4"/>
        <v>1476361.6311932947</v>
      </c>
      <c r="L9" s="209">
        <f t="shared" si="4"/>
        <v>1515581.6601632177</v>
      </c>
      <c r="M9" s="209">
        <f t="shared" si="4"/>
        <v>1542363.7593012324</v>
      </c>
      <c r="N9" s="209">
        <f t="shared" si="4"/>
        <v>1399499.7380331443</v>
      </c>
      <c r="O9" s="209">
        <f t="shared" si="4"/>
        <v>1657823.0713768806</v>
      </c>
      <c r="P9" s="209">
        <f t="shared" si="4"/>
        <v>1596809.3563673368</v>
      </c>
      <c r="Q9" s="209">
        <f t="shared" si="4"/>
        <v>1546552.2937238789</v>
      </c>
      <c r="R9" s="209">
        <f t="shared" si="4"/>
        <v>1542310.9417413655</v>
      </c>
      <c r="S9" s="209">
        <f t="shared" si="4"/>
        <v>1664591.1009516115</v>
      </c>
      <c r="T9" s="209">
        <f t="shared" si="4"/>
        <v>1688263.5027796084</v>
      </c>
      <c r="U9" s="209">
        <f t="shared" si="4"/>
        <v>1565293.3880775685</v>
      </c>
      <c r="V9" s="209">
        <f t="shared" si="4"/>
        <v>1489624.7793442688</v>
      </c>
      <c r="W9" s="209">
        <f t="shared" si="4"/>
        <v>1464138.3596275414</v>
      </c>
      <c r="X9" s="209">
        <f t="shared" si="4"/>
        <v>1573252.934946873</v>
      </c>
      <c r="Y9" s="209">
        <f t="shared" si="4"/>
        <v>1554243.3698054468</v>
      </c>
      <c r="Z9" s="209">
        <f t="shared" si="4"/>
        <v>1407943.0072880238</v>
      </c>
      <c r="AA9" s="209">
        <f t="shared" si="4"/>
        <v>1462464.9665180515</v>
      </c>
      <c r="AB9" s="209">
        <f t="shared" si="4"/>
        <v>1463725.9921448631</v>
      </c>
      <c r="AC9" s="209">
        <f t="shared" si="4"/>
        <v>1576715.1027854949</v>
      </c>
      <c r="AD9" s="209">
        <f t="shared" si="4"/>
        <v>1351665.8153937554</v>
      </c>
      <c r="AE9" s="209">
        <f t="shared" si="4"/>
        <v>1241309.3279271969</v>
      </c>
      <c r="AF9" s="209">
        <f t="shared" si="4"/>
        <v>1234481.5527905612</v>
      </c>
      <c r="AG9" s="209">
        <f t="shared" si="4"/>
        <v>1329239.5838344016</v>
      </c>
      <c r="AH9" s="209">
        <f t="shared" si="4"/>
        <v>1046723.840592967</v>
      </c>
      <c r="AI9" s="209">
        <f t="shared" ref="AI9:AJ9" si="5">+AI7*AI8</f>
        <v>1003703.95772091</v>
      </c>
      <c r="AJ9" s="209">
        <f t="shared" si="5"/>
        <v>922667.75107368384</v>
      </c>
      <c r="AK9" s="209">
        <f>+AK7*AK8</f>
        <v>1059484.2164879716</v>
      </c>
      <c r="AL9" s="209">
        <f>+AL7*AL8</f>
        <v>775566.42859759124</v>
      </c>
      <c r="AM9" s="209">
        <f>+AM7*AM8</f>
        <v>763249.2190765593</v>
      </c>
      <c r="AN9" s="209">
        <f t="shared" ref="AN9:AO9" si="6">+AN7*AN8</f>
        <v>764029.30974774109</v>
      </c>
      <c r="AO9" s="209">
        <f t="shared" si="6"/>
        <v>946073.31989707437</v>
      </c>
      <c r="AP9" s="209">
        <f t="shared" ref="AP9" si="7">+AP7*AP8</f>
        <v>664909.65798355173</v>
      </c>
    </row>
    <row r="10" spans="1:42" ht="52.5" customHeight="1" x14ac:dyDescent="0.3">
      <c r="A10" s="208" t="s">
        <v>79</v>
      </c>
      <c r="B10" s="41">
        <v>8.0098000000000003</v>
      </c>
      <c r="C10" s="41">
        <v>8.1326999999999998</v>
      </c>
      <c r="D10" s="41">
        <v>8.4642999999999997</v>
      </c>
      <c r="E10" s="41">
        <v>8.5519999999999996</v>
      </c>
      <c r="F10" s="41">
        <v>8.8196999999999992</v>
      </c>
      <c r="G10" s="41">
        <v>9.0864999999999991</v>
      </c>
      <c r="H10" s="41">
        <v>9.4192</v>
      </c>
      <c r="I10" s="41">
        <v>13.005000000000001</v>
      </c>
      <c r="J10" s="41">
        <v>14.5817</v>
      </c>
      <c r="K10" s="41">
        <v>14.92</v>
      </c>
      <c r="L10" s="41">
        <v>15.263299999999999</v>
      </c>
      <c r="M10" s="41">
        <v>15.850199999999999</v>
      </c>
      <c r="N10" s="41">
        <v>15.3818</v>
      </c>
      <c r="O10" s="41">
        <v>16.598500000000001</v>
      </c>
      <c r="P10" s="41">
        <v>17.318300000000001</v>
      </c>
      <c r="Q10" s="41">
        <v>18.7742</v>
      </c>
      <c r="R10" s="41">
        <v>20.1433</v>
      </c>
      <c r="S10" s="41">
        <v>28.861699999999999</v>
      </c>
      <c r="T10" s="41">
        <v>40.896700000000003</v>
      </c>
      <c r="U10" s="41">
        <v>37.808300000000003</v>
      </c>
      <c r="V10" s="41">
        <v>43.353299999999997</v>
      </c>
      <c r="W10" s="41">
        <v>42.448300000000003</v>
      </c>
      <c r="X10" s="41">
        <v>57.558300000000003</v>
      </c>
      <c r="Y10" s="41">
        <v>59.895000000000003</v>
      </c>
      <c r="Z10" s="41">
        <v>64.469700000000003</v>
      </c>
      <c r="AA10" s="41">
        <v>70.454999999999998</v>
      </c>
      <c r="AB10" s="41">
        <v>76.174999999999997</v>
      </c>
      <c r="AC10" s="41">
        <v>84.144999999999996</v>
      </c>
      <c r="AD10" s="41">
        <v>91.984999999999999</v>
      </c>
      <c r="AE10" s="41">
        <v>95.726699999999994</v>
      </c>
      <c r="AF10" s="41">
        <v>98.734999999999999</v>
      </c>
      <c r="AG10" s="41">
        <v>102.75</v>
      </c>
      <c r="AH10" s="41">
        <v>110.9783</v>
      </c>
      <c r="AI10" s="41">
        <v>125.215</v>
      </c>
      <c r="AJ10" s="41">
        <v>147.315</v>
      </c>
      <c r="AK10" s="41">
        <v>177.1283</v>
      </c>
      <c r="AL10" s="41">
        <v>208.98830000000001</v>
      </c>
      <c r="AM10" s="41">
        <v>256.67500000000001</v>
      </c>
      <c r="AN10" s="41">
        <v>350.00830000000002</v>
      </c>
      <c r="AO10" s="41">
        <v>808.48329999999999</v>
      </c>
      <c r="AP10" s="41">
        <f>+'Servicios Deuda Anual'!C52</f>
        <v>857.41669999999999</v>
      </c>
    </row>
    <row r="11" spans="1:42" ht="52.5" customHeight="1" x14ac:dyDescent="0.3">
      <c r="A11" s="208" t="s">
        <v>80</v>
      </c>
      <c r="B11" s="209">
        <f>+B7/B10</f>
        <v>1198.0060980561311</v>
      </c>
      <c r="C11" s="209">
        <f t="shared" ref="C11:AH11" si="8">+C7/C10</f>
        <v>1236.2989741438882</v>
      </c>
      <c r="D11" s="209">
        <f t="shared" si="8"/>
        <v>1214.2376852143709</v>
      </c>
      <c r="E11" s="209">
        <f t="shared" si="8"/>
        <v>1322.6856137114128</v>
      </c>
      <c r="F11" s="209">
        <f t="shared" si="8"/>
        <v>1161.440776354071</v>
      </c>
      <c r="G11" s="209">
        <f t="shared" si="8"/>
        <v>1284.3857329323723</v>
      </c>
      <c r="H11" s="209">
        <f t="shared" si="8"/>
        <v>1296.7956207809582</v>
      </c>
      <c r="I11" s="209">
        <f t="shared" si="8"/>
        <v>1487.2257882157555</v>
      </c>
      <c r="J11" s="209">
        <f t="shared" si="8"/>
        <v>1186.5068563914328</v>
      </c>
      <c r="K11" s="209">
        <f t="shared" si="8"/>
        <v>1686.5652731506366</v>
      </c>
      <c r="L11" s="209">
        <f t="shared" si="8"/>
        <v>1767.2638008660335</v>
      </c>
      <c r="M11" s="209">
        <f t="shared" si="8"/>
        <v>1820.5741236959532</v>
      </c>
      <c r="N11" s="209">
        <f t="shared" si="8"/>
        <v>1808.1787795455841</v>
      </c>
      <c r="O11" s="209">
        <f t="shared" si="8"/>
        <v>2091.8664489172725</v>
      </c>
      <c r="P11" s="209">
        <f t="shared" si="8"/>
        <v>2029.2965637817033</v>
      </c>
      <c r="Q11" s="209">
        <f t="shared" si="8"/>
        <v>1923.8160416107323</v>
      </c>
      <c r="R11" s="209">
        <f t="shared" si="8"/>
        <v>1906.8874457626976</v>
      </c>
      <c r="S11" s="209">
        <f t="shared" si="8"/>
        <v>1561.8680580314178</v>
      </c>
      <c r="T11" s="209">
        <f t="shared" si="8"/>
        <v>1275.3649271383476</v>
      </c>
      <c r="U11" s="209">
        <f t="shared" si="8"/>
        <v>1427.4429920198836</v>
      </c>
      <c r="V11" s="209">
        <f t="shared" si="8"/>
        <v>1324.8426762725608</v>
      </c>
      <c r="W11" s="209">
        <f t="shared" si="8"/>
        <v>1456.06595329073</v>
      </c>
      <c r="X11" s="209">
        <f t="shared" si="8"/>
        <v>1298.7633279145018</v>
      </c>
      <c r="Y11" s="209">
        <f t="shared" si="8"/>
        <v>1377.625793813218</v>
      </c>
      <c r="Z11" s="209">
        <f t="shared" si="8"/>
        <v>1249.7074659407217</v>
      </c>
      <c r="AA11" s="209">
        <f t="shared" si="8"/>
        <v>1250.6493763069705</v>
      </c>
      <c r="AB11" s="209">
        <f t="shared" si="8"/>
        <v>1245.5093239823298</v>
      </c>
      <c r="AC11" s="209">
        <f t="shared" si="8"/>
        <v>1353.1157961328599</v>
      </c>
      <c r="AD11" s="209">
        <f t="shared" si="8"/>
        <v>1198.165322817955</v>
      </c>
      <c r="AE11" s="209">
        <f t="shared" si="8"/>
        <v>1173.3892580683216</v>
      </c>
      <c r="AF11" s="209">
        <f t="shared" si="8"/>
        <v>1236.2607775559195</v>
      </c>
      <c r="AG11" s="209">
        <f t="shared" si="8"/>
        <v>1408.5738472361979</v>
      </c>
      <c r="AH11" s="209">
        <f t="shared" si="8"/>
        <v>1192.0072095918158</v>
      </c>
      <c r="AI11" s="209">
        <f t="shared" ref="AI11" si="9">+AI7/AI10</f>
        <v>1188.423046679211</v>
      </c>
      <c r="AJ11" s="209">
        <f>+AJ7/AJ10</f>
        <v>1133.2682816595877</v>
      </c>
      <c r="AK11" s="209">
        <f>+AK7/AK10</f>
        <v>1268.388710513058</v>
      </c>
      <c r="AL11" s="209">
        <f>+AL7/AL10</f>
        <v>957.68267949680569</v>
      </c>
      <c r="AM11" s="209">
        <f>+AM7/AM10</f>
        <v>950.52011217489417</v>
      </c>
      <c r="AN11" s="209">
        <f t="shared" ref="AN11:AO11" si="10">+AN7/AN10</f>
        <v>939.57982004744997</v>
      </c>
      <c r="AO11" s="209">
        <f t="shared" si="10"/>
        <v>772.21285700382805</v>
      </c>
      <c r="AP11" s="209">
        <f t="shared" ref="AP11" si="11">+AP7/AP10</f>
        <v>775.48018132088134</v>
      </c>
    </row>
    <row r="12" spans="1:42" ht="52.5" customHeight="1" x14ac:dyDescent="0.3">
      <c r="A12" s="208" t="s">
        <v>81</v>
      </c>
      <c r="B12" s="40">
        <v>314.46720625</v>
      </c>
      <c r="C12" s="40">
        <v>478.86095885000003</v>
      </c>
      <c r="D12" s="40">
        <v>474.58328738</v>
      </c>
      <c r="E12" s="40">
        <v>778.12609504</v>
      </c>
      <c r="F12" s="40">
        <v>718.73022808000007</v>
      </c>
      <c r="G12" s="40">
        <v>1298.8367923699998</v>
      </c>
      <c r="H12" s="40">
        <v>1625.11270541</v>
      </c>
      <c r="I12" s="40">
        <v>1674.58950392</v>
      </c>
      <c r="J12" s="40">
        <v>618.91159517999995</v>
      </c>
      <c r="K12" s="48">
        <v>722.13102017999995</v>
      </c>
      <c r="L12" s="40">
        <v>633.77258883000002</v>
      </c>
      <c r="M12" s="48">
        <v>935.87173382000003</v>
      </c>
      <c r="N12" s="40">
        <v>698.34998707</v>
      </c>
      <c r="O12" s="48">
        <v>879.25538699000003</v>
      </c>
      <c r="P12" s="40">
        <v>836.87532364999993</v>
      </c>
      <c r="Q12" s="48">
        <v>898.69213680999997</v>
      </c>
      <c r="R12" s="48">
        <v>1153.66550927</v>
      </c>
      <c r="S12" s="48">
        <v>1117.7619162000001</v>
      </c>
      <c r="T12" s="48">
        <v>973.22907361</v>
      </c>
      <c r="U12" s="48">
        <v>2081.8590620999998</v>
      </c>
      <c r="V12" s="48">
        <v>1166.28844142</v>
      </c>
      <c r="W12" s="40">
        <v>1994.24181458</v>
      </c>
      <c r="X12" s="40">
        <v>1582.17197738</v>
      </c>
      <c r="Y12" s="40">
        <v>3973.4916769800002</v>
      </c>
      <c r="Z12" s="40">
        <v>1829.54825347</v>
      </c>
      <c r="AA12" s="40">
        <v>1967.2654723000001</v>
      </c>
      <c r="AB12" s="40">
        <v>2306.01199004</v>
      </c>
      <c r="AC12" s="40">
        <v>4480.3689031499998</v>
      </c>
      <c r="AD12" s="40">
        <v>1986.7844765499999</v>
      </c>
      <c r="AE12" s="40">
        <v>3455.3547898900001</v>
      </c>
      <c r="AF12" s="40">
        <v>3173.6009410000001</v>
      </c>
      <c r="AG12" s="40">
        <v>5889.6617611599995</v>
      </c>
      <c r="AH12" s="95">
        <v>3272.58093147</v>
      </c>
      <c r="AI12" s="40">
        <f>4275.84906046+226.21680951</f>
        <v>4502.0658699699998</v>
      </c>
      <c r="AJ12" s="40">
        <v>5201.9054230399997</v>
      </c>
      <c r="AK12" s="40">
        <v>15849.07698921</v>
      </c>
      <c r="AL12" s="40">
        <v>6932.1063246499998</v>
      </c>
      <c r="AM12" s="40">
        <v>9414.13902762</v>
      </c>
      <c r="AN12" s="40">
        <v>7973.2664187500004</v>
      </c>
      <c r="AO12" s="40">
        <v>26319.3699576</v>
      </c>
      <c r="AP12" s="40">
        <v>26287.777875847994</v>
      </c>
    </row>
    <row r="13" spans="1:42" ht="52.5" customHeight="1" x14ac:dyDescent="0.3">
      <c r="A13" s="208" t="s">
        <v>256</v>
      </c>
      <c r="B13" s="61">
        <f>SUM(B7,B12)*B8</f>
        <v>1130645.6673925032</v>
      </c>
      <c r="C13" s="61">
        <f t="shared" ref="C13:AH13" si="12">SUM(C7,C12)*C8</f>
        <v>1104019.2868008129</v>
      </c>
      <c r="D13" s="61">
        <f t="shared" si="12"/>
        <v>1059051.3252043882</v>
      </c>
      <c r="E13" s="61">
        <f t="shared" si="12"/>
        <v>1124242.1376546675</v>
      </c>
      <c r="F13" s="61">
        <f t="shared" si="12"/>
        <v>970270.7082614582</v>
      </c>
      <c r="G13" s="61">
        <f t="shared" si="12"/>
        <v>1083432.5128819656</v>
      </c>
      <c r="H13" s="61">
        <f t="shared" si="12"/>
        <v>1096703.1491023579</v>
      </c>
      <c r="I13" s="61">
        <f t="shared" si="12"/>
        <v>1558729.3173038296</v>
      </c>
      <c r="J13" s="61">
        <f t="shared" si="12"/>
        <v>1166313.1028418655</v>
      </c>
      <c r="K13" s="61">
        <f t="shared" si="12"/>
        <v>1518729.5151641734</v>
      </c>
      <c r="L13" s="61">
        <f t="shared" si="12"/>
        <v>1551190.9219790215</v>
      </c>
      <c r="M13" s="61">
        <f t="shared" si="12"/>
        <v>1592385.6416368033</v>
      </c>
      <c r="N13" s="61">
        <f t="shared" si="12"/>
        <v>1434639.3873149117</v>
      </c>
      <c r="O13" s="61">
        <f t="shared" si="12"/>
        <v>1699803.8432969914</v>
      </c>
      <c r="P13" s="61">
        <f t="shared" si="12"/>
        <v>1634833.8161292223</v>
      </c>
      <c r="Q13" s="61">
        <f t="shared" si="12"/>
        <v>1585033.6676395661</v>
      </c>
      <c r="R13" s="61">
        <f t="shared" si="12"/>
        <v>1588633.8873920687</v>
      </c>
      <c r="S13" s="61">
        <f t="shared" si="12"/>
        <v>1705866.4377470994</v>
      </c>
      <c r="T13" s="61">
        <f t="shared" si="12"/>
        <v>1719765.0997499486</v>
      </c>
      <c r="U13" s="61">
        <f t="shared" si="12"/>
        <v>1625674.5064750761</v>
      </c>
      <c r="V13" s="61">
        <f t="shared" si="12"/>
        <v>1519872.7601819856</v>
      </c>
      <c r="W13" s="61">
        <f t="shared" si="12"/>
        <v>1511379.3058910395</v>
      </c>
      <c r="X13" s="61">
        <f t="shared" si="12"/>
        <v>1606550.6370115431</v>
      </c>
      <c r="Y13" s="61">
        <f t="shared" si="12"/>
        <v>1629089.5250662158</v>
      </c>
      <c r="Z13" s="61">
        <f t="shared" si="12"/>
        <v>1439914.6484377775</v>
      </c>
      <c r="AA13" s="61">
        <f t="shared" si="12"/>
        <v>1495116.3096460868</v>
      </c>
      <c r="AB13" s="61">
        <f t="shared" si="12"/>
        <v>1499302.3840020951</v>
      </c>
      <c r="AC13" s="61">
        <f t="shared" si="12"/>
        <v>1638759.6647974635</v>
      </c>
      <c r="AD13" s="61">
        <f t="shared" si="12"/>
        <v>1376031.9326339329</v>
      </c>
      <c r="AE13" s="61">
        <f t="shared" si="12"/>
        <v>1279494.7389613485</v>
      </c>
      <c r="AF13" s="61">
        <f t="shared" si="12"/>
        <v>1266577.9066570431</v>
      </c>
      <c r="AG13" s="61">
        <f t="shared" si="12"/>
        <v>1383331.4754150424</v>
      </c>
      <c r="AH13" s="61">
        <f t="shared" si="12"/>
        <v>1072618.2232445027</v>
      </c>
      <c r="AI13" s="61">
        <f t="shared" ref="AI13" si="13">SUM(AI7,AI12)*AI8</f>
        <v>1034070.1304700107</v>
      </c>
      <c r="AJ13" s="61">
        <f>SUM(AJ7,AJ12)*AJ8</f>
        <v>951417.10501238331</v>
      </c>
      <c r="AK13" s="61">
        <f>SUM(AK7,AK12)*AK8</f>
        <v>1134225.0856518697</v>
      </c>
      <c r="AL13" s="61">
        <f>SUM(AL7,AL12)*AL8</f>
        <v>802428.56876630255</v>
      </c>
      <c r="AM13" s="61">
        <f>SUM(AM7,AM12)*AM8</f>
        <v>792700.35804573749</v>
      </c>
      <c r="AN13" s="61">
        <f t="shared" ref="AN13" si="14">SUM(AN7,AN12)*AN8</f>
        <v>782553.28838128364</v>
      </c>
      <c r="AO13" s="61">
        <f>SUM(AO7,AO12)*AO8</f>
        <v>985956.72247245733</v>
      </c>
      <c r="AP13" s="61">
        <f>SUM(AP7,AP12)*AP8</f>
        <v>691197.43585939973</v>
      </c>
    </row>
    <row r="14" spans="1:42" ht="52.5" customHeight="1" x14ac:dyDescent="0.3">
      <c r="A14" s="208" t="s">
        <v>82</v>
      </c>
      <c r="B14" s="71">
        <v>7.2591190403288736E-2</v>
      </c>
      <c r="C14" s="71">
        <v>7.6060903278814096E-2</v>
      </c>
      <c r="D14" s="71">
        <v>7.7749565866389994E-2</v>
      </c>
      <c r="E14" s="71">
        <v>8.5571183709206716E-2</v>
      </c>
      <c r="F14" s="71">
        <v>6.1635656176719449E-2</v>
      </c>
      <c r="G14" s="71">
        <v>7.0222008200981109E-2</v>
      </c>
      <c r="H14" s="71">
        <v>7.3496506323127722E-2</v>
      </c>
      <c r="I14" s="71">
        <v>0.11637733438701836</v>
      </c>
      <c r="J14" s="71">
        <v>7.7755267567067438E-2</v>
      </c>
      <c r="K14" s="71">
        <v>0.11308978698358528</v>
      </c>
      <c r="L14" s="71">
        <v>0.12122752293775013</v>
      </c>
      <c r="M14" s="71">
        <v>0.12968642586162818</v>
      </c>
      <c r="N14" s="71">
        <v>9.8960236946928334E-2</v>
      </c>
      <c r="O14" s="71">
        <v>0.12354210456136036</v>
      </c>
      <c r="P14" s="71">
        <v>0.12504403423242744</v>
      </c>
      <c r="Q14" s="71">
        <v>0.12851007586106886</v>
      </c>
      <c r="R14" s="71">
        <v>9.8082755534520435E-2</v>
      </c>
      <c r="S14" s="71">
        <v>0.11510739602383153</v>
      </c>
      <c r="T14" s="71">
        <v>0.13318634883457836</v>
      </c>
      <c r="U14" s="71">
        <v>0.13781068808379218</v>
      </c>
      <c r="V14" s="71">
        <v>0.10167224208084931</v>
      </c>
      <c r="W14" s="71">
        <v>0.1094100658505409</v>
      </c>
      <c r="X14" s="71">
        <v>0.13232865739531025</v>
      </c>
      <c r="Y14" s="71">
        <v>0.14606217564092991</v>
      </c>
      <c r="Z14" s="72">
        <v>0.10888293191158835</v>
      </c>
      <c r="AA14" s="72">
        <v>0.11908119469992599</v>
      </c>
      <c r="AB14" s="72">
        <v>0.12821984246586438</v>
      </c>
      <c r="AC14" s="72">
        <v>0.1538718133043176</v>
      </c>
      <c r="AD14" s="72">
        <v>9.4514360083681484E-2</v>
      </c>
      <c r="AE14" s="72">
        <v>9.6325048247399986E-2</v>
      </c>
      <c r="AF14" s="72">
        <v>0.10467555221570191</v>
      </c>
      <c r="AG14" s="72">
        <v>0.12411534838086317</v>
      </c>
      <c r="AH14" s="72">
        <v>5.988407468734766E-2</v>
      </c>
      <c r="AI14" s="72">
        <v>6.7363061477457187E-2</v>
      </c>
      <c r="AJ14" s="72">
        <v>7.5574293719046545E-2</v>
      </c>
      <c r="AK14" s="72">
        <v>0.10170322291434622</v>
      </c>
      <c r="AL14" s="210"/>
      <c r="AM14" s="210"/>
      <c r="AN14" s="210"/>
      <c r="AO14" s="210"/>
      <c r="AP14" s="210"/>
    </row>
    <row r="15" spans="1:42" ht="21.75" customHeight="1" x14ac:dyDescent="0.3">
      <c r="B15" s="43"/>
      <c r="C15" s="43"/>
      <c r="D15" s="43"/>
      <c r="E15" s="43"/>
      <c r="F15" s="43"/>
      <c r="G15" s="43"/>
      <c r="H15" s="43"/>
      <c r="I15" s="43"/>
      <c r="J15" s="43"/>
      <c r="K15" s="43"/>
      <c r="L15" s="43"/>
      <c r="M15" s="43"/>
      <c r="N15" s="43"/>
      <c r="O15" s="43"/>
      <c r="P15" s="43"/>
      <c r="Q15" s="43"/>
      <c r="R15" s="43"/>
      <c r="S15" s="43"/>
      <c r="T15" s="43"/>
      <c r="U15" s="43"/>
      <c r="V15" s="43"/>
      <c r="W15" s="43"/>
      <c r="X15" s="43"/>
      <c r="Y15" s="43"/>
    </row>
    <row r="16" spans="1:42" x14ac:dyDescent="0.3">
      <c r="A16" s="44"/>
      <c r="B16" s="151"/>
      <c r="C16" s="151"/>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69"/>
      <c r="AL16" s="151"/>
      <c r="AM16" s="151"/>
    </row>
    <row r="17" spans="1:42" x14ac:dyDescent="0.3">
      <c r="A17" s="45"/>
      <c r="B17" s="151"/>
      <c r="C17" s="151"/>
      <c r="D17" s="151"/>
      <c r="E17" s="151"/>
      <c r="F17" s="151"/>
      <c r="G17" s="151"/>
      <c r="H17" s="151"/>
      <c r="I17" s="151"/>
      <c r="J17" s="151"/>
      <c r="K17" s="151"/>
      <c r="L17" s="151"/>
      <c r="M17" s="151"/>
      <c r="N17" s="151"/>
      <c r="O17" s="151"/>
      <c r="P17" s="151"/>
      <c r="Q17" s="151"/>
      <c r="R17" s="151"/>
      <c r="S17" s="151"/>
      <c r="T17" s="151"/>
      <c r="U17" s="151"/>
      <c r="V17" s="151"/>
      <c r="W17" s="151"/>
      <c r="X17" s="151"/>
      <c r="Y17" s="151"/>
      <c r="Z17" s="151"/>
      <c r="AA17" s="151"/>
      <c r="AB17" s="151"/>
      <c r="AC17" s="151"/>
      <c r="AD17" s="151"/>
      <c r="AE17" s="151"/>
      <c r="AF17" s="151"/>
      <c r="AG17" s="151"/>
      <c r="AH17" s="151"/>
      <c r="AI17" s="151"/>
      <c r="AJ17" s="151"/>
      <c r="AK17" s="151"/>
      <c r="AL17" s="151"/>
      <c r="AM17" s="151"/>
      <c r="AN17" s="151"/>
      <c r="AO17" s="172"/>
      <c r="AP17" s="172"/>
    </row>
    <row r="18" spans="1:42" x14ac:dyDescent="0.3">
      <c r="B18" s="43"/>
      <c r="C18" s="43"/>
      <c r="D18" s="43"/>
      <c r="E18" s="43"/>
      <c r="F18" s="43"/>
      <c r="G18" s="43"/>
      <c r="H18" s="43"/>
      <c r="I18" s="43"/>
      <c r="J18" s="43"/>
      <c r="K18" s="43"/>
      <c r="L18" s="43"/>
      <c r="M18" s="43"/>
      <c r="N18" s="43"/>
      <c r="O18" s="43"/>
      <c r="P18" s="43"/>
      <c r="Q18" s="43"/>
      <c r="R18" s="43"/>
      <c r="S18" s="43"/>
      <c r="T18" s="43"/>
      <c r="U18" s="43"/>
      <c r="V18" s="43"/>
      <c r="W18" s="43"/>
      <c r="X18" s="43"/>
      <c r="Y18" s="43"/>
    </row>
    <row r="19" spans="1:42" x14ac:dyDescent="0.3">
      <c r="A19" s="45"/>
      <c r="B19" s="43"/>
      <c r="C19" s="43"/>
      <c r="D19" s="43"/>
      <c r="E19" s="43"/>
      <c r="F19" s="43"/>
      <c r="G19" s="43"/>
      <c r="H19" s="43"/>
      <c r="I19" s="43"/>
      <c r="J19" s="43"/>
      <c r="K19" s="43"/>
      <c r="L19" s="43"/>
      <c r="M19" s="43"/>
      <c r="N19" s="43"/>
      <c r="O19" s="43"/>
      <c r="P19" s="43"/>
      <c r="Q19" s="43"/>
      <c r="R19" s="43"/>
      <c r="S19" s="43"/>
      <c r="T19" s="43"/>
      <c r="U19" s="43"/>
      <c r="V19" s="43"/>
      <c r="W19" s="43"/>
      <c r="X19" s="43"/>
      <c r="Y19" s="43"/>
    </row>
    <row r="20" spans="1:42" x14ac:dyDescent="0.3">
      <c r="B20" s="43"/>
      <c r="C20" s="43"/>
      <c r="D20" s="43"/>
      <c r="E20" s="43"/>
      <c r="F20" s="43"/>
      <c r="G20" s="43"/>
      <c r="H20" s="43"/>
      <c r="I20" s="43"/>
      <c r="J20" s="43"/>
      <c r="K20" s="43"/>
      <c r="L20" s="43"/>
      <c r="M20" s="43"/>
      <c r="N20" s="43"/>
      <c r="O20" s="43"/>
      <c r="P20" s="43"/>
      <c r="Q20" s="43"/>
      <c r="R20" s="43"/>
      <c r="S20" s="43"/>
      <c r="T20" s="43"/>
      <c r="U20" s="43"/>
      <c r="V20" s="43"/>
      <c r="W20" s="43"/>
      <c r="X20" s="43"/>
      <c r="Y20" s="43"/>
    </row>
    <row r="21" spans="1:42" x14ac:dyDescent="0.3">
      <c r="B21" s="43"/>
      <c r="C21" s="43"/>
      <c r="D21" s="43"/>
      <c r="E21" s="43"/>
      <c r="F21" s="43"/>
      <c r="G21" s="43"/>
      <c r="H21" s="43"/>
      <c r="I21" s="43"/>
      <c r="J21" s="43"/>
      <c r="K21" s="43"/>
      <c r="L21" s="43"/>
      <c r="M21" s="43"/>
      <c r="N21" s="43"/>
      <c r="O21" s="43"/>
      <c r="P21" s="43"/>
      <c r="Q21" s="43"/>
      <c r="R21" s="43"/>
      <c r="S21" s="43"/>
      <c r="T21" s="43"/>
      <c r="U21" s="43"/>
      <c r="V21" s="43"/>
      <c r="W21" s="43"/>
      <c r="X21" s="43"/>
      <c r="Y21" s="43"/>
    </row>
    <row r="22" spans="1:42" x14ac:dyDescent="0.3">
      <c r="B22" s="43"/>
      <c r="C22" s="43"/>
      <c r="D22" s="43"/>
      <c r="E22" s="43"/>
      <c r="F22" s="43"/>
      <c r="G22" s="43"/>
      <c r="H22" s="43"/>
      <c r="I22" s="43"/>
      <c r="J22" s="43"/>
      <c r="K22" s="43"/>
      <c r="L22" s="43"/>
      <c r="M22" s="43"/>
      <c r="N22" s="43"/>
      <c r="O22" s="43"/>
      <c r="P22" s="43"/>
      <c r="Q22" s="43"/>
      <c r="R22" s="43"/>
      <c r="S22" s="43"/>
      <c r="T22" s="43"/>
      <c r="U22" s="43"/>
      <c r="V22" s="43"/>
      <c r="W22" s="43"/>
      <c r="X22" s="43"/>
      <c r="Y22" s="43"/>
    </row>
    <row r="23" spans="1:42" x14ac:dyDescent="0.3">
      <c r="B23" s="43"/>
      <c r="C23" s="43"/>
      <c r="D23" s="43"/>
      <c r="E23" s="43"/>
      <c r="F23" s="43"/>
      <c r="G23" s="43"/>
      <c r="H23" s="43"/>
      <c r="I23" s="43"/>
      <c r="J23" s="43"/>
      <c r="K23" s="43"/>
      <c r="L23" s="43"/>
      <c r="M23" s="43"/>
      <c r="N23" s="43"/>
      <c r="O23" s="43"/>
      <c r="P23" s="43"/>
      <c r="Q23" s="43"/>
      <c r="R23" s="43"/>
      <c r="S23" s="43"/>
      <c r="T23" s="43"/>
      <c r="U23" s="43"/>
      <c r="V23" s="43"/>
      <c r="W23" s="43"/>
      <c r="X23" s="43"/>
      <c r="Y23" s="43"/>
    </row>
    <row r="24" spans="1:42" x14ac:dyDescent="0.3">
      <c r="B24" s="43"/>
      <c r="C24" s="43"/>
      <c r="D24" s="43"/>
      <c r="E24" s="43"/>
      <c r="F24" s="43"/>
      <c r="G24" s="43"/>
      <c r="H24" s="43"/>
      <c r="I24" s="43"/>
      <c r="J24" s="43"/>
      <c r="K24" s="43"/>
      <c r="L24" s="43"/>
      <c r="M24" s="43"/>
      <c r="N24" s="43"/>
      <c r="O24" s="43"/>
      <c r="P24" s="43"/>
      <c r="Q24" s="43"/>
      <c r="R24" s="43"/>
      <c r="S24" s="43"/>
      <c r="T24" s="43"/>
      <c r="U24" s="43"/>
      <c r="V24" s="43"/>
      <c r="W24" s="43"/>
      <c r="X24" s="43"/>
      <c r="Y24" s="43"/>
    </row>
    <row r="37" spans="2:34" x14ac:dyDescent="0.3">
      <c r="B37" s="63"/>
      <c r="C37" s="63"/>
      <c r="D37" s="63"/>
      <c r="E37" s="63"/>
      <c r="F37" s="63"/>
      <c r="G37" s="63"/>
      <c r="H37" s="6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3"/>
      <c r="AH37" s="63"/>
    </row>
    <row r="38" spans="2:34" x14ac:dyDescent="0.3">
      <c r="B38" s="68"/>
      <c r="C38" s="68"/>
      <c r="D38" s="68"/>
      <c r="E38" s="68"/>
      <c r="F38" s="68"/>
      <c r="G38" s="68"/>
      <c r="H38" s="68"/>
      <c r="I38" s="68"/>
      <c r="J38" s="68"/>
      <c r="K38" s="68"/>
      <c r="L38" s="68"/>
      <c r="M38" s="68"/>
      <c r="N38" s="68"/>
      <c r="O38" s="68"/>
      <c r="P38" s="68"/>
      <c r="Q38" s="68"/>
      <c r="R38" s="68"/>
      <c r="S38" s="68"/>
      <c r="T38" s="68"/>
      <c r="U38" s="68"/>
      <c r="V38" s="68"/>
      <c r="W38" s="68"/>
      <c r="X38" s="68"/>
      <c r="Y38" s="68"/>
      <c r="Z38" s="68"/>
      <c r="AA38" s="68"/>
      <c r="AB38" s="68"/>
      <c r="AC38" s="68"/>
      <c r="AD38" s="68"/>
      <c r="AE38" s="68"/>
      <c r="AF38" s="68"/>
      <c r="AG38" s="68"/>
      <c r="AH38" s="68"/>
    </row>
    <row r="39" spans="2:34" x14ac:dyDescent="0.3">
      <c r="B39" s="69"/>
      <c r="C39" s="69"/>
      <c r="D39" s="69"/>
      <c r="E39" s="69"/>
      <c r="F39" s="69"/>
      <c r="G39" s="69"/>
      <c r="H39" s="69"/>
      <c r="I39" s="69"/>
      <c r="J39" s="69"/>
      <c r="K39" s="69"/>
      <c r="L39" s="69"/>
      <c r="M39" s="69"/>
      <c r="N39" s="69"/>
      <c r="O39" s="69"/>
      <c r="P39" s="69"/>
      <c r="Q39" s="69"/>
      <c r="R39" s="69"/>
      <c r="S39" s="69"/>
      <c r="T39" s="69"/>
      <c r="U39" s="69"/>
      <c r="V39" s="69"/>
      <c r="W39" s="69"/>
      <c r="X39" s="69"/>
      <c r="Y39" s="69"/>
      <c r="Z39" s="69"/>
      <c r="AA39" s="69"/>
      <c r="AB39" s="69"/>
      <c r="AC39" s="69"/>
      <c r="AD39" s="69"/>
      <c r="AE39" s="69"/>
      <c r="AF39" s="69"/>
      <c r="AG39" s="69"/>
      <c r="AH39" s="69"/>
    </row>
    <row r="40" spans="2:34" x14ac:dyDescent="0.3">
      <c r="B40" s="63"/>
      <c r="C40" s="63"/>
      <c r="D40" s="63"/>
      <c r="E40" s="63"/>
      <c r="F40" s="63"/>
      <c r="G40" s="63"/>
      <c r="H40" s="63"/>
      <c r="I40" s="63"/>
      <c r="J40" s="63"/>
      <c r="K40" s="63"/>
      <c r="L40" s="63"/>
      <c r="M40" s="63"/>
      <c r="N40" s="63"/>
      <c r="O40" s="63"/>
      <c r="P40" s="63"/>
      <c r="Q40" s="63"/>
      <c r="R40" s="63"/>
      <c r="S40" s="63"/>
      <c r="T40" s="63"/>
      <c r="U40" s="63"/>
      <c r="V40" s="63"/>
      <c r="W40" s="63"/>
      <c r="X40" s="63"/>
      <c r="Y40" s="63"/>
      <c r="Z40" s="63"/>
      <c r="AA40" s="63"/>
      <c r="AB40" s="63"/>
      <c r="AC40" s="63"/>
    </row>
    <row r="42" spans="2:34" x14ac:dyDescent="0.3">
      <c r="B42" s="69"/>
      <c r="C42" s="69"/>
      <c r="D42" s="69"/>
      <c r="E42" s="69"/>
      <c r="F42" s="69"/>
      <c r="G42" s="69"/>
      <c r="H42" s="69"/>
      <c r="I42" s="69"/>
      <c r="J42" s="69"/>
      <c r="K42" s="69"/>
      <c r="L42" s="69"/>
      <c r="M42" s="69"/>
      <c r="N42" s="69"/>
      <c r="O42" s="69"/>
      <c r="P42" s="69"/>
      <c r="Q42" s="69"/>
      <c r="R42" s="69"/>
      <c r="S42" s="69"/>
      <c r="T42" s="69"/>
      <c r="U42" s="69"/>
      <c r="V42" s="69"/>
      <c r="W42" s="69"/>
      <c r="X42" s="69"/>
      <c r="Y42" s="69"/>
      <c r="Z42" s="69"/>
      <c r="AA42" s="69"/>
      <c r="AB42" s="69"/>
      <c r="AC42" s="69"/>
    </row>
    <row r="43" spans="2:34" x14ac:dyDescent="0.3">
      <c r="B43" s="70"/>
      <c r="C43" s="70"/>
      <c r="D43" s="70"/>
      <c r="E43" s="70"/>
      <c r="F43" s="70"/>
      <c r="G43" s="70"/>
      <c r="H43" s="70"/>
      <c r="I43" s="70"/>
      <c r="J43" s="70"/>
      <c r="K43" s="70"/>
      <c r="L43" s="70"/>
      <c r="M43" s="70"/>
      <c r="N43" s="70"/>
      <c r="O43" s="70"/>
      <c r="P43" s="70"/>
      <c r="Q43" s="70"/>
      <c r="R43" s="70"/>
      <c r="S43" s="70"/>
      <c r="T43" s="70"/>
      <c r="U43" s="70"/>
      <c r="V43" s="70"/>
      <c r="W43" s="70"/>
      <c r="X43" s="70"/>
      <c r="Y43" s="70"/>
      <c r="Z43" s="70"/>
      <c r="AA43" s="70"/>
      <c r="AB43" s="70"/>
      <c r="AC43" s="70"/>
    </row>
  </sheetData>
  <mergeCells count="1">
    <mergeCell ref="A1:H1"/>
  </mergeCells>
  <pageMargins left="0.7" right="0.7" top="0.75" bottom="0.75" header="0.3" footer="0.3"/>
  <pageSetup orientation="portrait" r:id="rId1"/>
  <drawing r:id="rId2"/>
  <legacyDrawing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126"/>
  <sheetViews>
    <sheetView topLeftCell="A23" zoomScaleNormal="100" workbookViewId="0">
      <selection activeCell="P43" sqref="P3:P43"/>
    </sheetView>
  </sheetViews>
  <sheetFormatPr baseColWidth="10" defaultRowHeight="15" x14ac:dyDescent="0.25"/>
  <cols>
    <col min="17" max="17" width="11.85546875" bestFit="1" customWidth="1"/>
  </cols>
  <sheetData>
    <row r="1" spans="1:16" x14ac:dyDescent="0.25">
      <c r="L1" t="s">
        <v>218</v>
      </c>
    </row>
    <row r="2" spans="1:16" x14ac:dyDescent="0.25">
      <c r="A2" s="174" t="s">
        <v>184</v>
      </c>
      <c r="B2" s="174" t="s">
        <v>185</v>
      </c>
      <c r="C2" t="s">
        <v>186</v>
      </c>
      <c r="D2" t="s">
        <v>187</v>
      </c>
      <c r="E2" s="174" t="s">
        <v>188</v>
      </c>
      <c r="G2" t="s">
        <v>184</v>
      </c>
      <c r="H2" t="s">
        <v>189</v>
      </c>
      <c r="M2" t="s">
        <v>188</v>
      </c>
    </row>
    <row r="3" spans="1:16" x14ac:dyDescent="0.25">
      <c r="A3" s="133">
        <v>41609</v>
      </c>
      <c r="C3" s="135">
        <v>544.12</v>
      </c>
      <c r="E3" s="138">
        <f>+C3</f>
        <v>544.12</v>
      </c>
      <c r="G3" s="133">
        <v>41699</v>
      </c>
      <c r="H3">
        <f>+AVERAGE($E$118:$E$120)/AVERAGE(E4:E6)</f>
        <v>46.469125421312214</v>
      </c>
      <c r="J3">
        <v>29.541577188732788</v>
      </c>
      <c r="M3" s="173">
        <f t="shared" ref="M3:M42" si="0">+_xlfn.XLOOKUP($G$43,$A:$A,$E:$E)/_xlfn.XLOOKUP(G3,$A:$A,$E:$E)</f>
        <v>114.08843686784942</v>
      </c>
      <c r="N3" s="134"/>
      <c r="P3">
        <v>114.08843686784942</v>
      </c>
    </row>
    <row r="4" spans="1:16" x14ac:dyDescent="0.25">
      <c r="A4" s="133">
        <f>+EDATE(A3,1)</f>
        <v>41640</v>
      </c>
      <c r="C4" s="135">
        <v>561.83000000000004</v>
      </c>
      <c r="D4" s="120">
        <f>+C4/C3-1</f>
        <v>3.2547967360141206E-2</v>
      </c>
      <c r="E4" s="138">
        <f t="shared" ref="E4:E39" si="1">+C4</f>
        <v>561.83000000000004</v>
      </c>
      <c r="G4" s="133">
        <f>+EDATE(G3,3)</f>
        <v>41791</v>
      </c>
      <c r="H4">
        <f>+AVERAGE($E$118:$E$120)/AVERAGE(E7:E9)</f>
        <v>41.207247270905874</v>
      </c>
      <c r="I4" s="134">
        <f>+H4/H3-1</f>
        <v>-0.11323385371899153</v>
      </c>
      <c r="J4">
        <v>27.497746740226049</v>
      </c>
      <c r="K4" s="134">
        <f>+J4/J3-1</f>
        <v>-6.9184879177211278E-2</v>
      </c>
      <c r="M4" s="173">
        <f t="shared" si="0"/>
        <v>104.8121935093716</v>
      </c>
      <c r="N4" s="134"/>
      <c r="P4">
        <v>104.8121935093716</v>
      </c>
    </row>
    <row r="5" spans="1:16" x14ac:dyDescent="0.25">
      <c r="A5" s="133">
        <f>+EDATE(A4,1)</f>
        <v>41671</v>
      </c>
      <c r="C5" s="135">
        <v>585.34</v>
      </c>
      <c r="D5" s="120">
        <f t="shared" ref="D5:D68" si="2">+C5/C4-1</f>
        <v>4.1845398074150442E-2</v>
      </c>
      <c r="E5" s="138">
        <f t="shared" si="1"/>
        <v>585.34</v>
      </c>
      <c r="G5" s="133">
        <f t="shared" ref="G5:G43" si="3">+EDATE(G4,3)</f>
        <v>41883</v>
      </c>
      <c r="H5">
        <f>+AVERAGE($E$118:$E$120)/AVERAGE(E10:E12)</f>
        <v>38.702787690084968</v>
      </c>
      <c r="I5" s="134">
        <f t="shared" ref="I5:I40" si="4">+H5/H4-1</f>
        <v>-6.0777162918843275E-2</v>
      </c>
      <c r="J5">
        <v>25.741624627759919</v>
      </c>
      <c r="K5" s="134">
        <f t="shared" ref="K5:K40" si="5">+J5/J4-1</f>
        <v>-6.3864218732407108E-2</v>
      </c>
      <c r="M5" s="173">
        <f t="shared" si="0"/>
        <v>98.495738155511475</v>
      </c>
      <c r="N5" s="134"/>
      <c r="P5">
        <v>98.495738155511475</v>
      </c>
    </row>
    <row r="6" spans="1:16" x14ac:dyDescent="0.25">
      <c r="A6" s="133">
        <f t="shared" ref="A6:A36" si="6">+EDATE(A5,1)</f>
        <v>41699</v>
      </c>
      <c r="C6" s="135">
        <v>627.32000000000005</v>
      </c>
      <c r="D6" s="120">
        <f t="shared" si="2"/>
        <v>7.1719000922540799E-2</v>
      </c>
      <c r="E6" s="138">
        <f t="shared" si="1"/>
        <v>627.32000000000005</v>
      </c>
      <c r="G6" s="133">
        <f t="shared" si="3"/>
        <v>41974</v>
      </c>
      <c r="H6">
        <f>+AVERAGE($E$118:$E$120)/AVERAGE(E13:E15)</f>
        <v>36.209742571715282</v>
      </c>
      <c r="I6" s="134">
        <f t="shared" si="4"/>
        <v>-6.4415130463802872E-2</v>
      </c>
      <c r="J6">
        <v>24.609303887173208</v>
      </c>
      <c r="K6" s="134">
        <f t="shared" si="5"/>
        <v>-4.3987928382950958E-2</v>
      </c>
      <c r="M6" s="173">
        <f t="shared" si="0"/>
        <v>92.99147421643795</v>
      </c>
      <c r="N6" s="134"/>
      <c r="P6">
        <v>92.99147421643795</v>
      </c>
    </row>
    <row r="7" spans="1:16" x14ac:dyDescent="0.25">
      <c r="A7" s="133">
        <f t="shared" si="6"/>
        <v>41730</v>
      </c>
      <c r="C7" s="135">
        <v>652.39</v>
      </c>
      <c r="D7" s="120">
        <f t="shared" si="2"/>
        <v>3.9963654912962943E-2</v>
      </c>
      <c r="E7" s="138">
        <f t="shared" si="1"/>
        <v>652.39</v>
      </c>
      <c r="G7" s="133">
        <f t="shared" si="3"/>
        <v>42064</v>
      </c>
      <c r="H7">
        <f>+AVERAGE($E$118:$E$120)/AVERAGE(E16:E18)</f>
        <v>34.612607087512416</v>
      </c>
      <c r="I7" s="134">
        <f t="shared" si="4"/>
        <v>-4.4107893919423935E-2</v>
      </c>
      <c r="J7">
        <v>23.267931578378025</v>
      </c>
      <c r="K7" s="134">
        <f t="shared" si="5"/>
        <v>-5.4506714815867996E-2</v>
      </c>
      <c r="M7" s="173">
        <f t="shared" si="0"/>
        <v>88.509860397397134</v>
      </c>
      <c r="N7" s="134"/>
      <c r="P7">
        <v>88.509860397397134</v>
      </c>
    </row>
    <row r="8" spans="1:16" x14ac:dyDescent="0.25">
      <c r="A8" s="133">
        <f t="shared" si="6"/>
        <v>41760</v>
      </c>
      <c r="C8" s="135">
        <v>665.85</v>
      </c>
      <c r="D8" s="120">
        <f t="shared" si="2"/>
        <v>2.063183065344365E-2</v>
      </c>
      <c r="E8" s="138">
        <f t="shared" si="1"/>
        <v>665.85</v>
      </c>
      <c r="G8" s="133">
        <f t="shared" si="3"/>
        <v>42156</v>
      </c>
      <c r="H8">
        <f>+AVERAGE($E$118:$E$120)/AVERAGE(E19:E21)</f>
        <v>32.692375665120835</v>
      </c>
      <c r="I8" s="134">
        <f t="shared" si="4"/>
        <v>-5.5477803724422792E-2</v>
      </c>
      <c r="J8">
        <v>22.093317965256286</v>
      </c>
      <c r="K8" s="134">
        <f t="shared" si="5"/>
        <v>-5.0482081278477753E-2</v>
      </c>
      <c r="M8" s="173">
        <f t="shared" si="0"/>
        <v>83.537547232461776</v>
      </c>
      <c r="N8" s="134"/>
      <c r="P8">
        <v>83.537547232461776</v>
      </c>
    </row>
    <row r="9" spans="1:16" x14ac:dyDescent="0.25">
      <c r="A9" s="133">
        <f t="shared" si="6"/>
        <v>41791</v>
      </c>
      <c r="C9" s="135">
        <v>682.84</v>
      </c>
      <c r="D9" s="120">
        <f t="shared" si="2"/>
        <v>2.551625741533381E-2</v>
      </c>
      <c r="E9" s="138">
        <f t="shared" si="1"/>
        <v>682.84</v>
      </c>
      <c r="G9" s="133">
        <f t="shared" si="3"/>
        <v>42248</v>
      </c>
      <c r="H9">
        <f>+AVERAGE($E$118:$E$120)/AVERAGE(E22:E24)</f>
        <v>31.050518281417791</v>
      </c>
      <c r="I9" s="134">
        <f t="shared" si="4"/>
        <v>-5.0221415553312831E-2</v>
      </c>
      <c r="J9">
        <v>20.881330193908372</v>
      </c>
      <c r="K9" s="134">
        <f t="shared" si="5"/>
        <v>-5.4857662088323433E-2</v>
      </c>
      <c r="M9" s="173">
        <f t="shared" si="0"/>
        <v>79.242186735688691</v>
      </c>
      <c r="N9" s="134"/>
      <c r="P9">
        <v>79.242186735688691</v>
      </c>
    </row>
    <row r="10" spans="1:16" x14ac:dyDescent="0.25">
      <c r="A10" s="133">
        <f t="shared" si="6"/>
        <v>41821</v>
      </c>
      <c r="C10" s="135">
        <v>695.13</v>
      </c>
      <c r="D10" s="120">
        <f t="shared" si="2"/>
        <v>1.7998359791459251E-2</v>
      </c>
      <c r="E10" s="138">
        <f t="shared" si="1"/>
        <v>695.13</v>
      </c>
      <c r="G10" s="133">
        <f t="shared" si="3"/>
        <v>42339</v>
      </c>
      <c r="H10">
        <f>+AVERAGE($E$118:$E$120)/AVERAGE(E25:E27)</f>
        <v>29.15579352697609</v>
      </c>
      <c r="I10" s="134">
        <f t="shared" si="4"/>
        <v>-6.1020712674403232E-2</v>
      </c>
      <c r="J10">
        <v>19.172189011428014</v>
      </c>
      <c r="K10" s="134">
        <f t="shared" si="5"/>
        <v>-8.1850206218134547E-2</v>
      </c>
      <c r="M10" s="173">
        <f t="shared" si="0"/>
        <v>74.168834165083837</v>
      </c>
      <c r="N10" s="134"/>
      <c r="P10">
        <v>74.168834165083837</v>
      </c>
    </row>
    <row r="11" spans="1:16" x14ac:dyDescent="0.25">
      <c r="A11" s="133">
        <f t="shared" si="6"/>
        <v>41852</v>
      </c>
      <c r="C11" s="135">
        <v>708.81</v>
      </c>
      <c r="D11" s="120">
        <f t="shared" si="2"/>
        <v>1.9679772128954331E-2</v>
      </c>
      <c r="E11" s="138">
        <f t="shared" si="1"/>
        <v>708.81</v>
      </c>
      <c r="G11" s="133">
        <f t="shared" si="3"/>
        <v>42430</v>
      </c>
      <c r="H11">
        <f>+AVERAGE($E$118:$E$120)/AVERAGE(E28:E30)</f>
        <v>25.786003705294338</v>
      </c>
      <c r="I11" s="134">
        <f t="shared" si="4"/>
        <v>-0.11557873801527274</v>
      </c>
      <c r="J11">
        <v>17.31764991747065</v>
      </c>
      <c r="K11" s="134">
        <f t="shared" si="5"/>
        <v>-9.6730691151225567E-2</v>
      </c>
      <c r="M11" s="173">
        <f t="shared" si="0"/>
        <v>65.08371516281332</v>
      </c>
      <c r="N11" s="134"/>
      <c r="P11">
        <v>65.08371516281332</v>
      </c>
    </row>
    <row r="12" spans="1:16" x14ac:dyDescent="0.25">
      <c r="A12" s="133">
        <f t="shared" si="6"/>
        <v>41883</v>
      </c>
      <c r="C12" s="136">
        <v>726.63</v>
      </c>
      <c r="D12" s="120">
        <f t="shared" si="2"/>
        <v>2.5140728827189207E-2</v>
      </c>
      <c r="E12" s="138">
        <f t="shared" si="1"/>
        <v>726.63</v>
      </c>
      <c r="G12" s="133">
        <f t="shared" si="3"/>
        <v>42522</v>
      </c>
      <c r="H12">
        <f>+AVERAGE($E$118:$E$120)/AVERAGE(E31:E33)</f>
        <v>23.405372108741311</v>
      </c>
      <c r="I12" s="134">
        <f t="shared" si="4"/>
        <v>-9.2322626792465723E-2</v>
      </c>
      <c r="J12">
        <v>15.357014315529433</v>
      </c>
      <c r="K12" s="134">
        <f t="shared" si="5"/>
        <v>-0.1132160316951123</v>
      </c>
      <c r="M12" s="173">
        <f t="shared" si="0"/>
        <v>58.670632872574977</v>
      </c>
      <c r="N12" s="134"/>
      <c r="P12">
        <v>58.670632872574977</v>
      </c>
    </row>
    <row r="13" spans="1:16" x14ac:dyDescent="0.25">
      <c r="A13" s="133">
        <f t="shared" si="6"/>
        <v>41913</v>
      </c>
      <c r="C13" s="136">
        <v>749.11</v>
      </c>
      <c r="D13" s="120">
        <f t="shared" si="2"/>
        <v>3.093734087499822E-2</v>
      </c>
      <c r="E13" s="138">
        <f t="shared" si="1"/>
        <v>749.11</v>
      </c>
      <c r="G13" s="133">
        <f t="shared" si="3"/>
        <v>42614</v>
      </c>
      <c r="H13">
        <f>+AVERAGE($E$118:$E$120)/AVERAGE(E34:E36)</f>
        <v>21.830200585304368</v>
      </c>
      <c r="I13" s="134">
        <f t="shared" si="4"/>
        <v>-6.7299571915314993E-2</v>
      </c>
      <c r="J13">
        <v>15.308841624632819</v>
      </c>
      <c r="K13" s="134">
        <f t="shared" si="5"/>
        <v>-3.1368526398976027E-3</v>
      </c>
      <c r="M13" s="173">
        <f t="shared" si="0"/>
        <v>56.186181673684494</v>
      </c>
      <c r="N13" s="134"/>
      <c r="P13">
        <v>56.186181673684494</v>
      </c>
    </row>
    <row r="14" spans="1:16" x14ac:dyDescent="0.25">
      <c r="A14" s="133">
        <f t="shared" si="6"/>
        <v>41944</v>
      </c>
      <c r="C14" s="136">
        <v>758.51</v>
      </c>
      <c r="D14" s="120">
        <f t="shared" si="2"/>
        <v>1.2548223892352217E-2</v>
      </c>
      <c r="E14" s="138">
        <f t="shared" si="1"/>
        <v>758.51</v>
      </c>
      <c r="G14" s="133">
        <f t="shared" si="3"/>
        <v>42705</v>
      </c>
      <c r="H14">
        <f>+AVERAGE($E$118:$E$120)/AVERAGE(E37:E39)</f>
        <v>20.844560875872578</v>
      </c>
      <c r="I14" s="134">
        <f t="shared" si="4"/>
        <v>-4.5150281857478824E-2</v>
      </c>
      <c r="J14">
        <v>14.313991251839109</v>
      </c>
      <c r="K14" s="134">
        <f t="shared" si="5"/>
        <v>-6.4985346193204951E-2</v>
      </c>
      <c r="M14" s="173">
        <f t="shared" si="0"/>
        <v>53.449506516660918</v>
      </c>
      <c r="N14" s="134"/>
      <c r="P14">
        <v>53.449506516660918</v>
      </c>
    </row>
    <row r="15" spans="1:16" x14ac:dyDescent="0.25">
      <c r="A15" s="133">
        <f t="shared" si="6"/>
        <v>41974</v>
      </c>
      <c r="C15" s="136">
        <v>769.64</v>
      </c>
      <c r="D15" s="120">
        <f t="shared" si="2"/>
        <v>1.4673504634085344E-2</v>
      </c>
      <c r="E15" s="138">
        <f t="shared" si="1"/>
        <v>769.64</v>
      </c>
      <c r="G15" s="133">
        <f t="shared" si="3"/>
        <v>42795</v>
      </c>
      <c r="H15">
        <f>+AVERAGE($E$118:$E$120)/AVERAGE(E40:E42)</f>
        <v>19.765770470689553</v>
      </c>
      <c r="I15" s="134">
        <f t="shared" si="4"/>
        <v>-5.1754048051533497E-2</v>
      </c>
      <c r="J15">
        <v>13.446086420628284</v>
      </c>
      <c r="K15" s="134">
        <f t="shared" si="5"/>
        <v>-6.0633321338610879E-2</v>
      </c>
      <c r="M15" s="173">
        <f t="shared" si="0"/>
        <v>50.318106869593535</v>
      </c>
      <c r="N15" s="134"/>
      <c r="P15">
        <v>50.318106869593535</v>
      </c>
    </row>
    <row r="16" spans="1:16" x14ac:dyDescent="0.25">
      <c r="A16" s="133">
        <f t="shared" si="6"/>
        <v>42005</v>
      </c>
      <c r="C16" s="136">
        <v>780.99</v>
      </c>
      <c r="D16" s="120">
        <f t="shared" si="2"/>
        <v>1.474715451379871E-2</v>
      </c>
      <c r="E16" s="138">
        <f t="shared" si="1"/>
        <v>780.99</v>
      </c>
      <c r="G16" s="133">
        <f t="shared" si="3"/>
        <v>42887</v>
      </c>
      <c r="H16">
        <f>+AVERAGE($E$118:$E$120)/AVERAGE(E43:E45)</f>
        <v>18.567932882206119</v>
      </c>
      <c r="I16" s="134">
        <f t="shared" si="4"/>
        <v>-6.0601613797938936E-2</v>
      </c>
      <c r="J16">
        <v>12.727396684747387</v>
      </c>
      <c r="K16" s="134">
        <f t="shared" si="5"/>
        <v>-5.3449733505975483E-2</v>
      </c>
      <c r="M16" s="173">
        <f t="shared" si="0"/>
        <v>47.745822819267303</v>
      </c>
      <c r="N16" s="134"/>
      <c r="P16">
        <v>47.745822819267303</v>
      </c>
    </row>
    <row r="17" spans="1:16" x14ac:dyDescent="0.25">
      <c r="A17" s="133">
        <f t="shared" si="6"/>
        <v>42036</v>
      </c>
      <c r="C17" s="136">
        <v>792.74</v>
      </c>
      <c r="D17" s="120">
        <f t="shared" si="2"/>
        <v>1.5045006978322339E-2</v>
      </c>
      <c r="E17" s="138">
        <f t="shared" si="1"/>
        <v>792.74</v>
      </c>
      <c r="G17" s="133">
        <f t="shared" si="3"/>
        <v>42979</v>
      </c>
      <c r="H17">
        <f>+AVERAGE($E$118:$E$120)/AVERAGE(E46:E48)</f>
        <v>17.750531214228261</v>
      </c>
      <c r="I17" s="134">
        <f t="shared" si="4"/>
        <v>-4.4022222245384324E-2</v>
      </c>
      <c r="J17">
        <v>12.057536986645186</v>
      </c>
      <c r="K17" s="134">
        <f t="shared" si="5"/>
        <v>-5.2631320818731564E-2</v>
      </c>
      <c r="M17" s="173">
        <f t="shared" si="0"/>
        <v>45.436230089857652</v>
      </c>
      <c r="N17" s="134"/>
      <c r="P17">
        <v>45.436230089857652</v>
      </c>
    </row>
    <row r="18" spans="1:16" x14ac:dyDescent="0.25">
      <c r="A18" s="133">
        <f t="shared" si="6"/>
        <v>42064</v>
      </c>
      <c r="C18" s="136">
        <v>808.61</v>
      </c>
      <c r="D18" s="120">
        <f t="shared" si="2"/>
        <v>2.0019174004087148E-2</v>
      </c>
      <c r="E18" s="138">
        <f t="shared" si="1"/>
        <v>808.61</v>
      </c>
      <c r="G18" s="133">
        <f t="shared" si="3"/>
        <v>43070</v>
      </c>
      <c r="H18">
        <f>+AVERAGE($E$118:$E$120)/AVERAGE(E49:E51)</f>
        <v>16.857860301662608</v>
      </c>
      <c r="I18" s="134">
        <f t="shared" si="4"/>
        <v>-5.0289813966249985E-2</v>
      </c>
      <c r="J18">
        <v>11.485513799432496</v>
      </c>
      <c r="K18" s="134">
        <f t="shared" si="5"/>
        <v>-4.7441130626118544E-2</v>
      </c>
      <c r="M18" s="173">
        <f t="shared" si="0"/>
        <v>42.819306344751908</v>
      </c>
      <c r="N18" s="134"/>
      <c r="P18">
        <v>42.819306344751908</v>
      </c>
    </row>
    <row r="19" spans="1:16" x14ac:dyDescent="0.25">
      <c r="A19" s="133">
        <f t="shared" si="6"/>
        <v>42095</v>
      </c>
      <c r="C19" s="136">
        <v>825.24</v>
      </c>
      <c r="D19" s="120">
        <f t="shared" si="2"/>
        <v>2.0566156738106134E-2</v>
      </c>
      <c r="E19" s="138">
        <f t="shared" si="1"/>
        <v>825.24</v>
      </c>
      <c r="G19" s="133">
        <f>+EDATE(G18,3)</f>
        <v>43160</v>
      </c>
      <c r="H19">
        <f>+AVERAGE($E$118:$E$120)/AVERAGE(E52:E54)</f>
        <v>15.777611897306077</v>
      </c>
      <c r="I19" s="134">
        <f t="shared" si="4"/>
        <v>-6.4079805208137386E-2</v>
      </c>
      <c r="J19">
        <v>10.554406787053709</v>
      </c>
      <c r="K19" s="134">
        <f t="shared" si="5"/>
        <v>-8.1067945991653678E-2</v>
      </c>
      <c r="M19" s="173">
        <f t="shared" si="0"/>
        <v>40.152839170874202</v>
      </c>
      <c r="N19" s="134"/>
      <c r="P19">
        <v>40.152839170874202</v>
      </c>
    </row>
    <row r="20" spans="1:16" x14ac:dyDescent="0.25">
      <c r="A20" s="133">
        <f t="shared" si="6"/>
        <v>42125</v>
      </c>
      <c r="C20" s="136">
        <v>840.29</v>
      </c>
      <c r="D20" s="120">
        <f t="shared" si="2"/>
        <v>1.8237118898744464E-2</v>
      </c>
      <c r="E20" s="138">
        <f t="shared" si="1"/>
        <v>840.29</v>
      </c>
      <c r="G20" s="133">
        <f t="shared" si="3"/>
        <v>43252</v>
      </c>
      <c r="H20">
        <f>+AVERAGE($E$118:$E$120)/AVERAGE(E55:E57)</f>
        <v>14.626278406033149</v>
      </c>
      <c r="I20" s="134">
        <f t="shared" si="4"/>
        <v>-7.2972608197411026E-2</v>
      </c>
      <c r="J20">
        <v>9.5689306435149799</v>
      </c>
      <c r="K20" s="134">
        <f t="shared" si="5"/>
        <v>-9.3371059446707982E-2</v>
      </c>
      <c r="M20" s="173">
        <f t="shared" si="0"/>
        <v>36.926769643225612</v>
      </c>
      <c r="N20" s="134"/>
      <c r="P20">
        <v>36.926769643225612</v>
      </c>
    </row>
    <row r="21" spans="1:16" x14ac:dyDescent="0.25">
      <c r="A21" s="133">
        <f t="shared" si="6"/>
        <v>42156</v>
      </c>
      <c r="C21" s="136">
        <v>856.74</v>
      </c>
      <c r="D21" s="120">
        <f t="shared" si="2"/>
        <v>1.9576574753954024E-2</v>
      </c>
      <c r="E21" s="138">
        <f t="shared" si="1"/>
        <v>856.74</v>
      </c>
      <c r="G21" s="133">
        <f t="shared" si="3"/>
        <v>43344</v>
      </c>
      <c r="H21">
        <f>+AVERAGE($E$118:$E$120)/AVERAGE(E58:E60)</f>
        <v>13.118839580620737</v>
      </c>
      <c r="I21" s="134">
        <f t="shared" si="4"/>
        <v>-0.10306373115327916</v>
      </c>
      <c r="J21">
        <v>8.3727761850591236</v>
      </c>
      <c r="K21" s="134">
        <f t="shared" si="5"/>
        <v>-0.12500398456399198</v>
      </c>
      <c r="M21" s="173">
        <f t="shared" si="0"/>
        <v>32.368121570280863</v>
      </c>
      <c r="N21" s="134"/>
      <c r="P21">
        <v>32.368121570280863</v>
      </c>
    </row>
    <row r="22" spans="1:16" x14ac:dyDescent="0.25">
      <c r="A22" s="133">
        <f t="shared" si="6"/>
        <v>42186</v>
      </c>
      <c r="C22" s="136">
        <v>866.25</v>
      </c>
      <c r="D22" s="120">
        <f t="shared" si="2"/>
        <v>1.1100217102038012E-2</v>
      </c>
      <c r="E22" s="138">
        <f t="shared" si="1"/>
        <v>866.25</v>
      </c>
      <c r="G22" s="133">
        <f t="shared" si="3"/>
        <v>43435</v>
      </c>
      <c r="H22">
        <f>+AVERAGE($E$118:$E$120)/AVERAGE(E61:E63)</f>
        <v>11.447450577827684</v>
      </c>
      <c r="I22" s="134">
        <f t="shared" si="4"/>
        <v>-0.12740372290717261</v>
      </c>
      <c r="J22">
        <v>7.471963674237208</v>
      </c>
      <c r="K22" s="134">
        <f t="shared" si="5"/>
        <v>-0.10758827071352728</v>
      </c>
      <c r="M22" s="173">
        <f t="shared" si="0"/>
        <v>29.003461135645011</v>
      </c>
      <c r="N22" s="134"/>
      <c r="P22">
        <v>29.003461135645011</v>
      </c>
    </row>
    <row r="23" spans="1:16" x14ac:dyDescent="0.25">
      <c r="A23" s="133">
        <f t="shared" si="6"/>
        <v>42217</v>
      </c>
      <c r="C23" s="136">
        <v>886.21</v>
      </c>
      <c r="D23" s="120">
        <f t="shared" si="2"/>
        <v>2.3041847041846975E-2</v>
      </c>
      <c r="E23" s="138">
        <f t="shared" si="1"/>
        <v>886.21</v>
      </c>
      <c r="G23" s="133">
        <f t="shared" si="3"/>
        <v>43525</v>
      </c>
      <c r="H23">
        <f>+AVERAGE($E$118:$E$120)/AVERAGE(E64:E66)</f>
        <v>10.392534242642332</v>
      </c>
      <c r="I23" s="134">
        <f t="shared" si="4"/>
        <v>-9.2152949515990623E-2</v>
      </c>
      <c r="J23">
        <v>6.7301633734570832</v>
      </c>
      <c r="K23" s="134">
        <f t="shared" si="5"/>
        <v>-9.927782482907388E-2</v>
      </c>
      <c r="M23" s="173">
        <f t="shared" si="0"/>
        <v>25.935248745917928</v>
      </c>
      <c r="N23" s="134"/>
      <c r="P23">
        <v>25.935248745917928</v>
      </c>
    </row>
    <row r="24" spans="1:16" x14ac:dyDescent="0.25">
      <c r="A24" s="133">
        <f t="shared" si="6"/>
        <v>42248</v>
      </c>
      <c r="C24" s="136">
        <v>903.18</v>
      </c>
      <c r="D24" s="120">
        <f t="shared" si="2"/>
        <v>1.9148960178738683E-2</v>
      </c>
      <c r="E24" s="138">
        <f t="shared" si="1"/>
        <v>903.18</v>
      </c>
      <c r="G24" s="133">
        <f t="shared" si="3"/>
        <v>43617</v>
      </c>
      <c r="H24">
        <f>+AVERAGE($E$118:$E$120)/AVERAGE(E67:E69)</f>
        <v>9.3527989972173771</v>
      </c>
      <c r="I24" s="134">
        <f t="shared" si="4"/>
        <v>-0.10004636223941843</v>
      </c>
      <c r="J24">
        <v>6.1370062640075211</v>
      </c>
      <c r="K24" s="134">
        <f t="shared" si="5"/>
        <v>-8.8134132343487992E-2</v>
      </c>
      <c r="M24" s="173">
        <f t="shared" si="0"/>
        <v>23.688675023318332</v>
      </c>
      <c r="N24" s="134"/>
      <c r="P24">
        <v>23.688675023318332</v>
      </c>
    </row>
    <row r="25" spans="1:16" x14ac:dyDescent="0.25">
      <c r="A25" s="133">
        <f t="shared" si="6"/>
        <v>42278</v>
      </c>
      <c r="C25" s="136">
        <v>925.23</v>
      </c>
      <c r="D25" s="120">
        <f t="shared" si="2"/>
        <v>2.4413738125290685E-2</v>
      </c>
      <c r="E25" s="138">
        <f t="shared" si="1"/>
        <v>925.23</v>
      </c>
      <c r="G25" s="133">
        <f t="shared" si="3"/>
        <v>43709</v>
      </c>
      <c r="H25">
        <f>+AVERAGE($E$118:$E$120)/AVERAGE(E70:E72)</f>
        <v>8.5011847851415858</v>
      </c>
      <c r="I25" s="134">
        <f t="shared" si="4"/>
        <v>-9.1054476026819486E-2</v>
      </c>
      <c r="J25">
        <v>5.4471201512400098</v>
      </c>
      <c r="K25" s="134">
        <f t="shared" si="5"/>
        <v>-0.1124141125313125</v>
      </c>
      <c r="M25" s="173">
        <f t="shared" si="0"/>
        <v>21.045564288029809</v>
      </c>
      <c r="N25" s="134"/>
      <c r="P25">
        <v>21.045564288029809</v>
      </c>
    </row>
    <row r="26" spans="1:16" x14ac:dyDescent="0.25">
      <c r="A26" s="133">
        <f t="shared" si="6"/>
        <v>42309</v>
      </c>
      <c r="C26" s="136">
        <v>938.03</v>
      </c>
      <c r="D26" s="120">
        <f t="shared" si="2"/>
        <v>1.3834397933486731E-2</v>
      </c>
      <c r="E26" s="138">
        <f t="shared" si="1"/>
        <v>938.03</v>
      </c>
      <c r="G26" s="133">
        <f t="shared" si="3"/>
        <v>43800</v>
      </c>
      <c r="H26">
        <f>+AVERAGE($E$118:$E$120)/AVERAGE(E73:E75)</f>
        <v>7.5123249836668791</v>
      </c>
      <c r="I26" s="134">
        <f t="shared" si="4"/>
        <v>-0.11632023376353862</v>
      </c>
      <c r="J26">
        <v>4.8584125061970376</v>
      </c>
      <c r="K26" s="134">
        <f t="shared" si="5"/>
        <v>-0.10807686056070487</v>
      </c>
      <c r="M26" s="173">
        <f t="shared" si="0"/>
        <v>18.836368953377281</v>
      </c>
      <c r="N26" s="134"/>
      <c r="P26">
        <v>18.836368953377281</v>
      </c>
    </row>
    <row r="27" spans="1:16" x14ac:dyDescent="0.25">
      <c r="A27" s="133">
        <f>+EDATE(A26,1)</f>
        <v>42339</v>
      </c>
      <c r="C27" s="136">
        <v>964.96</v>
      </c>
      <c r="D27" s="120">
        <f t="shared" si="2"/>
        <v>2.870910312036945E-2</v>
      </c>
      <c r="E27" s="138">
        <f t="shared" si="1"/>
        <v>964.96</v>
      </c>
      <c r="G27" s="133">
        <f t="shared" si="3"/>
        <v>43891</v>
      </c>
      <c r="H27">
        <f>+AVERAGE($E$118:$E$120)/AVERAGE(E76:E78)</f>
        <v>6.9019692633489749</v>
      </c>
      <c r="I27" s="134">
        <f t="shared" si="4"/>
        <v>-8.1247246577447751E-2</v>
      </c>
      <c r="J27">
        <v>4.4871206410969489</v>
      </c>
      <c r="K27" s="134">
        <f t="shared" si="5"/>
        <v>-7.6422466109350662E-2</v>
      </c>
      <c r="M27" s="173">
        <f t="shared" si="0"/>
        <v>17.475156005923775</v>
      </c>
      <c r="N27" s="134"/>
      <c r="P27">
        <v>17.475156005923775</v>
      </c>
    </row>
    <row r="28" spans="1:16" x14ac:dyDescent="0.25">
      <c r="A28" s="133">
        <f t="shared" si="6"/>
        <v>42370</v>
      </c>
      <c r="C28" s="136">
        <v>1027.54</v>
      </c>
      <c r="D28" s="120">
        <f t="shared" si="2"/>
        <v>6.4852429116232679E-2</v>
      </c>
      <c r="E28" s="138">
        <f t="shared" si="1"/>
        <v>1027.54</v>
      </c>
      <c r="G28" s="133">
        <f t="shared" si="3"/>
        <v>43983</v>
      </c>
      <c r="H28">
        <f>+AVERAGE($E$118:$E$120)/AVERAGE(E79:E81)</f>
        <v>6.4987648903078989</v>
      </c>
      <c r="I28" s="134">
        <f t="shared" si="4"/>
        <v>-5.8418743644974347E-2</v>
      </c>
      <c r="J28">
        <v>4.295881608164879</v>
      </c>
      <c r="K28" s="134">
        <f t="shared" si="5"/>
        <v>-4.2619543406196114E-2</v>
      </c>
      <c r="M28" s="173">
        <f t="shared" si="0"/>
        <v>16.597324350872356</v>
      </c>
      <c r="N28" s="134"/>
      <c r="P28">
        <v>16.597324350872356</v>
      </c>
    </row>
    <row r="29" spans="1:16" x14ac:dyDescent="0.25">
      <c r="A29" s="133">
        <f t="shared" si="6"/>
        <v>42401</v>
      </c>
      <c r="C29" s="136">
        <v>1070.6199999999999</v>
      </c>
      <c r="D29" s="120">
        <f t="shared" si="2"/>
        <v>4.1925375167876533E-2</v>
      </c>
      <c r="E29" s="138">
        <f t="shared" si="1"/>
        <v>1070.6199999999999</v>
      </c>
      <c r="G29" s="133">
        <f t="shared" si="3"/>
        <v>44075</v>
      </c>
      <c r="H29">
        <f>+AVERAGE($E$118:$E$120)/AVERAGE(E82:E84)</f>
        <v>6.087402761250587</v>
      </c>
      <c r="I29" s="134">
        <f t="shared" si="4"/>
        <v>-6.3298509178383644E-2</v>
      </c>
      <c r="J29">
        <v>3.9922132064905664</v>
      </c>
      <c r="K29" s="134">
        <f t="shared" si="5"/>
        <v>-7.0688261309890699E-2</v>
      </c>
      <c r="M29" s="173">
        <f t="shared" si="0"/>
        <v>15.427669938791055</v>
      </c>
      <c r="N29" s="134"/>
      <c r="P29">
        <v>15.427669938791055</v>
      </c>
    </row>
    <row r="30" spans="1:16" x14ac:dyDescent="0.25">
      <c r="A30" s="133">
        <f t="shared" si="6"/>
        <v>42430</v>
      </c>
      <c r="C30" s="136">
        <v>1099.6600000000001</v>
      </c>
      <c r="D30" s="120">
        <f t="shared" si="2"/>
        <v>2.7124469933309747E-2</v>
      </c>
      <c r="E30" s="138">
        <f t="shared" si="1"/>
        <v>1099.6600000000001</v>
      </c>
      <c r="G30" s="133">
        <f t="shared" si="3"/>
        <v>44166</v>
      </c>
      <c r="H30">
        <f>+AVERAGE($E$118:$E$120)/AVERAGE(E85:E87)</f>
        <v>5.514542786676115</v>
      </c>
      <c r="I30" s="134">
        <f t="shared" si="4"/>
        <v>-9.4105811138539552E-2</v>
      </c>
      <c r="J30">
        <v>3.5717171558502021</v>
      </c>
      <c r="K30" s="134">
        <f t="shared" si="5"/>
        <v>-0.10532905656359215</v>
      </c>
      <c r="M30" s="173">
        <f t="shared" si="0"/>
        <v>13.848092278371794</v>
      </c>
      <c r="N30" s="134"/>
      <c r="P30">
        <v>13.848092278371794</v>
      </c>
    </row>
    <row r="31" spans="1:16" x14ac:dyDescent="0.25">
      <c r="A31" s="133">
        <f t="shared" si="6"/>
        <v>42461</v>
      </c>
      <c r="C31" s="136">
        <v>1132.3900000000001</v>
      </c>
      <c r="D31" s="120">
        <f t="shared" si="2"/>
        <v>2.9763745157594279E-2</v>
      </c>
      <c r="E31" s="138">
        <f t="shared" si="1"/>
        <v>1132.3900000000001</v>
      </c>
      <c r="G31" s="133">
        <f t="shared" si="3"/>
        <v>44256</v>
      </c>
      <c r="H31">
        <f>+AVERAGE($E$118:$E$120)/AVERAGE(E88:E90)</f>
        <v>4.9143812036110299</v>
      </c>
      <c r="I31" s="134">
        <f t="shared" si="4"/>
        <v>-0.10883251908302483</v>
      </c>
      <c r="J31">
        <v>3.1907893654843473</v>
      </c>
      <c r="K31" s="134">
        <f t="shared" si="5"/>
        <v>-0.10665116350042558</v>
      </c>
      <c r="M31" s="173">
        <f t="shared" si="0"/>
        <v>12.264096849844769</v>
      </c>
      <c r="N31" s="134"/>
      <c r="P31">
        <v>12.264096849844769</v>
      </c>
    </row>
    <row r="32" spans="1:16" x14ac:dyDescent="0.25">
      <c r="A32" s="133">
        <f t="shared" si="6"/>
        <v>42491</v>
      </c>
      <c r="C32" s="136">
        <v>1170.83</v>
      </c>
      <c r="D32" s="120">
        <f t="shared" si="2"/>
        <v>3.3945902030219077E-2</v>
      </c>
      <c r="E32" s="138">
        <f t="shared" si="1"/>
        <v>1170.83</v>
      </c>
      <c r="G32" s="133">
        <f t="shared" si="3"/>
        <v>44348</v>
      </c>
      <c r="H32">
        <f>+AVERAGE($E$118:$E$120)/AVERAGE(E97:E99)</f>
        <v>3.644680358929576</v>
      </c>
      <c r="I32" s="134">
        <f t="shared" si="4"/>
        <v>-0.25836433766035338</v>
      </c>
      <c r="J32">
        <v>2.8304158515162743</v>
      </c>
      <c r="K32" s="134">
        <f t="shared" si="5"/>
        <v>-0.11294180614563065</v>
      </c>
      <c r="M32" s="173">
        <f t="shared" si="0"/>
        <v>11.051082553339571</v>
      </c>
      <c r="N32" s="134"/>
      <c r="P32">
        <v>11.051082553339571</v>
      </c>
    </row>
    <row r="33" spans="1:16" x14ac:dyDescent="0.25">
      <c r="A33" s="133">
        <f t="shared" si="6"/>
        <v>42522</v>
      </c>
      <c r="C33" s="136">
        <v>1219.8599999999999</v>
      </c>
      <c r="D33" s="120">
        <f t="shared" si="2"/>
        <v>4.1876275804343832E-2</v>
      </c>
      <c r="E33" s="138">
        <f t="shared" si="1"/>
        <v>1219.8599999999999</v>
      </c>
      <c r="G33" s="133">
        <f t="shared" si="3"/>
        <v>44440</v>
      </c>
      <c r="H33">
        <f>+AVERAGE($E$118:$E$120)/AVERAGE(E91:E93)</f>
        <v>4.379885017822577</v>
      </c>
      <c r="I33" s="134">
        <f t="shared" si="4"/>
        <v>0.20171992780978099</v>
      </c>
      <c r="J33">
        <v>2.5866618518668654</v>
      </c>
      <c r="K33" s="134">
        <f t="shared" si="5"/>
        <v>-8.6119500609363908E-2</v>
      </c>
      <c r="M33" s="173">
        <f t="shared" si="0"/>
        <v>10.113544350150208</v>
      </c>
      <c r="N33" s="134"/>
      <c r="P33">
        <v>10.113544350150208</v>
      </c>
    </row>
    <row r="34" spans="1:16" x14ac:dyDescent="0.25">
      <c r="A34" s="133">
        <f t="shared" si="6"/>
        <v>42552</v>
      </c>
      <c r="C34" s="136">
        <v>1237.74</v>
      </c>
      <c r="D34" s="120">
        <f t="shared" si="2"/>
        <v>1.4657419703900443E-2</v>
      </c>
      <c r="E34" s="138">
        <f t="shared" si="1"/>
        <v>1237.74</v>
      </c>
      <c r="G34" s="133">
        <f t="shared" si="3"/>
        <v>44531</v>
      </c>
      <c r="H34">
        <f>+AVERAGE($E$118:$E$120)/AVERAGE(E97:E99)</f>
        <v>3.644680358929576</v>
      </c>
      <c r="I34" s="134">
        <f t="shared" si="4"/>
        <v>-0.16785935153578568</v>
      </c>
      <c r="J34">
        <v>2.3522072803942478</v>
      </c>
      <c r="K34" s="134">
        <f t="shared" si="5"/>
        <v>-9.0639822636037759E-2</v>
      </c>
      <c r="M34" s="173">
        <f t="shared" si="0"/>
        <v>9.184210193080256</v>
      </c>
      <c r="N34" s="134"/>
      <c r="P34">
        <v>9.184210193080256</v>
      </c>
    </row>
    <row r="35" spans="1:16" x14ac:dyDescent="0.25">
      <c r="A35" s="133">
        <f>+EDATE(A34,1)</f>
        <v>42583</v>
      </c>
      <c r="C35" s="136">
        <v>1265.75</v>
      </c>
      <c r="D35" s="120">
        <f t="shared" si="2"/>
        <v>2.2629954594664436E-2</v>
      </c>
      <c r="E35" s="138">
        <f t="shared" si="1"/>
        <v>1265.75</v>
      </c>
      <c r="G35" s="133">
        <f t="shared" si="3"/>
        <v>44621</v>
      </c>
      <c r="H35">
        <f>+AVERAGE($E$118:$E$120)/AVERAGE(E100:E102)</f>
        <v>3.2186713345933176</v>
      </c>
      <c r="I35" s="134">
        <f t="shared" si="4"/>
        <v>-0.11688515380848796</v>
      </c>
      <c r="J35">
        <v>2.0250379699214869</v>
      </c>
      <c r="K35" s="134">
        <f t="shared" si="5"/>
        <v>-0.13909034003921827</v>
      </c>
      <c r="M35" s="173">
        <f t="shared" si="0"/>
        <v>7.9125262885108407</v>
      </c>
      <c r="N35" s="134"/>
      <c r="P35">
        <v>7.9125262885108407</v>
      </c>
    </row>
    <row r="36" spans="1:16" x14ac:dyDescent="0.25">
      <c r="A36" s="133">
        <f t="shared" si="6"/>
        <v>42614</v>
      </c>
      <c r="C36" s="137">
        <v>1273.8</v>
      </c>
      <c r="D36" s="120">
        <f t="shared" si="2"/>
        <v>6.3598656922772001E-3</v>
      </c>
      <c r="E36" s="138">
        <f t="shared" si="1"/>
        <v>1273.8</v>
      </c>
      <c r="G36" s="133">
        <f t="shared" si="3"/>
        <v>44713</v>
      </c>
      <c r="H36">
        <f>+AVERAGE($E$118:$E$120)/AVERAGE(E103:E105)</f>
        <v>2.7236124604270633</v>
      </c>
      <c r="I36" s="134">
        <f t="shared" si="4"/>
        <v>-0.15380845780850916</v>
      </c>
      <c r="J36">
        <v>1.7020229637441926</v>
      </c>
      <c r="K36" s="134">
        <f t="shared" si="5"/>
        <v>-0.1595105923815433</v>
      </c>
      <c r="M36" s="173">
        <f t="shared" si="0"/>
        <v>6.7449419058151632</v>
      </c>
      <c r="N36" s="134"/>
      <c r="P36">
        <v>6.7449419058151632</v>
      </c>
    </row>
    <row r="37" spans="1:16" x14ac:dyDescent="0.25">
      <c r="A37" s="133">
        <f>+EDATE(A36,1)</f>
        <v>42644</v>
      </c>
      <c r="C37" s="137">
        <v>1295.28</v>
      </c>
      <c r="D37" s="120">
        <f t="shared" si="2"/>
        <v>1.6862929816297667E-2</v>
      </c>
      <c r="E37" s="138">
        <f t="shared" si="1"/>
        <v>1295.28</v>
      </c>
      <c r="G37" s="133">
        <f t="shared" si="3"/>
        <v>44805</v>
      </c>
      <c r="H37">
        <f>+AVERAGE($E$118:$E$120)/AVERAGE(E106:E108)</f>
        <v>2.256688680643772</v>
      </c>
      <c r="I37" s="134">
        <f t="shared" si="4"/>
        <v>-0.17143546909389507</v>
      </c>
      <c r="J37">
        <v>1.3964264161959772</v>
      </c>
      <c r="K37" s="134">
        <f t="shared" si="5"/>
        <v>-0.1795490155291144</v>
      </c>
      <c r="M37" s="173">
        <f t="shared" si="0"/>
        <v>5.5266967775623801</v>
      </c>
      <c r="N37" s="134"/>
      <c r="P37">
        <v>5.5266967775623801</v>
      </c>
    </row>
    <row r="38" spans="1:16" x14ac:dyDescent="0.25">
      <c r="A38" s="133">
        <f t="shared" ref="A38:A44" si="7">+EDATE(A37,1)</f>
        <v>42675</v>
      </c>
      <c r="C38" s="137">
        <v>1321.6</v>
      </c>
      <c r="D38" s="120">
        <f t="shared" si="2"/>
        <v>2.0319930825767329E-2</v>
      </c>
      <c r="E38" s="138">
        <f t="shared" si="1"/>
        <v>1321.6</v>
      </c>
      <c r="G38" s="133">
        <f t="shared" si="3"/>
        <v>44896</v>
      </c>
      <c r="H38">
        <f>+AVERAGE($E$118:$E$120)/AVERAGE(E109:E111)</f>
        <v>1.9007390223854843</v>
      </c>
      <c r="I38" s="134">
        <f t="shared" si="4"/>
        <v>-0.15773095390222147</v>
      </c>
      <c r="J38">
        <v>1.19454868112954</v>
      </c>
      <c r="K38" s="134">
        <f t="shared" si="5"/>
        <v>-0.1445673991303994</v>
      </c>
      <c r="M38" s="173">
        <f t="shared" si="0"/>
        <v>4.7157868697830967</v>
      </c>
      <c r="N38" s="134"/>
      <c r="P38">
        <v>4.7157868697830967</v>
      </c>
    </row>
    <row r="39" spans="1:16" x14ac:dyDescent="0.25">
      <c r="A39" s="133">
        <f t="shared" si="7"/>
        <v>42705</v>
      </c>
      <c r="C39" s="137">
        <v>1339.02</v>
      </c>
      <c r="D39" s="120">
        <f t="shared" si="2"/>
        <v>1.3180992736077535E-2</v>
      </c>
      <c r="E39" s="138">
        <f t="shared" si="1"/>
        <v>1339.02</v>
      </c>
      <c r="G39" s="133">
        <f t="shared" si="3"/>
        <v>44986</v>
      </c>
      <c r="H39">
        <f>+AVERAGE($E$118:$E$120)/AVERAGE(E112:E114)</f>
        <v>1.5947721487079378</v>
      </c>
      <c r="I39" s="134">
        <f t="shared" si="4"/>
        <v>-0.16097258491255095</v>
      </c>
      <c r="J39">
        <v>1</v>
      </c>
      <c r="K39" s="134">
        <f t="shared" si="5"/>
        <v>-0.16286375281548082</v>
      </c>
      <c r="M39" s="173">
        <f t="shared" si="0"/>
        <v>3.8750329136169919</v>
      </c>
      <c r="N39" s="134"/>
      <c r="P39">
        <v>3.8750329136169919</v>
      </c>
    </row>
    <row r="40" spans="1:16" x14ac:dyDescent="0.25">
      <c r="A40" s="133">
        <f t="shared" si="7"/>
        <v>42736</v>
      </c>
      <c r="B40" s="120">
        <v>1.6E-2</v>
      </c>
      <c r="C40" s="137">
        <v>1350.48</v>
      </c>
      <c r="D40" s="120">
        <f t="shared" si="2"/>
        <v>8.5584980060045002E-3</v>
      </c>
      <c r="E40" s="138">
        <f>+E39*(1+B40)</f>
        <v>1360.4443200000001</v>
      </c>
      <c r="G40" s="133">
        <f t="shared" si="3"/>
        <v>45078</v>
      </c>
      <c r="H40">
        <f>+AVERAGE($E$118:$E$120)/AVERAGE(E115:E117)</f>
        <v>1.2788094253053146</v>
      </c>
      <c r="I40" s="134">
        <f t="shared" si="4"/>
        <v>-0.19812405405914058</v>
      </c>
      <c r="K40" s="134">
        <f t="shared" si="5"/>
        <v>-1</v>
      </c>
      <c r="M40" s="173">
        <f t="shared" si="0"/>
        <v>3.1283943101723821</v>
      </c>
      <c r="N40" s="134"/>
      <c r="P40">
        <v>3.1283943101723821</v>
      </c>
    </row>
    <row r="41" spans="1:16" x14ac:dyDescent="0.25">
      <c r="A41" s="133">
        <f t="shared" si="7"/>
        <v>42767</v>
      </c>
      <c r="B41" s="120">
        <v>2.1000000000000001E-2</v>
      </c>
      <c r="C41" s="137">
        <v>1366.86</v>
      </c>
      <c r="D41" s="120">
        <f t="shared" si="2"/>
        <v>1.2129020792607026E-2</v>
      </c>
      <c r="E41" s="138">
        <f t="shared" ref="E41:E104" si="8">+E40*(1+B41)</f>
        <v>1389.01365072</v>
      </c>
      <c r="G41" s="133">
        <f t="shared" si="3"/>
        <v>45170</v>
      </c>
      <c r="H41">
        <f>+AVERAGE($E$118:$E$120)/AVERAGE(E118:E120)</f>
        <v>1</v>
      </c>
      <c r="I41" s="134">
        <f t="shared" ref="I41" si="9">+H41/H40-1</f>
        <v>-0.21802265434409751</v>
      </c>
      <c r="K41" s="134" t="e">
        <f t="shared" ref="K41" si="10">+J41/J40-1</f>
        <v>#DIV/0!</v>
      </c>
      <c r="M41" s="173">
        <f t="shared" si="0"/>
        <v>2.3232609649141343</v>
      </c>
      <c r="N41" s="134"/>
      <c r="P41">
        <v>2.3232609649141343</v>
      </c>
    </row>
    <row r="42" spans="1:16" x14ac:dyDescent="0.25">
      <c r="A42" s="133">
        <f t="shared" si="7"/>
        <v>42795</v>
      </c>
      <c r="B42" s="120">
        <v>2.4E-2</v>
      </c>
      <c r="C42" s="137">
        <v>1390.12</v>
      </c>
      <c r="D42" s="120">
        <f t="shared" si="2"/>
        <v>1.7017104897355972E-2</v>
      </c>
      <c r="E42" s="138">
        <f t="shared" si="8"/>
        <v>1422.3499783372799</v>
      </c>
      <c r="G42" s="133">
        <f t="shared" si="3"/>
        <v>45261</v>
      </c>
      <c r="M42" s="173">
        <f t="shared" si="0"/>
        <v>1.5153631200000002</v>
      </c>
      <c r="N42" s="134"/>
      <c r="P42">
        <v>1.5153631200000002</v>
      </c>
    </row>
    <row r="43" spans="1:16" x14ac:dyDescent="0.25">
      <c r="A43" s="133">
        <f t="shared" si="7"/>
        <v>42826</v>
      </c>
      <c r="B43" s="120">
        <v>2.7000000000000003E-2</v>
      </c>
      <c r="C43" s="137">
        <v>1433.32</v>
      </c>
      <c r="D43" s="120">
        <f t="shared" si="2"/>
        <v>3.1076453831323958E-2</v>
      </c>
      <c r="E43" s="138">
        <f t="shared" si="8"/>
        <v>1460.7534277523864</v>
      </c>
      <c r="G43" s="133">
        <f t="shared" si="3"/>
        <v>45352</v>
      </c>
      <c r="M43" s="173">
        <f>+_xlfn.XLOOKUP($G$43,$A:$A,$E:$E)/_xlfn.XLOOKUP(G43,$A:$A,$E:$E)</f>
        <v>1</v>
      </c>
      <c r="P43">
        <v>1</v>
      </c>
    </row>
    <row r="44" spans="1:16" x14ac:dyDescent="0.25">
      <c r="A44" s="133">
        <f t="shared" si="7"/>
        <v>42856</v>
      </c>
      <c r="B44" s="120">
        <v>1.3999999999999999E-2</v>
      </c>
      <c r="C44" s="137">
        <v>1467.76</v>
      </c>
      <c r="D44" s="120">
        <f t="shared" si="2"/>
        <v>2.4028130494237132E-2</v>
      </c>
      <c r="E44" s="138">
        <f t="shared" si="8"/>
        <v>1481.2039757409198</v>
      </c>
    </row>
    <row r="45" spans="1:16" x14ac:dyDescent="0.25">
      <c r="A45" s="133">
        <f t="shared" ref="A45:A105" si="11">+EDATE(A44,1)</f>
        <v>42887</v>
      </c>
      <c r="B45" s="120">
        <v>1.2E-2</v>
      </c>
      <c r="C45" s="137">
        <v>1492.43</v>
      </c>
      <c r="D45" s="120">
        <f t="shared" si="2"/>
        <v>1.6807925001362634E-2</v>
      </c>
      <c r="E45" s="138">
        <f t="shared" si="8"/>
        <v>1498.9784234498109</v>
      </c>
    </row>
    <row r="46" spans="1:16" x14ac:dyDescent="0.25">
      <c r="A46" s="133">
        <f t="shared" si="11"/>
        <v>42917</v>
      </c>
      <c r="B46" s="120">
        <v>1.7000000000000001E-2</v>
      </c>
      <c r="C46" s="137">
        <v>1507.73</v>
      </c>
      <c r="D46" s="120">
        <f t="shared" si="2"/>
        <v>1.0251737099897351E-2</v>
      </c>
      <c r="E46" s="138">
        <f t="shared" si="8"/>
        <v>1524.4610566484575</v>
      </c>
    </row>
    <row r="47" spans="1:16" x14ac:dyDescent="0.25">
      <c r="A47" s="133">
        <f t="shared" si="11"/>
        <v>42948</v>
      </c>
      <c r="B47" s="120">
        <v>1.3999999999999999E-2</v>
      </c>
      <c r="C47" s="137">
        <v>1530.15</v>
      </c>
      <c r="D47" s="120">
        <f t="shared" si="2"/>
        <v>1.487003641235507E-2</v>
      </c>
      <c r="E47" s="138">
        <f t="shared" si="8"/>
        <v>1545.8035114415359</v>
      </c>
    </row>
    <row r="48" spans="1:16" x14ac:dyDescent="0.25">
      <c r="A48" s="133">
        <f t="shared" si="11"/>
        <v>42979</v>
      </c>
      <c r="B48" s="120">
        <v>1.9E-2</v>
      </c>
      <c r="C48" s="137">
        <v>1552.09</v>
      </c>
      <c r="D48" s="120">
        <f t="shared" si="2"/>
        <v>1.4338463549325109E-2</v>
      </c>
      <c r="E48" s="138">
        <f t="shared" si="8"/>
        <v>1575.173778158925</v>
      </c>
    </row>
    <row r="49" spans="1:5" x14ac:dyDescent="0.25">
      <c r="A49" s="133">
        <f t="shared" si="11"/>
        <v>43009</v>
      </c>
      <c r="B49" s="120">
        <v>1.4999999999999999E-2</v>
      </c>
      <c r="C49" s="137">
        <v>1580.79</v>
      </c>
      <c r="D49" s="120">
        <f t="shared" si="2"/>
        <v>1.8491195742514899E-2</v>
      </c>
      <c r="E49" s="138">
        <f t="shared" si="8"/>
        <v>1598.8013848313087</v>
      </c>
    </row>
    <row r="50" spans="1:5" x14ac:dyDescent="0.25">
      <c r="A50" s="133">
        <f t="shared" si="11"/>
        <v>43040</v>
      </c>
      <c r="B50" s="120">
        <v>1.3999999999999999E-2</v>
      </c>
      <c r="C50" s="137">
        <v>1606.59</v>
      </c>
      <c r="D50" s="120">
        <f t="shared" si="2"/>
        <v>1.632095344732698E-2</v>
      </c>
      <c r="E50" s="138">
        <f t="shared" si="8"/>
        <v>1621.184604218947</v>
      </c>
    </row>
    <row r="51" spans="1:5" x14ac:dyDescent="0.25">
      <c r="A51" s="133">
        <f t="shared" si="11"/>
        <v>43070</v>
      </c>
      <c r="B51" s="120">
        <v>3.1E-2</v>
      </c>
      <c r="C51" s="137">
        <v>1630.3</v>
      </c>
      <c r="D51" s="120">
        <f t="shared" si="2"/>
        <v>1.4757965629065284E-2</v>
      </c>
      <c r="E51" s="138">
        <f t="shared" si="8"/>
        <v>1671.4413269497343</v>
      </c>
    </row>
    <row r="52" spans="1:5" x14ac:dyDescent="0.25">
      <c r="A52" s="133">
        <f t="shared" si="11"/>
        <v>43101</v>
      </c>
      <c r="B52" s="120">
        <v>1.8000000000000002E-2</v>
      </c>
      <c r="C52" s="137">
        <v>1678.94</v>
      </c>
      <c r="D52" s="120">
        <f t="shared" si="2"/>
        <v>2.9834999693308051E-2</v>
      </c>
      <c r="E52" s="138">
        <f t="shared" si="8"/>
        <v>1701.5272708348296</v>
      </c>
    </row>
    <row r="53" spans="1:5" x14ac:dyDescent="0.25">
      <c r="A53" s="133">
        <f t="shared" si="11"/>
        <v>43132</v>
      </c>
      <c r="B53" s="120">
        <v>2.4E-2</v>
      </c>
      <c r="C53" s="137">
        <v>1703.2</v>
      </c>
      <c r="D53" s="120">
        <f t="shared" si="2"/>
        <v>1.4449593195706711E-2</v>
      </c>
      <c r="E53" s="138">
        <f t="shared" si="8"/>
        <v>1742.3639253348656</v>
      </c>
    </row>
    <row r="54" spans="1:5" x14ac:dyDescent="0.25">
      <c r="A54" s="133">
        <f t="shared" si="11"/>
        <v>43160</v>
      </c>
      <c r="B54" s="120">
        <v>2.3E-2</v>
      </c>
      <c r="C54" s="137">
        <v>1745.32</v>
      </c>
      <c r="D54" s="120">
        <f t="shared" si="2"/>
        <v>2.4729920150305285E-2</v>
      </c>
      <c r="E54" s="138">
        <f t="shared" si="8"/>
        <v>1782.4382956175673</v>
      </c>
    </row>
    <row r="55" spans="1:5" x14ac:dyDescent="0.25">
      <c r="A55" s="133">
        <f t="shared" si="11"/>
        <v>43191</v>
      </c>
      <c r="B55" s="120">
        <v>2.7000000000000003E-2</v>
      </c>
      <c r="C55" s="137">
        <v>1794.98</v>
      </c>
      <c r="D55" s="120">
        <f t="shared" si="2"/>
        <v>2.8453234936859806E-2</v>
      </c>
      <c r="E55" s="138">
        <f t="shared" si="8"/>
        <v>1830.5641295992414</v>
      </c>
    </row>
    <row r="56" spans="1:5" x14ac:dyDescent="0.25">
      <c r="A56" s="133">
        <f t="shared" si="11"/>
        <v>43221</v>
      </c>
      <c r="B56" s="120">
        <v>2.1000000000000001E-2</v>
      </c>
      <c r="C56" s="137">
        <v>1839.78</v>
      </c>
      <c r="D56" s="120">
        <f t="shared" si="2"/>
        <v>2.4958495359279853E-2</v>
      </c>
      <c r="E56" s="138">
        <f t="shared" si="8"/>
        <v>1869.0059763208253</v>
      </c>
    </row>
    <row r="57" spans="1:5" x14ac:dyDescent="0.25">
      <c r="A57" s="133">
        <f t="shared" si="11"/>
        <v>43252</v>
      </c>
      <c r="B57" s="120">
        <v>3.7000000000000005E-2</v>
      </c>
      <c r="C57" s="137">
        <v>1886.48</v>
      </c>
      <c r="D57" s="120">
        <f t="shared" si="2"/>
        <v>2.5383469762689126E-2</v>
      </c>
      <c r="E57" s="138">
        <f t="shared" si="8"/>
        <v>1938.1591974446958</v>
      </c>
    </row>
    <row r="58" spans="1:5" x14ac:dyDescent="0.25">
      <c r="A58" s="133">
        <f t="shared" si="11"/>
        <v>43282</v>
      </c>
      <c r="B58" s="120">
        <v>3.1E-2</v>
      </c>
      <c r="C58" s="137">
        <v>1963.53</v>
      </c>
      <c r="D58" s="120">
        <f t="shared" si="2"/>
        <v>4.084326364445956E-2</v>
      </c>
      <c r="E58" s="138">
        <f t="shared" si="8"/>
        <v>1998.2421325654811</v>
      </c>
    </row>
    <row r="59" spans="1:5" x14ac:dyDescent="0.25">
      <c r="A59" s="133">
        <f t="shared" si="11"/>
        <v>43313</v>
      </c>
      <c r="B59" s="120">
        <v>3.9E-2</v>
      </c>
      <c r="C59" s="137">
        <v>2034.03</v>
      </c>
      <c r="D59" s="120">
        <f t="shared" si="2"/>
        <v>3.5904722616919571E-2</v>
      </c>
      <c r="E59" s="138">
        <f t="shared" si="8"/>
        <v>2076.1735757355345</v>
      </c>
    </row>
    <row r="60" spans="1:5" x14ac:dyDescent="0.25">
      <c r="A60" s="133">
        <f t="shared" si="11"/>
        <v>43344</v>
      </c>
      <c r="B60" s="120">
        <v>6.5000000000000002E-2</v>
      </c>
      <c r="C60" s="137">
        <v>2102.36</v>
      </c>
      <c r="D60" s="120">
        <f t="shared" si="2"/>
        <v>3.3593408160154992E-2</v>
      </c>
      <c r="E60" s="138">
        <f t="shared" si="8"/>
        <v>2211.1248581583441</v>
      </c>
    </row>
    <row r="61" spans="1:5" x14ac:dyDescent="0.25">
      <c r="A61" s="133">
        <f t="shared" si="11"/>
        <v>43374</v>
      </c>
      <c r="B61" s="120">
        <v>5.4000000000000006E-2</v>
      </c>
      <c r="C61" s="137">
        <v>2264.6799999999998</v>
      </c>
      <c r="D61" s="120">
        <f t="shared" si="2"/>
        <v>7.7208470480792935E-2</v>
      </c>
      <c r="E61" s="138">
        <f t="shared" si="8"/>
        <v>2330.5256004988946</v>
      </c>
    </row>
    <row r="62" spans="1:5" x14ac:dyDescent="0.25">
      <c r="A62" s="133">
        <f t="shared" si="11"/>
        <v>43405</v>
      </c>
      <c r="B62" s="120">
        <v>3.2000000000000001E-2</v>
      </c>
      <c r="C62" s="137">
        <v>2382.64</v>
      </c>
      <c r="D62" s="120">
        <f t="shared" si="2"/>
        <v>5.208682904427997E-2</v>
      </c>
      <c r="E62" s="138">
        <f t="shared" si="8"/>
        <v>2405.1024197148595</v>
      </c>
    </row>
    <row r="63" spans="1:5" x14ac:dyDescent="0.25">
      <c r="A63" s="133">
        <f t="shared" si="11"/>
        <v>43435</v>
      </c>
      <c r="B63" s="120">
        <v>2.6000000000000002E-2</v>
      </c>
      <c r="C63" s="137">
        <v>2466.4499999999998</v>
      </c>
      <c r="D63" s="120">
        <f t="shared" si="2"/>
        <v>3.517526777020441E-2</v>
      </c>
      <c r="E63" s="138">
        <f t="shared" si="8"/>
        <v>2467.6350826274461</v>
      </c>
    </row>
    <row r="64" spans="1:5" x14ac:dyDescent="0.25">
      <c r="A64" s="133">
        <f t="shared" si="11"/>
        <v>43466</v>
      </c>
      <c r="B64" s="120">
        <v>2.8999999999999998E-2</v>
      </c>
      <c r="C64" s="137">
        <v>2517.89</v>
      </c>
      <c r="D64" s="120">
        <f t="shared" si="2"/>
        <v>2.0855885989985667E-2</v>
      </c>
      <c r="E64" s="138">
        <f t="shared" si="8"/>
        <v>2539.1965000236419</v>
      </c>
    </row>
    <row r="65" spans="1:5" x14ac:dyDescent="0.25">
      <c r="A65" s="133">
        <f t="shared" si="11"/>
        <v>43497</v>
      </c>
      <c r="B65" s="120">
        <v>3.7999999999999999E-2</v>
      </c>
      <c r="C65" s="137">
        <v>2609.62</v>
      </c>
      <c r="D65" s="120">
        <f t="shared" si="2"/>
        <v>3.6431297634130111E-2</v>
      </c>
      <c r="E65" s="138">
        <f t="shared" si="8"/>
        <v>2635.6859670245403</v>
      </c>
    </row>
    <row r="66" spans="1:5" x14ac:dyDescent="0.25">
      <c r="A66" s="133">
        <f t="shared" si="11"/>
        <v>43525</v>
      </c>
      <c r="B66" s="120">
        <v>4.7E-2</v>
      </c>
      <c r="C66" s="137">
        <v>2708.13</v>
      </c>
      <c r="D66" s="120">
        <f t="shared" si="2"/>
        <v>3.7748791011718241E-2</v>
      </c>
      <c r="E66" s="138">
        <f t="shared" si="8"/>
        <v>2759.5632074746936</v>
      </c>
    </row>
    <row r="67" spans="1:5" x14ac:dyDescent="0.25">
      <c r="A67" s="133">
        <f t="shared" si="11"/>
        <v>43556</v>
      </c>
      <c r="B67" s="120">
        <v>3.4000000000000002E-2</v>
      </c>
      <c r="C67" s="137">
        <v>2835.66</v>
      </c>
      <c r="D67" s="120">
        <f t="shared" si="2"/>
        <v>4.7091535487587377E-2</v>
      </c>
      <c r="E67" s="138">
        <f t="shared" si="8"/>
        <v>2853.3883565288334</v>
      </c>
    </row>
    <row r="68" spans="1:5" x14ac:dyDescent="0.25">
      <c r="A68" s="133">
        <f t="shared" si="11"/>
        <v>43586</v>
      </c>
      <c r="B68" s="120">
        <v>3.1E-2</v>
      </c>
      <c r="C68" s="137">
        <v>2933.41</v>
      </c>
      <c r="D68" s="120">
        <f t="shared" si="2"/>
        <v>3.4471692657088715E-2</v>
      </c>
      <c r="E68" s="138">
        <f t="shared" si="8"/>
        <v>2941.843395581227</v>
      </c>
    </row>
    <row r="69" spans="1:5" x14ac:dyDescent="0.25">
      <c r="A69" s="133">
        <f t="shared" si="11"/>
        <v>43617</v>
      </c>
      <c r="B69" s="120">
        <v>2.7000000000000003E-2</v>
      </c>
      <c r="C69" s="137">
        <v>3035.33</v>
      </c>
      <c r="D69" s="120">
        <f t="shared" ref="D69:D123" si="12">+C69/C68-1</f>
        <v>3.4744546449354097E-2</v>
      </c>
      <c r="E69" s="138">
        <f t="shared" si="8"/>
        <v>3021.2731672619198</v>
      </c>
    </row>
    <row r="70" spans="1:5" x14ac:dyDescent="0.25">
      <c r="A70" s="133">
        <f t="shared" si="11"/>
        <v>43647</v>
      </c>
      <c r="B70" s="120">
        <v>2.2000000000000002E-2</v>
      </c>
      <c r="C70" s="137">
        <v>3104.39</v>
      </c>
      <c r="D70" s="120">
        <f t="shared" si="12"/>
        <v>2.2752056613284166E-2</v>
      </c>
      <c r="E70" s="138">
        <f t="shared" si="8"/>
        <v>3087.7411769416822</v>
      </c>
    </row>
    <row r="71" spans="1:5" x14ac:dyDescent="0.25">
      <c r="A71" s="133">
        <f t="shared" si="11"/>
        <v>43678</v>
      </c>
      <c r="B71" s="120">
        <v>0.04</v>
      </c>
      <c r="C71" s="137">
        <v>3151.61</v>
      </c>
      <c r="D71" s="120">
        <f t="shared" si="12"/>
        <v>1.521071772554361E-2</v>
      </c>
      <c r="E71" s="138">
        <f t="shared" si="8"/>
        <v>3211.2508240193497</v>
      </c>
    </row>
    <row r="72" spans="1:5" x14ac:dyDescent="0.25">
      <c r="A72" s="133">
        <f t="shared" si="11"/>
        <v>43709</v>
      </c>
      <c r="B72" s="120">
        <v>5.9000000000000004E-2</v>
      </c>
      <c r="C72" s="137">
        <v>3302.07</v>
      </c>
      <c r="D72" s="120">
        <f t="shared" si="12"/>
        <v>4.7740678573808371E-2</v>
      </c>
      <c r="E72" s="138">
        <f t="shared" si="8"/>
        <v>3400.7146226364912</v>
      </c>
    </row>
    <row r="73" spans="1:5" x14ac:dyDescent="0.25">
      <c r="A73" s="133">
        <f t="shared" si="11"/>
        <v>43739</v>
      </c>
      <c r="B73" s="120">
        <v>3.3000000000000002E-2</v>
      </c>
      <c r="C73" s="137">
        <v>3506.25</v>
      </c>
      <c r="D73" s="120">
        <f t="shared" si="12"/>
        <v>6.1833940528214004E-2</v>
      </c>
      <c r="E73" s="138">
        <f t="shared" si="8"/>
        <v>3512.938205183495</v>
      </c>
    </row>
    <row r="74" spans="1:5" x14ac:dyDescent="0.25">
      <c r="A74" s="133">
        <f t="shared" si="11"/>
        <v>43770</v>
      </c>
      <c r="B74" s="120">
        <v>4.2999999999999997E-2</v>
      </c>
      <c r="C74" s="137">
        <v>3610.36</v>
      </c>
      <c r="D74" s="120">
        <f t="shared" si="12"/>
        <v>2.9692691622103418E-2</v>
      </c>
      <c r="E74" s="138">
        <f t="shared" si="8"/>
        <v>3663.9945480063852</v>
      </c>
    </row>
    <row r="75" spans="1:5" x14ac:dyDescent="0.25">
      <c r="A75" s="133">
        <f t="shared" si="11"/>
        <v>43800</v>
      </c>
      <c r="B75" s="120">
        <v>3.7000000000000005E-2</v>
      </c>
      <c r="C75" s="137">
        <v>3784.74</v>
      </c>
      <c r="D75" s="120">
        <f t="shared" si="12"/>
        <v>4.8299892531492583E-2</v>
      </c>
      <c r="E75" s="138">
        <f t="shared" si="8"/>
        <v>3799.5623462826211</v>
      </c>
    </row>
    <row r="76" spans="1:5" x14ac:dyDescent="0.25">
      <c r="A76" s="133">
        <f t="shared" si="11"/>
        <v>43831</v>
      </c>
      <c r="B76" s="120">
        <v>2.3E-2</v>
      </c>
      <c r="C76" s="137">
        <v>3968.36</v>
      </c>
      <c r="D76" s="120">
        <f t="shared" si="12"/>
        <v>4.8515882200626859E-2</v>
      </c>
      <c r="E76" s="138">
        <f t="shared" si="8"/>
        <v>3886.9522802471211</v>
      </c>
    </row>
    <row r="77" spans="1:5" x14ac:dyDescent="0.25">
      <c r="A77" s="133">
        <f t="shared" si="11"/>
        <v>43862</v>
      </c>
      <c r="B77" s="120">
        <v>0.02</v>
      </c>
      <c r="C77" s="137">
        <v>4089.1</v>
      </c>
      <c r="D77" s="120">
        <f t="shared" si="12"/>
        <v>3.0425667026177106E-2</v>
      </c>
      <c r="E77" s="138">
        <f t="shared" si="8"/>
        <v>3964.6913258520635</v>
      </c>
    </row>
    <row r="78" spans="1:5" x14ac:dyDescent="0.25">
      <c r="A78" s="133">
        <f t="shared" si="11"/>
        <v>43891</v>
      </c>
      <c r="B78" s="120">
        <v>3.3000000000000002E-2</v>
      </c>
      <c r="C78" s="137">
        <v>4200.6899999999996</v>
      </c>
      <c r="D78" s="120">
        <f t="shared" si="12"/>
        <v>2.7289623633562243E-2</v>
      </c>
      <c r="E78" s="138">
        <f t="shared" si="8"/>
        <v>4095.5261396051815</v>
      </c>
    </row>
    <row r="79" spans="1:5" x14ac:dyDescent="0.25">
      <c r="A79" s="133">
        <f t="shared" si="11"/>
        <v>43922</v>
      </c>
      <c r="B79" s="120">
        <v>1.4999999999999999E-2</v>
      </c>
      <c r="C79" s="137">
        <v>4316.58</v>
      </c>
      <c r="D79" s="120">
        <f t="shared" si="12"/>
        <v>2.7588324775215556E-2</v>
      </c>
      <c r="E79" s="138">
        <f t="shared" si="8"/>
        <v>4156.959031699259</v>
      </c>
    </row>
    <row r="80" spans="1:5" x14ac:dyDescent="0.25">
      <c r="A80" s="133">
        <f t="shared" si="11"/>
        <v>43952</v>
      </c>
      <c r="B80" s="120">
        <v>1.4999999999999999E-2</v>
      </c>
      <c r="C80" s="137">
        <v>4401.0600000000004</v>
      </c>
      <c r="D80" s="120">
        <f t="shared" si="12"/>
        <v>1.9571049302920418E-2</v>
      </c>
      <c r="E80" s="138">
        <f t="shared" si="8"/>
        <v>4219.3134171747479</v>
      </c>
    </row>
    <row r="81" spans="1:5" x14ac:dyDescent="0.25">
      <c r="A81" s="133">
        <f t="shared" si="11"/>
        <v>43983</v>
      </c>
      <c r="B81" s="120">
        <v>2.2000000000000002E-2</v>
      </c>
      <c r="C81" s="137">
        <v>4461.5600000000004</v>
      </c>
      <c r="D81" s="120">
        <f t="shared" si="12"/>
        <v>1.3746688297819221E-2</v>
      </c>
      <c r="E81" s="138">
        <f t="shared" si="8"/>
        <v>4312.138312352592</v>
      </c>
    </row>
    <row r="82" spans="1:5" x14ac:dyDescent="0.25">
      <c r="A82" s="133">
        <f t="shared" si="11"/>
        <v>44013</v>
      </c>
      <c r="B82" s="120">
        <v>1.9E-2</v>
      </c>
      <c r="C82" s="137">
        <v>4533.16</v>
      </c>
      <c r="D82" s="120">
        <f t="shared" si="12"/>
        <v>1.604819838800764E-2</v>
      </c>
      <c r="E82" s="138">
        <f t="shared" si="8"/>
        <v>4394.0689402872913</v>
      </c>
    </row>
    <row r="83" spans="1:5" x14ac:dyDescent="0.25">
      <c r="A83" s="133">
        <f t="shared" si="11"/>
        <v>44044</v>
      </c>
      <c r="B83" s="120">
        <v>2.7000000000000003E-2</v>
      </c>
      <c r="C83" s="137">
        <v>4641.9399999999996</v>
      </c>
      <c r="D83" s="120">
        <f t="shared" si="12"/>
        <v>2.3996505748749231E-2</v>
      </c>
      <c r="E83" s="138">
        <f t="shared" si="8"/>
        <v>4512.7088016750477</v>
      </c>
    </row>
    <row r="84" spans="1:5" x14ac:dyDescent="0.25">
      <c r="A84" s="133">
        <f t="shared" si="11"/>
        <v>44075</v>
      </c>
      <c r="B84" s="120">
        <v>2.7999999999999997E-2</v>
      </c>
      <c r="C84" s="137">
        <v>4782.91</v>
      </c>
      <c r="D84" s="120">
        <f t="shared" si="12"/>
        <v>3.0368768230524257E-2</v>
      </c>
      <c r="E84" s="138">
        <f t="shared" si="8"/>
        <v>4639.0646481219492</v>
      </c>
    </row>
    <row r="85" spans="1:5" x14ac:dyDescent="0.25">
      <c r="A85" s="133">
        <f t="shared" si="11"/>
        <v>44105</v>
      </c>
      <c r="B85" s="120">
        <v>3.7999999999999999E-2</v>
      </c>
      <c r="C85" s="137">
        <v>4929.68</v>
      </c>
      <c r="D85" s="120">
        <f t="shared" si="12"/>
        <v>3.0686339487885128E-2</v>
      </c>
      <c r="E85" s="138">
        <f t="shared" si="8"/>
        <v>4815.3491047505831</v>
      </c>
    </row>
    <row r="86" spans="1:5" x14ac:dyDescent="0.25">
      <c r="A86" s="133">
        <f t="shared" si="11"/>
        <v>44136</v>
      </c>
      <c r="B86" s="120">
        <v>3.2000000000000001E-2</v>
      </c>
      <c r="C86" s="137">
        <v>5104.74</v>
      </c>
      <c r="D86" s="120">
        <f t="shared" si="12"/>
        <v>3.5511432790769293E-2</v>
      </c>
      <c r="E86" s="138">
        <f t="shared" si="8"/>
        <v>4969.4402761026022</v>
      </c>
    </row>
    <row r="87" spans="1:5" x14ac:dyDescent="0.25">
      <c r="A87" s="133">
        <f t="shared" si="11"/>
        <v>44166</v>
      </c>
      <c r="B87" s="120">
        <v>0.04</v>
      </c>
      <c r="C87" s="137">
        <v>5293.17</v>
      </c>
      <c r="D87" s="120">
        <f t="shared" si="12"/>
        <v>3.6912751677852462E-2</v>
      </c>
      <c r="E87" s="138">
        <f t="shared" si="8"/>
        <v>5168.2178871467067</v>
      </c>
    </row>
    <row r="88" spans="1:5" x14ac:dyDescent="0.25">
      <c r="A88" s="133">
        <f t="shared" si="11"/>
        <v>44197</v>
      </c>
      <c r="B88" s="120">
        <v>0.04</v>
      </c>
      <c r="C88" s="137">
        <v>5626.28</v>
      </c>
      <c r="D88" s="120">
        <f t="shared" si="12"/>
        <v>6.2932042613405459E-2</v>
      </c>
      <c r="E88" s="138">
        <f t="shared" si="8"/>
        <v>5374.9466026325754</v>
      </c>
    </row>
    <row r="89" spans="1:5" x14ac:dyDescent="0.25">
      <c r="A89" s="133">
        <f t="shared" si="11"/>
        <v>44228</v>
      </c>
      <c r="B89" s="120">
        <v>3.6000000000000004E-2</v>
      </c>
      <c r="C89" s="137">
        <v>5907.94</v>
      </c>
      <c r="D89" s="120">
        <f t="shared" si="12"/>
        <v>5.0061497117100506E-2</v>
      </c>
      <c r="E89" s="138">
        <f t="shared" si="8"/>
        <v>5568.4446803273486</v>
      </c>
    </row>
    <row r="90" spans="1:5" x14ac:dyDescent="0.25">
      <c r="A90" s="133">
        <f t="shared" si="11"/>
        <v>44256</v>
      </c>
      <c r="B90" s="120">
        <v>4.8000000000000001E-2</v>
      </c>
      <c r="C90" s="137">
        <v>6123.9</v>
      </c>
      <c r="D90" s="120">
        <f t="shared" si="12"/>
        <v>3.6554196555821594E-2</v>
      </c>
      <c r="E90" s="138">
        <f t="shared" si="8"/>
        <v>5835.7300249830614</v>
      </c>
    </row>
    <row r="91" spans="1:5" x14ac:dyDescent="0.25">
      <c r="A91" s="133">
        <f t="shared" si="11"/>
        <v>44287</v>
      </c>
      <c r="B91" s="120">
        <v>4.0999999999999995E-2</v>
      </c>
      <c r="C91" s="137">
        <v>6361.08</v>
      </c>
      <c r="D91" s="120">
        <f t="shared" si="12"/>
        <v>3.8730220937637894E-2</v>
      </c>
      <c r="E91" s="138">
        <f t="shared" si="8"/>
        <v>6074.9949560073665</v>
      </c>
    </row>
    <row r="92" spans="1:5" x14ac:dyDescent="0.25">
      <c r="A92" s="133">
        <f t="shared" si="11"/>
        <v>44317</v>
      </c>
      <c r="B92" s="120">
        <v>3.3000000000000002E-2</v>
      </c>
      <c r="C92" s="137">
        <v>6615</v>
      </c>
      <c r="D92" s="120">
        <f t="shared" si="12"/>
        <v>3.9917749816068993E-2</v>
      </c>
      <c r="E92" s="138">
        <f t="shared" si="8"/>
        <v>6275.4697895556092</v>
      </c>
    </row>
    <row r="93" spans="1:5" x14ac:dyDescent="0.25">
      <c r="A93" s="133">
        <f t="shared" si="11"/>
        <v>44348</v>
      </c>
      <c r="B93" s="120">
        <v>3.2000000000000001E-2</v>
      </c>
      <c r="C93" s="137">
        <v>6834.62</v>
      </c>
      <c r="D93" s="120">
        <f t="shared" si="12"/>
        <v>3.3200302343159516E-2</v>
      </c>
      <c r="E93" s="138">
        <f t="shared" si="8"/>
        <v>6476.2848228213888</v>
      </c>
    </row>
    <row r="94" spans="1:5" x14ac:dyDescent="0.25">
      <c r="A94" s="133">
        <f t="shared" si="11"/>
        <v>44378</v>
      </c>
      <c r="B94" s="120">
        <v>0.03</v>
      </c>
      <c r="C94" s="137">
        <v>7065.63</v>
      </c>
      <c r="D94" s="120">
        <f t="shared" si="12"/>
        <v>3.3799977175029472E-2</v>
      </c>
      <c r="E94" s="138">
        <f t="shared" si="8"/>
        <v>6670.573367506031</v>
      </c>
    </row>
    <row r="95" spans="1:5" x14ac:dyDescent="0.25">
      <c r="A95" s="133">
        <f t="shared" si="11"/>
        <v>44409</v>
      </c>
      <c r="B95" s="120">
        <v>2.5000000000000001E-2</v>
      </c>
      <c r="C95" s="137">
        <v>7245.04</v>
      </c>
      <c r="D95" s="120">
        <f t="shared" si="12"/>
        <v>2.5391932495757663E-2</v>
      </c>
      <c r="E95" s="138">
        <f t="shared" si="8"/>
        <v>6837.3377016936811</v>
      </c>
    </row>
    <row r="96" spans="1:5" x14ac:dyDescent="0.25">
      <c r="A96" s="133">
        <f t="shared" si="11"/>
        <v>44440</v>
      </c>
      <c r="B96" s="120">
        <v>3.5000000000000003E-2</v>
      </c>
      <c r="C96" s="137">
        <v>7433.88</v>
      </c>
      <c r="D96" s="120">
        <f t="shared" si="12"/>
        <v>2.6064728421099082E-2</v>
      </c>
      <c r="E96" s="138">
        <f t="shared" si="8"/>
        <v>7076.6445212529597</v>
      </c>
    </row>
    <row r="97" spans="1:5" x14ac:dyDescent="0.25">
      <c r="A97" s="133">
        <f t="shared" si="11"/>
        <v>44470</v>
      </c>
      <c r="B97" s="120">
        <v>3.5000000000000003E-2</v>
      </c>
      <c r="C97" s="137">
        <v>7648.23</v>
      </c>
      <c r="D97" s="120">
        <f t="shared" si="12"/>
        <v>2.8834202327721048E-2</v>
      </c>
      <c r="E97" s="138">
        <f t="shared" si="8"/>
        <v>7324.327079496813</v>
      </c>
    </row>
    <row r="98" spans="1:5" x14ac:dyDescent="0.25">
      <c r="A98" s="133">
        <f t="shared" si="11"/>
        <v>44501</v>
      </c>
      <c r="B98" s="120">
        <v>2.5000000000000001E-2</v>
      </c>
      <c r="C98" s="137">
        <v>7865.47</v>
      </c>
      <c r="D98" s="120">
        <f t="shared" si="12"/>
        <v>2.8403957516968115E-2</v>
      </c>
      <c r="E98" s="138">
        <f t="shared" si="8"/>
        <v>7507.4352564842329</v>
      </c>
    </row>
    <row r="99" spans="1:5" x14ac:dyDescent="0.25">
      <c r="A99" s="133">
        <f t="shared" si="11"/>
        <v>44531</v>
      </c>
      <c r="B99" s="120">
        <v>3.7999999999999999E-2</v>
      </c>
      <c r="C99" s="137">
        <v>8110.64</v>
      </c>
      <c r="D99" s="120">
        <f t="shared" si="12"/>
        <v>3.1170419568061325E-2</v>
      </c>
      <c r="E99" s="138">
        <f t="shared" si="8"/>
        <v>7792.7177962306341</v>
      </c>
    </row>
    <row r="100" spans="1:5" x14ac:dyDescent="0.25">
      <c r="A100" s="133">
        <f t="shared" si="11"/>
        <v>44562</v>
      </c>
      <c r="B100" s="120">
        <v>3.9E-2</v>
      </c>
      <c r="C100" s="137">
        <v>8480.7000000000007</v>
      </c>
      <c r="D100" s="120">
        <f t="shared" si="12"/>
        <v>4.5626485702731312E-2</v>
      </c>
      <c r="E100" s="138">
        <f t="shared" si="8"/>
        <v>8096.6337902836285</v>
      </c>
    </row>
    <row r="101" spans="1:5" x14ac:dyDescent="0.25">
      <c r="A101" s="133">
        <f t="shared" si="11"/>
        <v>44593</v>
      </c>
      <c r="B101" s="120">
        <v>4.7E-2</v>
      </c>
      <c r="C101" s="137">
        <v>8808.77</v>
      </c>
      <c r="D101" s="120">
        <f t="shared" si="12"/>
        <v>3.8684306719964034E-2</v>
      </c>
      <c r="E101" s="138">
        <f t="shared" si="8"/>
        <v>8477.175578426959</v>
      </c>
    </row>
    <row r="102" spans="1:5" x14ac:dyDescent="0.25">
      <c r="A102" s="133">
        <f t="shared" si="11"/>
        <v>44621</v>
      </c>
      <c r="B102" s="120">
        <v>6.7000000000000004E-2</v>
      </c>
      <c r="C102" s="137">
        <v>9327.8799999999992</v>
      </c>
      <c r="D102" s="120">
        <f t="shared" si="12"/>
        <v>5.8931042585968152E-2</v>
      </c>
      <c r="E102" s="138">
        <f t="shared" si="8"/>
        <v>9045.1463421815643</v>
      </c>
    </row>
    <row r="103" spans="1:5" x14ac:dyDescent="0.25">
      <c r="A103" s="133">
        <f t="shared" si="11"/>
        <v>44652</v>
      </c>
      <c r="B103" s="120">
        <v>0.06</v>
      </c>
      <c r="C103" s="137">
        <v>9962.61</v>
      </c>
      <c r="D103" s="120">
        <f t="shared" si="12"/>
        <v>6.8046544338049131E-2</v>
      </c>
      <c r="E103" s="138">
        <f t="shared" si="8"/>
        <v>9587.855122712459</v>
      </c>
    </row>
    <row r="104" spans="1:5" x14ac:dyDescent="0.25">
      <c r="A104" s="133">
        <f t="shared" si="11"/>
        <v>44682</v>
      </c>
      <c r="B104" s="120">
        <v>5.0999999999999997E-2</v>
      </c>
      <c r="C104" s="137">
        <v>10472.040000000001</v>
      </c>
      <c r="D104" s="120">
        <f t="shared" si="12"/>
        <v>5.1134190739173802E-2</v>
      </c>
      <c r="E104" s="138">
        <f t="shared" si="8"/>
        <v>10076.835733970795</v>
      </c>
    </row>
    <row r="105" spans="1:5" x14ac:dyDescent="0.25">
      <c r="A105" s="133">
        <f t="shared" si="11"/>
        <v>44713</v>
      </c>
      <c r="B105" s="120">
        <v>5.2999999999999999E-2</v>
      </c>
      <c r="C105" s="137">
        <v>11054.95</v>
      </c>
      <c r="D105" s="120">
        <f t="shared" si="12"/>
        <v>5.5663461942467629E-2</v>
      </c>
      <c r="E105" s="138">
        <f t="shared" ref="E105:E126" si="13">+E104*(1+B105)</f>
        <v>10610.908027871246</v>
      </c>
    </row>
    <row r="106" spans="1:5" x14ac:dyDescent="0.25">
      <c r="A106" s="133">
        <f t="shared" ref="A106:A126" si="14">+EDATE(A105,1)</f>
        <v>44743</v>
      </c>
      <c r="B106" s="120">
        <v>7.400000000000001E-2</v>
      </c>
      <c r="C106" s="137">
        <v>11531.78</v>
      </c>
      <c r="D106" s="120">
        <f t="shared" si="12"/>
        <v>4.3132714304451758E-2</v>
      </c>
      <c r="E106" s="138">
        <f t="shared" si="13"/>
        <v>11396.11522193372</v>
      </c>
    </row>
    <row r="107" spans="1:5" x14ac:dyDescent="0.25">
      <c r="A107" s="133">
        <f t="shared" si="14"/>
        <v>44774</v>
      </c>
      <c r="B107" s="120">
        <v>7.0000000000000007E-2</v>
      </c>
      <c r="C107" s="137">
        <v>12323.61</v>
      </c>
      <c r="D107" s="120">
        <f t="shared" si="12"/>
        <v>6.8665028295718411E-2</v>
      </c>
      <c r="E107" s="138">
        <f t="shared" si="13"/>
        <v>12193.843287469081</v>
      </c>
    </row>
    <row r="108" spans="1:5" x14ac:dyDescent="0.25">
      <c r="A108" s="133">
        <f t="shared" si="14"/>
        <v>44805</v>
      </c>
      <c r="B108" s="120">
        <v>6.2E-2</v>
      </c>
      <c r="C108" s="137">
        <v>13207.47</v>
      </c>
      <c r="D108" s="120">
        <f t="shared" si="12"/>
        <v>7.1720867505544073E-2</v>
      </c>
      <c r="E108" s="138">
        <f t="shared" si="13"/>
        <v>12949.861571292164</v>
      </c>
    </row>
    <row r="109" spans="1:5" x14ac:dyDescent="0.25">
      <c r="A109" s="133">
        <f t="shared" si="14"/>
        <v>44835</v>
      </c>
      <c r="B109" s="120">
        <v>6.3E-2</v>
      </c>
      <c r="C109" s="137">
        <v>14057.96</v>
      </c>
      <c r="D109" s="120">
        <f t="shared" si="12"/>
        <v>6.4394619105702988E-2</v>
      </c>
      <c r="E109" s="138">
        <f t="shared" si="13"/>
        <v>13765.702850283569</v>
      </c>
    </row>
    <row r="110" spans="1:5" x14ac:dyDescent="0.25">
      <c r="A110" s="133">
        <f t="shared" si="14"/>
        <v>44866</v>
      </c>
      <c r="B110" s="120">
        <v>4.9000000000000002E-2</v>
      </c>
      <c r="C110" s="137">
        <v>14826.58</v>
      </c>
      <c r="D110" s="120">
        <f t="shared" si="12"/>
        <v>5.4675073766037308E-2</v>
      </c>
      <c r="E110" s="138">
        <f t="shared" si="13"/>
        <v>14440.222289947464</v>
      </c>
    </row>
    <row r="111" spans="1:5" x14ac:dyDescent="0.25">
      <c r="A111" s="133">
        <f t="shared" si="14"/>
        <v>44896</v>
      </c>
      <c r="B111" s="120">
        <v>5.0999999999999997E-2</v>
      </c>
      <c r="C111" s="137">
        <v>15585.2</v>
      </c>
      <c r="D111" s="120">
        <f t="shared" si="12"/>
        <v>5.1166216349286309E-2</v>
      </c>
      <c r="E111" s="138">
        <f t="shared" si="13"/>
        <v>15176.673626734784</v>
      </c>
    </row>
    <row r="112" spans="1:5" x14ac:dyDescent="0.25">
      <c r="A112" s="133">
        <f t="shared" si="14"/>
        <v>44927</v>
      </c>
      <c r="B112" s="120">
        <v>0.06</v>
      </c>
      <c r="C112" s="137">
        <v>16324.7</v>
      </c>
      <c r="D112" s="120">
        <f t="shared" si="12"/>
        <v>4.7448861740625681E-2</v>
      </c>
      <c r="E112" s="138">
        <f t="shared" si="13"/>
        <v>16087.274044338872</v>
      </c>
    </row>
    <row r="113" spans="1:5" x14ac:dyDescent="0.25">
      <c r="A113" s="133">
        <f t="shared" si="14"/>
        <v>44958</v>
      </c>
      <c r="B113" s="120">
        <v>6.6000000000000003E-2</v>
      </c>
      <c r="C113" s="137">
        <v>17243.86</v>
      </c>
      <c r="D113" s="120">
        <f t="shared" si="12"/>
        <v>5.630486318278427E-2</v>
      </c>
      <c r="E113" s="138">
        <f t="shared" si="13"/>
        <v>17149.034131265238</v>
      </c>
    </row>
    <row r="114" spans="1:5" x14ac:dyDescent="0.25">
      <c r="A114" s="133">
        <f t="shared" si="14"/>
        <v>44986</v>
      </c>
      <c r="B114" s="120">
        <v>7.6999999999999999E-2</v>
      </c>
      <c r="C114" s="137">
        <v>18772.650000000001</v>
      </c>
      <c r="D114" s="120">
        <f t="shared" si="12"/>
        <v>8.8657064021628651E-2</v>
      </c>
      <c r="E114" s="138">
        <f t="shared" si="13"/>
        <v>18469.50975937266</v>
      </c>
    </row>
    <row r="115" spans="1:5" x14ac:dyDescent="0.25">
      <c r="A115" s="133">
        <f t="shared" si="14"/>
        <v>45017</v>
      </c>
      <c r="B115" s="120">
        <v>8.4000000000000005E-2</v>
      </c>
      <c r="C115" s="137">
        <v>20072.27</v>
      </c>
      <c r="D115" s="120">
        <f t="shared" si="12"/>
        <v>6.9229437506159064E-2</v>
      </c>
      <c r="E115" s="138">
        <f t="shared" si="13"/>
        <v>20020.948579159965</v>
      </c>
    </row>
    <row r="116" spans="1:5" x14ac:dyDescent="0.25">
      <c r="A116" s="133">
        <f t="shared" si="14"/>
        <v>45047</v>
      </c>
      <c r="B116" s="120">
        <v>7.8E-2</v>
      </c>
      <c r="C116" s="137">
        <v>21489.61</v>
      </c>
      <c r="D116" s="120">
        <f t="shared" si="12"/>
        <v>7.0611844101339916E-2</v>
      </c>
      <c r="E116" s="138">
        <f t="shared" si="13"/>
        <v>21582.582568334445</v>
      </c>
    </row>
    <row r="117" spans="1:5" x14ac:dyDescent="0.25">
      <c r="A117" s="133">
        <f t="shared" si="14"/>
        <v>45078</v>
      </c>
      <c r="B117" s="120">
        <v>0.06</v>
      </c>
      <c r="C117" s="137">
        <v>22820.29</v>
      </c>
      <c r="D117" s="120">
        <f t="shared" si="12"/>
        <v>6.1922017198078549E-2</v>
      </c>
      <c r="E117" s="138">
        <f t="shared" si="13"/>
        <v>22877.537522434512</v>
      </c>
    </row>
    <row r="118" spans="1:5" x14ac:dyDescent="0.25">
      <c r="A118" s="133">
        <f t="shared" si="14"/>
        <v>45108</v>
      </c>
      <c r="B118" s="120">
        <v>6.3E-2</v>
      </c>
      <c r="C118" s="137">
        <v>25316.84</v>
      </c>
      <c r="D118" s="120">
        <f t="shared" si="12"/>
        <v>0.10940045021338474</v>
      </c>
      <c r="E118" s="138">
        <f t="shared" si="13"/>
        <v>24318.822386347885</v>
      </c>
    </row>
    <row r="119" spans="1:5" x14ac:dyDescent="0.25">
      <c r="A119" s="133">
        <f t="shared" si="14"/>
        <v>45139</v>
      </c>
      <c r="B119" s="120">
        <v>0.124</v>
      </c>
      <c r="C119" s="137">
        <v>29093.99</v>
      </c>
      <c r="D119" s="120">
        <f t="shared" si="12"/>
        <v>0.14919516021746793</v>
      </c>
      <c r="E119" s="138">
        <f t="shared" si="13"/>
        <v>27334.356362255025</v>
      </c>
    </row>
    <row r="120" spans="1:5" x14ac:dyDescent="0.25">
      <c r="A120" s="133">
        <f t="shared" si="14"/>
        <v>45170</v>
      </c>
      <c r="B120" s="120">
        <v>0.127</v>
      </c>
      <c r="C120" s="137">
        <v>33432.33</v>
      </c>
      <c r="D120" s="120">
        <f t="shared" si="12"/>
        <v>0.14911464532709329</v>
      </c>
      <c r="E120" s="138">
        <f t="shared" si="13"/>
        <v>30805.819620261413</v>
      </c>
    </row>
    <row r="121" spans="1:5" x14ac:dyDescent="0.25">
      <c r="A121" s="133">
        <f t="shared" si="14"/>
        <v>45200</v>
      </c>
      <c r="B121" s="120">
        <v>8.3000000000000004E-2</v>
      </c>
      <c r="D121" s="120">
        <f t="shared" si="12"/>
        <v>-1</v>
      </c>
      <c r="E121" s="138">
        <f t="shared" si="13"/>
        <v>33362.702648743107</v>
      </c>
    </row>
    <row r="122" spans="1:5" x14ac:dyDescent="0.25">
      <c r="A122" s="133">
        <f t="shared" si="14"/>
        <v>45231</v>
      </c>
      <c r="B122" s="120">
        <v>0.128</v>
      </c>
      <c r="D122" s="120" t="e">
        <f t="shared" si="12"/>
        <v>#DIV/0!</v>
      </c>
      <c r="E122" s="138">
        <f t="shared" si="13"/>
        <v>37633.12858778223</v>
      </c>
    </row>
    <row r="123" spans="1:5" x14ac:dyDescent="0.25">
      <c r="A123" s="133">
        <f t="shared" si="14"/>
        <v>45261</v>
      </c>
      <c r="B123" s="120">
        <v>0.255</v>
      </c>
      <c r="D123" s="120" t="e">
        <f t="shared" si="12"/>
        <v>#DIV/0!</v>
      </c>
      <c r="E123" s="138">
        <f t="shared" si="13"/>
        <v>47229.576377666694</v>
      </c>
    </row>
    <row r="124" spans="1:5" x14ac:dyDescent="0.25">
      <c r="A124" s="133">
        <f t="shared" si="14"/>
        <v>45292</v>
      </c>
      <c r="B124" s="120">
        <v>0.20600000000000002</v>
      </c>
      <c r="E124" s="138">
        <f t="shared" si="13"/>
        <v>56958.869111466032</v>
      </c>
    </row>
    <row r="125" spans="1:5" x14ac:dyDescent="0.25">
      <c r="A125" s="133">
        <f t="shared" si="14"/>
        <v>45323</v>
      </c>
      <c r="B125" s="120">
        <v>0.13200000000000001</v>
      </c>
      <c r="E125" s="138">
        <f t="shared" si="13"/>
        <v>64477.439834179553</v>
      </c>
    </row>
    <row r="126" spans="1:5" x14ac:dyDescent="0.25">
      <c r="A126" s="133">
        <f t="shared" si="14"/>
        <v>45352</v>
      </c>
      <c r="B126" s="120">
        <v>0.11</v>
      </c>
      <c r="E126" s="138">
        <f t="shared" si="13"/>
        <v>71569.958215939303</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5" tint="0.39997558519241921"/>
  </sheetPr>
  <dimension ref="A1:AO6"/>
  <sheetViews>
    <sheetView topLeftCell="AF1" workbookViewId="0">
      <selection activeCell="O4" sqref="O4"/>
    </sheetView>
  </sheetViews>
  <sheetFormatPr baseColWidth="10" defaultRowHeight="15" x14ac:dyDescent="0.25"/>
  <sheetData>
    <row r="1" spans="1:41" x14ac:dyDescent="0.25">
      <c r="A1" t="s">
        <v>195</v>
      </c>
    </row>
    <row r="2" spans="1:41" x14ac:dyDescent="0.25">
      <c r="B2" s="39">
        <v>41729</v>
      </c>
      <c r="C2" s="39">
        <v>41820</v>
      </c>
      <c r="D2" s="39">
        <v>41912</v>
      </c>
      <c r="E2" s="39">
        <v>42004</v>
      </c>
      <c r="F2" s="39">
        <v>42094</v>
      </c>
      <c r="G2" s="39">
        <v>42185</v>
      </c>
      <c r="H2" s="39">
        <v>42277</v>
      </c>
      <c r="I2" s="39">
        <v>42369</v>
      </c>
      <c r="J2" s="39">
        <v>42460</v>
      </c>
      <c r="K2" s="39">
        <v>42551</v>
      </c>
      <c r="L2" s="39">
        <v>42643</v>
      </c>
      <c r="M2" s="39">
        <v>42735</v>
      </c>
      <c r="N2" s="39">
        <v>42825</v>
      </c>
      <c r="O2" s="39">
        <v>42916</v>
      </c>
      <c r="P2" s="39">
        <v>43008</v>
      </c>
      <c r="Q2" s="39">
        <v>43100</v>
      </c>
      <c r="R2" s="39">
        <v>43190</v>
      </c>
      <c r="S2" s="39">
        <v>43281</v>
      </c>
      <c r="T2" s="39">
        <v>43373</v>
      </c>
      <c r="U2" s="39">
        <v>43465</v>
      </c>
      <c r="V2" s="39">
        <v>43555</v>
      </c>
      <c r="W2" s="39">
        <v>43646</v>
      </c>
      <c r="X2" s="39">
        <v>43738</v>
      </c>
      <c r="Y2" s="39">
        <v>43830</v>
      </c>
      <c r="Z2" s="39">
        <v>43921</v>
      </c>
      <c r="AA2" s="39">
        <v>44012</v>
      </c>
      <c r="AB2" s="39">
        <v>44104</v>
      </c>
      <c r="AC2" s="39">
        <v>44196</v>
      </c>
      <c r="AD2" s="39">
        <v>44286</v>
      </c>
      <c r="AE2" s="39">
        <v>44377</v>
      </c>
      <c r="AF2" s="39">
        <v>44469</v>
      </c>
      <c r="AG2" s="39">
        <v>44561</v>
      </c>
      <c r="AH2" s="39">
        <v>44651</v>
      </c>
      <c r="AI2" s="39">
        <v>44742</v>
      </c>
      <c r="AJ2" s="39">
        <v>44834</v>
      </c>
      <c r="AK2" s="39">
        <v>44926</v>
      </c>
      <c r="AL2" s="39">
        <v>45016</v>
      </c>
      <c r="AM2" s="39">
        <v>45107</v>
      </c>
      <c r="AN2" s="39">
        <v>45199</v>
      </c>
      <c r="AO2" s="39">
        <v>45289</v>
      </c>
    </row>
    <row r="3" spans="1:41" x14ac:dyDescent="0.25">
      <c r="A3" t="s">
        <v>193</v>
      </c>
      <c r="B3">
        <f>+_xlfn.XLOOKUP(B2,'Evolución Deuda Total'!4:4,'Evolución Deuda Total'!7:7)</f>
        <v>9595.7892442100001</v>
      </c>
      <c r="C3">
        <f>+_xlfn.XLOOKUP(C2,'Evolución Deuda Total'!4:4,'Evolución Deuda Total'!7:7)</f>
        <v>10054.44866702</v>
      </c>
      <c r="D3">
        <f>+_xlfn.XLOOKUP(D2,'Evolución Deuda Total'!4:4,'Evolución Deuda Total'!7:7)</f>
        <v>10277.67203896</v>
      </c>
      <c r="E3">
        <f>+_xlfn.XLOOKUP(E2,'Evolución Deuda Total'!4:4,'Evolución Deuda Total'!7:7)</f>
        <v>11311.607368460001</v>
      </c>
      <c r="F3">
        <f>+_xlfn.XLOOKUP(F2,'Evolución Deuda Total'!4:4,'Evolución Deuda Total'!7:7)</f>
        <v>10243.55921521</v>
      </c>
      <c r="G3">
        <f>+_xlfn.XLOOKUP(G2,'Evolución Deuda Total'!4:4,'Evolución Deuda Total'!7:7)</f>
        <v>11670.570962289999</v>
      </c>
      <c r="H3">
        <f>+_xlfn.XLOOKUP(H2,'Evolución Deuda Total'!4:4,'Evolución Deuda Total'!7:7)</f>
        <v>12214.777311260001</v>
      </c>
      <c r="I3">
        <f>+_xlfn.XLOOKUP(I2,'Evolución Deuda Total'!4:4,'Evolución Deuda Total'!7:7)</f>
        <v>19341.371375745901</v>
      </c>
      <c r="J3">
        <f>+_xlfn.XLOOKUP(J2,'Evolución Deuda Total'!4:4,'Evolución Deuda Total'!7:7)</f>
        <v>17301.287027842955</v>
      </c>
      <c r="K3">
        <f>+_xlfn.XLOOKUP(K2,'Evolución Deuda Total'!4:4,'Evolución Deuda Total'!7:7)</f>
        <v>25163.553875407499</v>
      </c>
      <c r="L3">
        <f>+_xlfn.XLOOKUP(L2,'Evolución Deuda Total'!4:4,'Evolución Deuda Total'!7:7)</f>
        <v>26974.277571758528</v>
      </c>
      <c r="M3">
        <f>+_xlfn.XLOOKUP(M2,'Evolución Deuda Total'!4:4,'Evolución Deuda Total'!7:7)</f>
        <v>28856.463975405597</v>
      </c>
      <c r="N3">
        <f>+_xlfn.XLOOKUP(N2,'Evolución Deuda Total'!4:4,'Evolución Deuda Total'!7:7)</f>
        <v>27813.044351214266</v>
      </c>
      <c r="O3">
        <f>+_xlfn.XLOOKUP(O2,'Evolución Deuda Total'!4:4,'Evolución Deuda Total'!7:7)</f>
        <v>34721.845252353349</v>
      </c>
      <c r="P3">
        <f>+_xlfn.XLOOKUP(P2,'Evolución Deuda Total'!4:4,'Evolución Deuda Total'!7:7)</f>
        <v>35143.966680540674</v>
      </c>
      <c r="Q3">
        <f>+_xlfn.XLOOKUP(Q2,'Evolución Deuda Total'!4:4,'Evolución Deuda Total'!7:7)</f>
        <v>36118.107128408214</v>
      </c>
      <c r="R3">
        <f>+_xlfn.XLOOKUP(R2,'Evolución Deuda Total'!4:4,'Evolución Deuda Total'!7:7)</f>
        <v>38411.005886231746</v>
      </c>
      <c r="S3">
        <f>+_xlfn.XLOOKUP(S2,'Evolución Deuda Total'!4:4,'Evolución Deuda Total'!7:7)</f>
        <v>45078.167330485368</v>
      </c>
      <c r="T3">
        <f>+_xlfn.XLOOKUP(T2,'Evolución Deuda Total'!4:4,'Evolución Deuda Total'!7:7)</f>
        <v>52158.216815698863</v>
      </c>
      <c r="U3">
        <f>+_xlfn.XLOOKUP(U2,'Evolución Deuda Total'!4:4,'Evolución Deuda Total'!7:7)</f>
        <v>53969.19287518537</v>
      </c>
      <c r="V3">
        <f>+_xlfn.XLOOKUP(V2,'Evolución Deuda Total'!4:4,'Evolución Deuda Total'!7:7)</f>
        <v>57436.301997247203</v>
      </c>
      <c r="W3">
        <f>+_xlfn.XLOOKUP(W2,'Evolución Deuda Total'!4:4,'Evolución Deuda Total'!7:7)</f>
        <v>61807.524405070901</v>
      </c>
      <c r="X3">
        <f>+_xlfn.XLOOKUP(X2,'Evolución Deuda Total'!4:4,'Evolución Deuda Total'!7:7)</f>
        <v>74754.60925710127</v>
      </c>
      <c r="Y3">
        <f>+_xlfn.XLOOKUP(Y2,'Evolución Deuda Total'!4:4,'Evolución Deuda Total'!7:7)</f>
        <v>82512.896920442698</v>
      </c>
      <c r="Z3">
        <f>+_xlfn.XLOOKUP(Z2,'Evolución Deuda Total'!4:4,'Evolución Deuda Total'!7:7)</f>
        <v>80568.265416958544</v>
      </c>
      <c r="AA3">
        <f>+_xlfn.XLOOKUP(AA2,'Evolución Deuda Total'!4:4,'Evolución Deuda Total'!7:7)</f>
        <v>88114.501807707595</v>
      </c>
      <c r="AB3">
        <f>+_xlfn.XLOOKUP(AB2,'Evolución Deuda Total'!4:4,'Evolución Deuda Total'!7:7)</f>
        <v>94876.672754353975</v>
      </c>
      <c r="AC3">
        <f>+_xlfn.XLOOKUP(AC2,'Evolución Deuda Total'!4:4,'Evolución Deuda Total'!7:7)</f>
        <v>113857.92866559949</v>
      </c>
      <c r="AD3">
        <f>+_xlfn.XLOOKUP(AD2,'Evolución Deuda Total'!4:4,'Evolución Deuda Total'!7:7)</f>
        <v>110213.2372194096</v>
      </c>
      <c r="AE3">
        <f>+_xlfn.XLOOKUP(AE2,'Evolución Deuda Total'!4:4,'Evolución Deuda Total'!7:7)</f>
        <v>112324.6814903288</v>
      </c>
      <c r="AF3">
        <f>+_xlfn.XLOOKUP(AF2,'Evolución Deuda Total'!4:4,'Evolución Deuda Total'!7:7)</f>
        <v>122062.20787198372</v>
      </c>
      <c r="AG3">
        <f>+_xlfn.XLOOKUP(AG2,'Evolución Deuda Total'!4:4,'Evolución Deuda Total'!7:7)</f>
        <v>144730.96280351933</v>
      </c>
      <c r="AH3">
        <f>+_xlfn.XLOOKUP(AH2,'Evolución Deuda Total'!4:4,'Evolución Deuda Total'!7:7)</f>
        <v>132286.93370824342</v>
      </c>
      <c r="AI3">
        <f>+_xlfn.XLOOKUP(AI2,'Evolución Deuda Total'!4:4,'Evolución Deuda Total'!7:7)</f>
        <v>148808.39178993742</v>
      </c>
      <c r="AJ3">
        <f>+_xlfn.XLOOKUP(AJ2,'Evolución Deuda Total'!4:4,'Evolución Deuda Total'!7:7)</f>
        <v>166947.41691268218</v>
      </c>
      <c r="AK3">
        <f>+_xlfn.XLOOKUP(AK2,'Evolución Deuda Total'!4:4,'Evolución Deuda Total'!7:7)</f>
        <v>224667.53603237009</v>
      </c>
      <c r="AL3">
        <f>+_xlfn.XLOOKUP(AL2,'Evolución Deuda Total'!4:4,'Evolución Deuda Total'!7:7)</f>
        <v>200144.47512748229</v>
      </c>
      <c r="AM3">
        <f>+_xlfn.XLOOKUP(AM2,'Evolución Deuda Total'!4:4,'Evolución Deuda Total'!7:7)</f>
        <v>243974.74979249097</v>
      </c>
      <c r="AN3">
        <f>+_xlfn.XLOOKUP(AN2,'Evolución Deuda Total'!4:4,'Evolución Deuda Total'!7:7)</f>
        <v>328860.73552911391</v>
      </c>
      <c r="AO3" t="e">
        <f>+_xlfn.XLOOKUP(AO2,'Evolución Deuda Total'!4:4,'Evolución Deuda Total'!7:7)</f>
        <v>#N/A</v>
      </c>
    </row>
    <row r="4" spans="1:41" x14ac:dyDescent="0.25">
      <c r="A4" t="s">
        <v>194</v>
      </c>
      <c r="B4">
        <v>132189.44600439098</v>
      </c>
      <c r="C4">
        <v>132189.44600439098</v>
      </c>
      <c r="D4">
        <v>132189.44600439098</v>
      </c>
      <c r="E4">
        <v>132189.44600439098</v>
      </c>
      <c r="F4">
        <v>166195.34617819352</v>
      </c>
      <c r="G4">
        <v>166195.34617819352</v>
      </c>
      <c r="H4">
        <v>166195.34617819352</v>
      </c>
      <c r="I4">
        <v>166195.34617819352</v>
      </c>
      <c r="J4">
        <v>222509.51696513436</v>
      </c>
      <c r="K4">
        <v>222509.51696513436</v>
      </c>
      <c r="L4">
        <v>222509.51696513436</v>
      </c>
      <c r="M4">
        <v>222509.51696513436</v>
      </c>
      <c r="N4">
        <v>281052.72591586661</v>
      </c>
      <c r="O4">
        <v>281052.72591586661</v>
      </c>
      <c r="P4">
        <v>281052.72591586661</v>
      </c>
      <c r="Q4">
        <v>281052.72591586661</v>
      </c>
      <c r="R4">
        <v>391618.33980809106</v>
      </c>
      <c r="S4">
        <v>391618.33980809106</v>
      </c>
      <c r="T4">
        <v>391618.33980809106</v>
      </c>
      <c r="U4">
        <v>391618.33980809106</v>
      </c>
      <c r="V4">
        <v>564916.25267370534</v>
      </c>
      <c r="W4">
        <v>564916.25267370534</v>
      </c>
      <c r="X4">
        <v>564916.25267370534</v>
      </c>
      <c r="Y4">
        <v>564916.25267370534</v>
      </c>
      <c r="Z4">
        <v>739953.12215122033</v>
      </c>
      <c r="AA4">
        <v>739953.12215122033</v>
      </c>
      <c r="AB4">
        <v>739953.12215122033</v>
      </c>
      <c r="AC4">
        <v>739953.12215122033</v>
      </c>
      <c r="AD4">
        <v>1166100.4435921544</v>
      </c>
      <c r="AE4">
        <v>1166100.4435921544</v>
      </c>
      <c r="AF4">
        <v>1166100.4435921544</v>
      </c>
      <c r="AG4">
        <v>1166100.4435921544</v>
      </c>
      <c r="AH4">
        <v>2209050.3092668322</v>
      </c>
      <c r="AI4">
        <v>2209050.3092668322</v>
      </c>
      <c r="AJ4">
        <v>2209050.3092668322</v>
      </c>
      <c r="AK4">
        <v>2209050.3092668322</v>
      </c>
    </row>
    <row r="6" spans="1:41" x14ac:dyDescent="0.25">
      <c r="A6" t="s">
        <v>196</v>
      </c>
      <c r="B6" s="120">
        <f>+B3/B4</f>
        <v>7.2591190403288736E-2</v>
      </c>
      <c r="C6" s="120">
        <f t="shared" ref="C6:AK6" si="0">+C3/C4</f>
        <v>7.6060903278814096E-2</v>
      </c>
      <c r="D6" s="120">
        <f t="shared" si="0"/>
        <v>7.7749565866389994E-2</v>
      </c>
      <c r="E6" s="120">
        <f t="shared" si="0"/>
        <v>8.5571183709206716E-2</v>
      </c>
      <c r="F6" s="120">
        <f t="shared" si="0"/>
        <v>6.1635656176719449E-2</v>
      </c>
      <c r="G6" s="120">
        <f t="shared" si="0"/>
        <v>7.0222008200981109E-2</v>
      </c>
      <c r="H6" s="120">
        <f t="shared" si="0"/>
        <v>7.3496506323127722E-2</v>
      </c>
      <c r="I6" s="120">
        <f t="shared" si="0"/>
        <v>0.11637733438701836</v>
      </c>
      <c r="J6" s="120">
        <f t="shared" si="0"/>
        <v>7.7755267567067438E-2</v>
      </c>
      <c r="K6" s="120">
        <f t="shared" si="0"/>
        <v>0.11308978698358528</v>
      </c>
      <c r="L6" s="120">
        <f t="shared" si="0"/>
        <v>0.12122752293775013</v>
      </c>
      <c r="M6" s="120">
        <f t="shared" si="0"/>
        <v>0.12968642586162818</v>
      </c>
      <c r="N6" s="120">
        <f t="shared" si="0"/>
        <v>9.8960236946928334E-2</v>
      </c>
      <c r="O6" s="120">
        <f t="shared" si="0"/>
        <v>0.12354210456136036</v>
      </c>
      <c r="P6" s="120">
        <f t="shared" si="0"/>
        <v>0.12504403423242744</v>
      </c>
      <c r="Q6" s="120">
        <f t="shared" si="0"/>
        <v>0.12851007586106886</v>
      </c>
      <c r="R6" s="120">
        <f t="shared" si="0"/>
        <v>9.8082755534520435E-2</v>
      </c>
      <c r="S6" s="120">
        <f t="shared" si="0"/>
        <v>0.11510739602383153</v>
      </c>
      <c r="T6" s="120">
        <f t="shared" si="0"/>
        <v>0.13318634883457836</v>
      </c>
      <c r="U6" s="120">
        <f t="shared" si="0"/>
        <v>0.13781068808379218</v>
      </c>
      <c r="V6" s="120">
        <f t="shared" si="0"/>
        <v>0.10167224208084931</v>
      </c>
      <c r="W6" s="120">
        <f t="shared" si="0"/>
        <v>0.1094100658505409</v>
      </c>
      <c r="X6" s="120">
        <f t="shared" si="0"/>
        <v>0.13232865739531025</v>
      </c>
      <c r="Y6" s="120">
        <f t="shared" si="0"/>
        <v>0.14606217564092991</v>
      </c>
      <c r="Z6" s="120">
        <f t="shared" si="0"/>
        <v>0.10888293191158835</v>
      </c>
      <c r="AA6" s="120">
        <f t="shared" si="0"/>
        <v>0.11908119469992599</v>
      </c>
      <c r="AB6" s="120">
        <f t="shared" si="0"/>
        <v>0.12821984246586438</v>
      </c>
      <c r="AC6" s="120">
        <f t="shared" si="0"/>
        <v>0.1538718133043176</v>
      </c>
      <c r="AD6" s="120">
        <f t="shared" si="0"/>
        <v>9.4514360083681484E-2</v>
      </c>
      <c r="AE6" s="120">
        <f t="shared" si="0"/>
        <v>9.6325048247399986E-2</v>
      </c>
      <c r="AF6" s="120">
        <f t="shared" si="0"/>
        <v>0.10467555221570191</v>
      </c>
      <c r="AG6" s="120">
        <f t="shared" si="0"/>
        <v>0.12411534838086317</v>
      </c>
      <c r="AH6" s="120">
        <f t="shared" si="0"/>
        <v>5.988407468734766E-2</v>
      </c>
      <c r="AI6" s="120">
        <f t="shared" si="0"/>
        <v>6.7363061477457187E-2</v>
      </c>
      <c r="AJ6" s="120">
        <f t="shared" si="0"/>
        <v>7.5574293719046545E-2</v>
      </c>
      <c r="AK6" s="120">
        <f t="shared" si="0"/>
        <v>0.10170322291434622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11</vt:i4>
      </vt:variant>
    </vt:vector>
  </HeadingPairs>
  <TitlesOfParts>
    <vt:vector size="22" baseType="lpstr">
      <vt:lpstr>Servicios Deuda Anual</vt:lpstr>
      <vt:lpstr>Perfil Amort Mensual</vt:lpstr>
      <vt:lpstr>Gráficos_2</vt:lpstr>
      <vt:lpstr>Perfil Int Mensual</vt:lpstr>
      <vt:lpstr>Gráficos</vt:lpstr>
      <vt:lpstr>Base Graf</vt:lpstr>
      <vt:lpstr>Ratios 2024</vt:lpstr>
      <vt:lpstr>Avales</vt:lpstr>
      <vt:lpstr>Evolución Deuda Total</vt:lpstr>
      <vt:lpstr>IPC</vt:lpstr>
      <vt:lpstr>PBG</vt:lpstr>
      <vt:lpstr>Acreedor_pesos</vt:lpstr>
      <vt:lpstr>Acreedor_USD</vt:lpstr>
      <vt:lpstr>Acreedor_UVA</vt:lpstr>
      <vt:lpstr>Por_moneda</vt:lpstr>
      <vt:lpstr>Por_tasa_int</vt:lpstr>
      <vt:lpstr>Servicio_pesos</vt:lpstr>
      <vt:lpstr>Servicio_USD</vt:lpstr>
      <vt:lpstr>Servicio_UVA</vt:lpstr>
      <vt:lpstr>Vto_en_pesos</vt:lpstr>
      <vt:lpstr>Vto_en_USD</vt:lpstr>
      <vt:lpstr>Vto_en_UVA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Natalia Bruno</cp:lastModifiedBy>
  <dcterms:created xsi:type="dcterms:W3CDTF">2020-03-11T14:25:05Z</dcterms:created>
  <dcterms:modified xsi:type="dcterms:W3CDTF">2024-04-30T19:00:26Z</dcterms:modified>
</cp:coreProperties>
</file>