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Y:\AAA TABLERO DEUDA\NUEVO TABLERO\ACH\Informe trimestral de deuda\2024 - 09\"/>
    </mc:Choice>
  </mc:AlternateContent>
  <xr:revisionPtr revIDLastSave="0" documentId="13_ncr:1_{F3A6D2B1-2D43-4671-95BC-E83C77214F59}" xr6:coauthVersionLast="47" xr6:coauthVersionMax="47" xr10:uidLastSave="{00000000-0000-0000-0000-000000000000}"/>
  <bookViews>
    <workbookView xWindow="20280" yWindow="-120" windowWidth="24240" windowHeight="13020" tabRatio="885" xr2:uid="{00000000-000D-0000-FFFF-FFFF00000000}"/>
  </bookViews>
  <sheets>
    <sheet name="Servicios Deuda Anual" sheetId="4" r:id="rId1"/>
    <sheet name="Base Graf" sheetId="7" state="hidden" r:id="rId2"/>
    <sheet name="Perfil Amort Mensual" sheetId="2" r:id="rId3"/>
    <sheet name="Gráficos_2" sheetId="9" state="hidden" r:id="rId4"/>
    <sheet name="Perfil Int Mensual" sheetId="3" r:id="rId5"/>
    <sheet name="Gráficos" sheetId="13" r:id="rId6"/>
    <sheet name="Ratios 2024" sheetId="5" r:id="rId7"/>
    <sheet name="Avales" sheetId="12" r:id="rId8"/>
    <sheet name="Evolución Deuda Total" sheetId="6" r:id="rId9"/>
    <sheet name="IPC" sheetId="10" state="hidden" r:id="rId10"/>
    <sheet name="PBG" sheetId="11" state="hidden" r:id="rId11"/>
  </sheets>
  <externalReferences>
    <externalReference r:id="rId12"/>
  </externalReferences>
  <definedNames>
    <definedName name="_Fill" localSheetId="8" hidden="1">#REF!</definedName>
    <definedName name="_Fill" localSheetId="4" hidden="1">#REF!</definedName>
    <definedName name="_Fill" localSheetId="6" hidden="1">#REF!</definedName>
    <definedName name="_Fill" hidden="1">#REF!</definedName>
    <definedName name="_xlnm._FilterDatabase" localSheetId="0" hidden="1">'Servicios Deuda Anual'!$A$10:$CR$14</definedName>
    <definedName name="_Key1" localSheetId="8" hidden="1">#REF!</definedName>
    <definedName name="_Key1" localSheetId="4" hidden="1">#REF!</definedName>
    <definedName name="_Key1" localSheetId="6" hidden="1">#REF!</definedName>
    <definedName name="_Key1" hidden="1">#REF!</definedName>
    <definedName name="_Order1" hidden="1">255</definedName>
    <definedName name="_Parse_In" localSheetId="8" hidden="1">#REF!</definedName>
    <definedName name="_Parse_In" localSheetId="4" hidden="1">#REF!</definedName>
    <definedName name="_Parse_In" localSheetId="6" hidden="1">#REF!</definedName>
    <definedName name="_Parse_In" hidden="1">#REF!</definedName>
    <definedName name="_Parse_Out" localSheetId="8" hidden="1">#REF!</definedName>
    <definedName name="_Parse_Out" localSheetId="4" hidden="1">#REF!</definedName>
    <definedName name="_Parse_Out" localSheetId="6" hidden="1">#REF!</definedName>
    <definedName name="_Parse_Out" hidden="1">#REF!</definedName>
    <definedName name="_Sort" localSheetId="8" hidden="1">#REF!</definedName>
    <definedName name="_Sort" localSheetId="4" hidden="1">#REF!</definedName>
    <definedName name="_Sort" localSheetId="6" hidden="1">#REF!</definedName>
    <definedName name="_Sort" hidden="1">#REF!</definedName>
    <definedName name="Acreedor_pesos">'Base Graf'!$BN$148:$BN$164</definedName>
    <definedName name="Acreedor_USD">'Base Graf'!$BN$167:$BN$183</definedName>
    <definedName name="Acreedor_UVA">'Base Graf'!$BN$186:$BN$202</definedName>
    <definedName name="ACwvu.PLA1." localSheetId="8" hidden="1">'[1]COP FED'!#REF!</definedName>
    <definedName name="ACwvu.PLA1." localSheetId="4" hidden="1">'[1]COP FED'!#REF!</definedName>
    <definedName name="ACwvu.PLA1." localSheetId="6" hidden="1">'[1]COP FED'!#REF!</definedName>
    <definedName name="ACwvu.PLA1." hidden="1">'[1]COP FED'!#REF!</definedName>
    <definedName name="ACwvu.PLA2." hidden="1">'[1]COP FED'!$A$1:$N$49</definedName>
    <definedName name="caja" localSheetId="8" hidden="1">{FALSE,FALSE,-1.25,-15.5,484.5,276.75,FALSE,FALSE,TRUE,TRUE,0,12,#N/A,46,#N/A,2.93460490463215,15.35,1,FALSE,FALSE,3,TRUE,1,FALSE,100,"Swvu.PLA1.","ACwvu.PLA1.",#N/A,FALSE,FALSE,0,0,0,0,2,"","",TRUE,TRUE,FALSE,FALSE,1,60,#N/A,#N/A,FALSE,FALSE,FALSE,FALSE,FALSE,FALSE,FALSE,9,65532,65532,FALSE,FALSE,TRUE,TRUE,TRUE}</definedName>
    <definedName name="caja" localSheetId="6"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grafacreedor">CHOOSE(Gráficos_2!$K$64,Acreedor_pesos,Acreedor_USD,Acreedor_UVA)</definedName>
    <definedName name="grafcomp">CHOOSE(Gráficos_2!$K$6,Por_tasa_int,Por_moneda)</definedName>
    <definedName name="grafserv">CHOOSE(Gráficos_2!$K$44,Servicio_pesos,Servicio_USD,Servicio_UVA)</definedName>
    <definedName name="grafvto">CHOOSE(Gráficos_2!$K$25,Vto_en_pesos,Vto_en_USD,Vto_en_UVA)</definedName>
    <definedName name="LL" localSheetId="8" hidden="1">{FALSE,FALSE,-1.25,-15.5,484.5,276.75,FALSE,FALSE,TRUE,TRUE,0,12,#N/A,46,#N/A,2.93460490463215,15.35,1,FALSE,FALSE,3,TRUE,1,FALSE,100,"Swvu.PLA1.","ACwvu.PLA1.",#N/A,FALSE,FALSE,0,0,0,0,2,"","",TRUE,TRUE,FALSE,FALSE,1,60,#N/A,#N/A,FALSE,FALSE,FALSE,FALSE,FALSE,FALSE,FALSE,9,65532,65532,FALSE,FALSE,TRUE,TRUE,TRUE}</definedName>
    <definedName name="LL" localSheetId="6"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nu" localSheetId="8" hidden="1">'[1]COP FED'!#REF!</definedName>
    <definedName name="nu" localSheetId="4" hidden="1">'[1]COP FED'!#REF!</definedName>
    <definedName name="nu" localSheetId="6" hidden="1">'[1]COP FED'!#REF!</definedName>
    <definedName name="nu" hidden="1">'[1]COP FED'!#REF!</definedName>
    <definedName name="Por_moneda">'Base Graf'!$BN$20:$BN$36</definedName>
    <definedName name="Por_tasa_int">'Base Graf'!$BN$3:$BN$18</definedName>
    <definedName name="Rwvu.PLA2." localSheetId="8" hidden="1">'[1]COP FED'!#REF!</definedName>
    <definedName name="Rwvu.PLA2." localSheetId="4" hidden="1">'[1]COP FED'!#REF!</definedName>
    <definedName name="Rwvu.PLA2." localSheetId="6" hidden="1">'[1]COP FED'!#REF!</definedName>
    <definedName name="Rwvu.PLA2." hidden="1">'[1]COP FED'!#REF!</definedName>
    <definedName name="Servicio_pesos">'Base Graf'!$BN$93:$BN$109</definedName>
    <definedName name="Servicio_USD">'Base Graf'!$BN$111:$BN$127</definedName>
    <definedName name="Servicio_UVA">'Base Graf'!$BN$130:$BN$146</definedName>
    <definedName name="Swvu.PLA1." localSheetId="8" hidden="1">'[1]COP FED'!#REF!</definedName>
    <definedName name="Swvu.PLA1." localSheetId="4" hidden="1">'[1]COP FED'!#REF!</definedName>
    <definedName name="Swvu.PLA1." localSheetId="6" hidden="1">'[1]COP FED'!#REF!</definedName>
    <definedName name="Swvu.PLA1." hidden="1">'[1]COP FED'!#REF!</definedName>
    <definedName name="Swvu.PLA2." hidden="1">'[1]COP FED'!$A$1:$N$49</definedName>
    <definedName name="Vto_en_pesos">'Base Graf'!$BN$39:$BN$55</definedName>
    <definedName name="Vto_en_USD">'Base Graf'!$BN$57:$BN$73</definedName>
    <definedName name="Vto_en_UVA">'Base Graf'!$BN$75:$BN$91</definedName>
    <definedName name="wvu.PLA1." localSheetId="8" hidden="1">{FALSE,FALSE,-1.25,-15.5,484.5,276.75,FALSE,FALSE,TRUE,TRUE,0,12,#N/A,46,#N/A,2.93460490463215,15.35,1,FALSE,FALSE,3,TRUE,1,FALSE,100,"Swvu.PLA1.","ACwvu.PLA1.",#N/A,FALSE,FALSE,0,0,0,0,2,"","",TRUE,TRUE,FALSE,FALSE,1,60,#N/A,#N/A,FALSE,FALSE,FALSE,FALSE,FALSE,FALSE,FALSE,9,65532,65532,FALSE,FALSE,TRUE,TRUE,TRUE}</definedName>
    <definedName name="wvu.PLA1." localSheetId="6"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8" hidden="1">{TRUE,TRUE,-1.25,-15.5,484.5,276.75,FALSE,FALSE,TRUE,TRUE,0,15,#N/A,56,#N/A,4.88636363636364,15.35,1,FALSE,FALSE,3,TRUE,1,FALSE,100,"Swvu.PLA2.","ACwvu.PLA2.",#N/A,FALSE,FALSE,0,0,0,0,2,"","",TRUE,TRUE,FALSE,FALSE,1,60,#N/A,#N/A,FALSE,FALSE,"Rwvu.PLA2.",#N/A,FALSE,FALSE,FALSE,9,65532,65532,FALSE,FALSE,TRUE,TRUE,TRUE}</definedName>
    <definedName name="wvu.PLA2." localSheetId="6"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10" l="1"/>
  <c r="M4" i="10"/>
  <c r="M5" i="10"/>
  <c r="M6" i="10"/>
  <c r="M7" i="10"/>
  <c r="M8" i="10"/>
  <c r="M9" i="10"/>
  <c r="M10" i="10"/>
  <c r="M11" i="10"/>
  <c r="M12" i="10"/>
  <c r="M13" i="10"/>
  <c r="M14" i="10"/>
  <c r="M15" i="10"/>
  <c r="M16" i="10"/>
  <c r="M17" i="10"/>
  <c r="M18" i="10"/>
  <c r="M19" i="10"/>
  <c r="M20" i="10"/>
  <c r="M21" i="10"/>
  <c r="M22" i="10"/>
  <c r="M23" i="10"/>
  <c r="M24" i="10"/>
  <c r="M25" i="10"/>
  <c r="M26" i="10"/>
  <c r="M27" i="10"/>
  <c r="M28" i="10"/>
  <c r="M29" i="10"/>
  <c r="M30" i="10"/>
  <c r="M31" i="10"/>
  <c r="M32" i="10"/>
  <c r="M33" i="10"/>
  <c r="M34" i="10"/>
  <c r="M35" i="10"/>
  <c r="M36" i="10"/>
  <c r="M37" i="10"/>
  <c r="M38" i="10"/>
  <c r="M39" i="10"/>
  <c r="M40" i="10"/>
  <c r="M41" i="10"/>
  <c r="M42" i="10"/>
  <c r="M43" i="10"/>
  <c r="M44" i="10"/>
  <c r="M45" i="10"/>
  <c r="G45" i="10"/>
  <c r="E130" i="10"/>
  <c r="E131" i="10" s="1"/>
  <c r="E132" i="10" s="1"/>
  <c r="A130" i="10"/>
  <c r="A131" i="10" s="1"/>
  <c r="A132" i="10" s="1"/>
  <c r="E14" i="5" l="1"/>
  <c r="E17" i="5" l="1"/>
  <c r="E11" i="5"/>
  <c r="E8" i="5"/>
  <c r="E5" i="5"/>
  <c r="H8" i="7" l="1"/>
  <c r="AR24" i="7" l="1"/>
  <c r="D14" i="5" l="1"/>
  <c r="G44" i="10" l="1"/>
  <c r="E127" i="10"/>
  <c r="E128" i="10" s="1"/>
  <c r="E129" i="10" s="1"/>
  <c r="A127" i="10"/>
  <c r="A128" i="10" s="1"/>
  <c r="A129" i="10" s="1"/>
  <c r="D11" i="5" l="1"/>
  <c r="D17" i="5" l="1"/>
  <c r="D8" i="5"/>
  <c r="D5" i="5"/>
  <c r="Q10" i="4" l="1"/>
  <c r="S10" i="4"/>
  <c r="U10" i="4"/>
  <c r="W10" i="4"/>
  <c r="Y10" i="4"/>
  <c r="AA10" i="4"/>
  <c r="AC10" i="4"/>
  <c r="Q12" i="4"/>
  <c r="S12" i="4"/>
  <c r="U12" i="4"/>
  <c r="W12" i="4"/>
  <c r="Y12" i="4"/>
  <c r="AA12" i="4"/>
  <c r="AB12" i="4"/>
  <c r="AC12" i="4"/>
  <c r="D63" i="4"/>
  <c r="G43" i="10" l="1"/>
  <c r="E124" i="10"/>
  <c r="E125" i="10" s="1"/>
  <c r="E126" i="10" s="1"/>
  <c r="A124" i="10"/>
  <c r="A125" i="10" s="1"/>
  <c r="A126" i="10" s="1"/>
  <c r="C5" i="5" l="1"/>
  <c r="AC37" i="4" l="1"/>
  <c r="AB37" i="4"/>
  <c r="AA37" i="4"/>
  <c r="Y37" i="4"/>
  <c r="W37" i="4"/>
  <c r="U37" i="4"/>
  <c r="S37" i="4"/>
  <c r="Q37" i="4"/>
  <c r="AC36" i="4"/>
  <c r="AB36" i="4"/>
  <c r="AA36" i="4"/>
  <c r="Y36" i="4"/>
  <c r="W36" i="4"/>
  <c r="U36" i="4"/>
  <c r="S36" i="4"/>
  <c r="Q36" i="4"/>
  <c r="AO6" i="6" l="1"/>
  <c r="BG96" i="7"/>
  <c r="BG97" i="7" s="1"/>
  <c r="BG98" i="7" s="1"/>
  <c r="BG99" i="7" s="1"/>
  <c r="BG100" i="7" s="1"/>
  <c r="BG101" i="7" s="1"/>
  <c r="BI59" i="7"/>
  <c r="BI60" i="7" s="1"/>
  <c r="BI61" i="7" s="1"/>
  <c r="BI62" i="7" s="1"/>
  <c r="BI63" i="7" s="1"/>
  <c r="BI64" i="7" s="1"/>
  <c r="AQ24" i="7" l="1"/>
  <c r="D121" i="10" l="1"/>
  <c r="D122" i="10"/>
  <c r="D123" i="10"/>
  <c r="AN7" i="6"/>
  <c r="AN13" i="6" l="1"/>
  <c r="AN9" i="6"/>
  <c r="AN11" i="6"/>
  <c r="S31" i="3"/>
  <c r="S6" i="3"/>
  <c r="AC43" i="4"/>
  <c r="AB43" i="4"/>
  <c r="AA43" i="4"/>
  <c r="Y43" i="4"/>
  <c r="W43" i="4"/>
  <c r="U43" i="4"/>
  <c r="S43" i="4"/>
  <c r="Q43" i="4"/>
  <c r="AC42" i="4"/>
  <c r="AB42" i="4"/>
  <c r="AA42" i="4"/>
  <c r="Y42" i="4"/>
  <c r="W42" i="4"/>
  <c r="U42" i="4"/>
  <c r="S42" i="4"/>
  <c r="Q42" i="4"/>
  <c r="AC41" i="4"/>
  <c r="AB41" i="4"/>
  <c r="AA41" i="4"/>
  <c r="Y41" i="4"/>
  <c r="W41" i="4"/>
  <c r="U41" i="4"/>
  <c r="S41" i="4"/>
  <c r="Q41" i="4"/>
  <c r="AC40" i="4"/>
  <c r="AB40" i="4"/>
  <c r="AA40" i="4"/>
  <c r="Y40" i="4"/>
  <c r="W40" i="4"/>
  <c r="U40" i="4"/>
  <c r="S40" i="4"/>
  <c r="Q40" i="4"/>
  <c r="AC39" i="4"/>
  <c r="AB39" i="4"/>
  <c r="AA39" i="4"/>
  <c r="Y39" i="4"/>
  <c r="W39" i="4"/>
  <c r="U39" i="4"/>
  <c r="S39" i="4"/>
  <c r="Q39" i="4"/>
  <c r="AC38" i="4"/>
  <c r="AB38" i="4"/>
  <c r="AA38" i="4"/>
  <c r="Y38" i="4"/>
  <c r="W38" i="4"/>
  <c r="U38" i="4"/>
  <c r="S38" i="4"/>
  <c r="Q38" i="4"/>
  <c r="AC35" i="4"/>
  <c r="AB35" i="4"/>
  <c r="AA35" i="4"/>
  <c r="Z35" i="4"/>
  <c r="Y35" i="4"/>
  <c r="X35" i="4"/>
  <c r="W35" i="4"/>
  <c r="V35" i="4"/>
  <c r="U35" i="4"/>
  <c r="T35" i="4"/>
  <c r="S35" i="4"/>
  <c r="R35" i="4"/>
  <c r="Q35" i="4"/>
  <c r="P35" i="4"/>
  <c r="AB33" i="4"/>
  <c r="Z33" i="4"/>
  <c r="X33" i="4"/>
  <c r="V33" i="4"/>
  <c r="T33" i="4"/>
  <c r="R33" i="4"/>
  <c r="P33" i="4"/>
  <c r="AB32" i="4"/>
  <c r="Z32" i="4"/>
  <c r="X32" i="4"/>
  <c r="V32" i="4"/>
  <c r="T32" i="4"/>
  <c r="R32" i="4"/>
  <c r="P32" i="4"/>
  <c r="AB31" i="4"/>
  <c r="Z31" i="4"/>
  <c r="X31" i="4"/>
  <c r="V31" i="4"/>
  <c r="T31" i="4"/>
  <c r="R31" i="4"/>
  <c r="P31" i="4"/>
  <c r="AC29" i="4"/>
  <c r="AB29" i="4"/>
  <c r="AA29" i="4"/>
  <c r="Z29" i="4"/>
  <c r="Y29" i="4"/>
  <c r="X29" i="4"/>
  <c r="W29" i="4"/>
  <c r="V29" i="4"/>
  <c r="U29" i="4"/>
  <c r="T29" i="4"/>
  <c r="S29" i="4"/>
  <c r="R29" i="4"/>
  <c r="Q29" i="4"/>
  <c r="P29" i="4"/>
  <c r="AC28" i="4"/>
  <c r="AB28" i="4"/>
  <c r="AA28" i="4"/>
  <c r="Z28" i="4"/>
  <c r="Y28" i="4"/>
  <c r="X28" i="4"/>
  <c r="W28" i="4"/>
  <c r="V28" i="4"/>
  <c r="U28" i="4"/>
  <c r="T28" i="4"/>
  <c r="S28" i="4"/>
  <c r="R28" i="4"/>
  <c r="P28" i="4"/>
  <c r="AC27" i="4"/>
  <c r="AB27" i="4"/>
  <c r="AA27" i="4"/>
  <c r="Z27" i="4"/>
  <c r="Y27" i="4"/>
  <c r="X27" i="4"/>
  <c r="W27" i="4"/>
  <c r="V27" i="4"/>
  <c r="U27" i="4"/>
  <c r="T27" i="4"/>
  <c r="S27" i="4"/>
  <c r="R27" i="4"/>
  <c r="Q27" i="4"/>
  <c r="P27" i="4"/>
  <c r="AB26" i="4"/>
  <c r="Z26" i="4"/>
  <c r="X26" i="4"/>
  <c r="V26" i="4"/>
  <c r="T26" i="4"/>
  <c r="R26" i="4"/>
  <c r="P26" i="4"/>
  <c r="AB24" i="4"/>
  <c r="Z24" i="4"/>
  <c r="X24" i="4"/>
  <c r="V24" i="4"/>
  <c r="T24" i="4"/>
  <c r="R24" i="4"/>
  <c r="P24" i="4"/>
  <c r="AC25" i="4"/>
  <c r="AB25" i="4"/>
  <c r="Z25" i="4"/>
  <c r="X25" i="4"/>
  <c r="V25" i="4"/>
  <c r="T25" i="4"/>
  <c r="R25" i="4"/>
  <c r="P25" i="4"/>
  <c r="AB23" i="4"/>
  <c r="Z23" i="4"/>
  <c r="X23" i="4"/>
  <c r="V23" i="4"/>
  <c r="T23" i="4"/>
  <c r="R23" i="4"/>
  <c r="P23" i="4"/>
  <c r="AB22" i="4"/>
  <c r="Z22" i="4"/>
  <c r="X22" i="4"/>
  <c r="V22" i="4"/>
  <c r="T22" i="4"/>
  <c r="R22" i="4"/>
  <c r="P22" i="4"/>
  <c r="AB21" i="4"/>
  <c r="Z21" i="4"/>
  <c r="X21" i="4"/>
  <c r="V21" i="4"/>
  <c r="T21" i="4"/>
  <c r="R21" i="4"/>
  <c r="P21" i="4"/>
  <c r="AB20" i="4"/>
  <c r="Z20" i="4"/>
  <c r="X20" i="4"/>
  <c r="V20" i="4"/>
  <c r="T20" i="4"/>
  <c r="R20" i="4"/>
  <c r="P20" i="4"/>
  <c r="AB19" i="4"/>
  <c r="Z19" i="4"/>
  <c r="X19" i="4"/>
  <c r="V19" i="4"/>
  <c r="T19" i="4"/>
  <c r="R19" i="4"/>
  <c r="P19" i="4"/>
  <c r="AC14" i="4"/>
  <c r="AB14" i="4"/>
  <c r="AA14" i="4"/>
  <c r="Y14" i="4"/>
  <c r="W14" i="4"/>
  <c r="U14" i="4"/>
  <c r="S14" i="4"/>
  <c r="Q14" i="4"/>
  <c r="AC13" i="4"/>
  <c r="AB13" i="4"/>
  <c r="AA13" i="4"/>
  <c r="Y13" i="4"/>
  <c r="W13" i="4"/>
  <c r="U13" i="4"/>
  <c r="S13" i="4"/>
  <c r="Q13" i="4"/>
  <c r="AC11" i="4"/>
  <c r="AB11" i="4"/>
  <c r="AA11" i="4"/>
  <c r="Y11" i="4"/>
  <c r="W11" i="4"/>
  <c r="U11" i="4"/>
  <c r="S11" i="4"/>
  <c r="Q11" i="4"/>
  <c r="S31" i="2"/>
  <c r="S6" i="2"/>
  <c r="Q28" i="4"/>
  <c r="D121" i="4"/>
  <c r="T6" i="3" l="1"/>
  <c r="T31" i="2"/>
  <c r="T6" i="2"/>
  <c r="T31" i="3"/>
  <c r="U6" i="3" l="1"/>
  <c r="U6" i="2"/>
  <c r="U31" i="2"/>
  <c r="U31" i="3"/>
  <c r="V31" i="2" l="1"/>
  <c r="V6" i="2"/>
  <c r="V31" i="3"/>
  <c r="V6" i="3"/>
  <c r="W31" i="3" l="1"/>
  <c r="W31" i="2"/>
  <c r="W6" i="2"/>
  <c r="W6" i="3"/>
  <c r="X31" i="2" l="1"/>
  <c r="X6" i="2"/>
  <c r="X6" i="3"/>
  <c r="X31" i="3"/>
  <c r="Y6" i="3" l="1"/>
  <c r="Y31" i="3"/>
  <c r="Y6" i="2"/>
  <c r="Y31" i="2"/>
  <c r="D112" i="4"/>
  <c r="D111" i="4"/>
  <c r="D109" i="4"/>
  <c r="D108" i="4"/>
  <c r="D110" i="4"/>
  <c r="Z6" i="2" l="1"/>
  <c r="Z31" i="3"/>
  <c r="Z31" i="2"/>
  <c r="Z6" i="3"/>
  <c r="D76" i="4"/>
  <c r="D67" i="4"/>
  <c r="D66" i="4"/>
  <c r="D64" i="4"/>
  <c r="AA31" i="2" l="1"/>
  <c r="AA6" i="2"/>
  <c r="AA31" i="3"/>
  <c r="AA6" i="3"/>
  <c r="AB31" i="3" l="1"/>
  <c r="AB6" i="2"/>
  <c r="AB6" i="3"/>
  <c r="AB31" i="2"/>
  <c r="AC6" i="3" l="1"/>
  <c r="AC6" i="2"/>
  <c r="AC31" i="2"/>
  <c r="AC31" i="3"/>
  <c r="AP14" i="7"/>
  <c r="AP13" i="7"/>
  <c r="AP12" i="7"/>
  <c r="AP11" i="7"/>
  <c r="AP10" i="7"/>
  <c r="AP9" i="7"/>
  <c r="AP8" i="7"/>
  <c r="AO14" i="7"/>
  <c r="AO13" i="7"/>
  <c r="AO12" i="7"/>
  <c r="AO11" i="7"/>
  <c r="AO10" i="7"/>
  <c r="AO9" i="7"/>
  <c r="AO8" i="7"/>
  <c r="AM14" i="7"/>
  <c r="AM13" i="7"/>
  <c r="AM12" i="7"/>
  <c r="AM11" i="7"/>
  <c r="AM10" i="7"/>
  <c r="AM9" i="7"/>
  <c r="AM8" i="7"/>
  <c r="AF14" i="7"/>
  <c r="AF13" i="7"/>
  <c r="AF12" i="7"/>
  <c r="AF11" i="7"/>
  <c r="AF10" i="7"/>
  <c r="AF9" i="7"/>
  <c r="AF8" i="7"/>
  <c r="AC24" i="7"/>
  <c r="AC14" i="7"/>
  <c r="AC13" i="7"/>
  <c r="AC12" i="7"/>
  <c r="AC11" i="7"/>
  <c r="AC10" i="7"/>
  <c r="AC9" i="7"/>
  <c r="AC8" i="7"/>
  <c r="AD24" i="7"/>
  <c r="AE24" i="7"/>
  <c r="AF24" i="7"/>
  <c r="AG24" i="7"/>
  <c r="AH24" i="7"/>
  <c r="AI24" i="7"/>
  <c r="AJ24" i="7"/>
  <c r="AK24" i="7"/>
  <c r="AL24" i="7"/>
  <c r="AM24" i="7"/>
  <c r="AN24" i="7"/>
  <c r="AO24" i="7"/>
  <c r="AP24" i="7"/>
  <c r="K41" i="10"/>
  <c r="D120" i="10"/>
  <c r="D119" i="10"/>
  <c r="D118" i="10"/>
  <c r="L14" i="7" l="1"/>
  <c r="K14" i="7"/>
  <c r="I14" i="7"/>
  <c r="H14" i="7"/>
  <c r="AC16" i="4"/>
  <c r="AB16" i="4"/>
  <c r="AA16" i="4"/>
  <c r="Y16" i="4"/>
  <c r="W16" i="4"/>
  <c r="U16" i="4"/>
  <c r="S16" i="4"/>
  <c r="Q16" i="4"/>
  <c r="K5" i="10" l="1"/>
  <c r="K6" i="10"/>
  <c r="K7" i="10"/>
  <c r="K8" i="10"/>
  <c r="K9" i="10"/>
  <c r="K10" i="10"/>
  <c r="K11" i="10"/>
  <c r="K12" i="10"/>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 i="10"/>
  <c r="E4" i="10"/>
  <c r="E5" i="10"/>
  <c r="E6" i="10"/>
  <c r="E7" i="10"/>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s="1"/>
  <c r="E41" i="10" s="1"/>
  <c r="E42" i="10" s="1"/>
  <c r="E43" i="10" s="1"/>
  <c r="E44" i="10" s="1"/>
  <c r="E45" i="10" s="1"/>
  <c r="E46" i="10" s="1"/>
  <c r="E47" i="10" s="1"/>
  <c r="E48" i="10" s="1"/>
  <c r="E49" i="10" s="1"/>
  <c r="E50" i="10" s="1"/>
  <c r="E51" i="10" s="1"/>
  <c r="E52" i="10" s="1"/>
  <c r="E53" i="10" s="1"/>
  <c r="E54" i="10" s="1"/>
  <c r="E55" i="10" s="1"/>
  <c r="E56" i="10" s="1"/>
  <c r="E57" i="10" s="1"/>
  <c r="E58" i="10" s="1"/>
  <c r="E59" i="10" s="1"/>
  <c r="E60" i="10" s="1"/>
  <c r="E61" i="10" s="1"/>
  <c r="E62" i="10" s="1"/>
  <c r="E63" i="10" s="1"/>
  <c r="E64" i="10" s="1"/>
  <c r="E65" i="10" s="1"/>
  <c r="E66" i="10" s="1"/>
  <c r="E67" i="10" s="1"/>
  <c r="E68" i="10" s="1"/>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3" i="10"/>
  <c r="G4" i="10"/>
  <c r="G5" i="10" s="1"/>
  <c r="G6" i="10" s="1"/>
  <c r="G7" i="10" s="1"/>
  <c r="G8" i="10" s="1"/>
  <c r="G9" i="10" s="1"/>
  <c r="G10" i="10" s="1"/>
  <c r="G11" i="10" s="1"/>
  <c r="G12" i="10" s="1"/>
  <c r="G13" i="10" s="1"/>
  <c r="G14" i="10" s="1"/>
  <c r="G15" i="10" s="1"/>
  <c r="G16" i="10" s="1"/>
  <c r="G17" i="10" s="1"/>
  <c r="G18" i="10" s="1"/>
  <c r="G19" i="10" s="1"/>
  <c r="G20" i="10" s="1"/>
  <c r="G21" i="10" s="1"/>
  <c r="G22" i="10" s="1"/>
  <c r="G23" i="10" s="1"/>
  <c r="G24" i="10" s="1"/>
  <c r="G25" i="10" s="1"/>
  <c r="G26" i="10" s="1"/>
  <c r="G27" i="10" s="1"/>
  <c r="G28" i="10" s="1"/>
  <c r="G29" i="10" s="1"/>
  <c r="G30" i="10" s="1"/>
  <c r="G31" i="10" s="1"/>
  <c r="G32" i="10" s="1"/>
  <c r="G33" i="10" s="1"/>
  <c r="G34" i="10" s="1"/>
  <c r="G35" i="10" s="1"/>
  <c r="G36" i="10" s="1"/>
  <c r="G37" i="10" s="1"/>
  <c r="G38" i="10" s="1"/>
  <c r="G39" i="10" s="1"/>
  <c r="G40" i="10" s="1"/>
  <c r="G41" i="10" s="1"/>
  <c r="G42" i="10" s="1"/>
  <c r="D5" i="10"/>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4" i="10"/>
  <c r="A4" i="10"/>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L7" i="6"/>
  <c r="E119" i="10" l="1"/>
  <c r="E120" i="10" s="1"/>
  <c r="H18" i="10"/>
  <c r="H12" i="10"/>
  <c r="H6" i="10"/>
  <c r="H8" i="10"/>
  <c r="H37" i="10"/>
  <c r="H13" i="10"/>
  <c r="H35" i="10"/>
  <c r="I35" i="10" s="1"/>
  <c r="H29" i="10"/>
  <c r="H17" i="10"/>
  <c r="H11" i="10"/>
  <c r="H5" i="10"/>
  <c r="H40" i="10"/>
  <c r="H34" i="10"/>
  <c r="H22" i="10"/>
  <c r="H16" i="10"/>
  <c r="H10" i="10"/>
  <c r="H4" i="10"/>
  <c r="I4" i="10" s="1"/>
  <c r="H39" i="10"/>
  <c r="H21" i="10"/>
  <c r="H15" i="10"/>
  <c r="H3" i="10"/>
  <c r="H26" i="10"/>
  <c r="H25" i="10"/>
  <c r="H9" i="10"/>
  <c r="H32" i="10"/>
  <c r="H20" i="10"/>
  <c r="H14" i="10"/>
  <c r="H31" i="10"/>
  <c r="H19" i="10"/>
  <c r="H7" i="10"/>
  <c r="I7" i="10" s="1"/>
  <c r="AL9" i="6"/>
  <c r="AL13" i="6"/>
  <c r="AL11" i="6"/>
  <c r="AL3" i="11"/>
  <c r="AL6" i="11" s="1"/>
  <c r="I9" i="10" l="1"/>
  <c r="H24" i="10"/>
  <c r="I26" i="10"/>
  <c r="H41" i="10"/>
  <c r="I10" i="10"/>
  <c r="I14" i="10"/>
  <c r="I20" i="10"/>
  <c r="I12" i="10"/>
  <c r="I32" i="10"/>
  <c r="I18" i="10"/>
  <c r="I40" i="10"/>
  <c r="H33" i="10"/>
  <c r="I33" i="10" s="1"/>
  <c r="E121" i="10"/>
  <c r="E122" i="10" s="1"/>
  <c r="E123" i="10" s="1"/>
  <c r="I16" i="10"/>
  <c r="I19" i="10"/>
  <c r="I21" i="10"/>
  <c r="I22" i="10"/>
  <c r="I17" i="10"/>
  <c r="I8" i="10"/>
  <c r="H30" i="10"/>
  <c r="I30" i="10" s="1"/>
  <c r="I5" i="10"/>
  <c r="I13" i="10"/>
  <c r="I15" i="10"/>
  <c r="I11" i="10"/>
  <c r="H27" i="10"/>
  <c r="I27" i="10" s="1"/>
  <c r="H28" i="10"/>
  <c r="H23" i="10"/>
  <c r="I23" i="10" s="1"/>
  <c r="H38" i="10"/>
  <c r="I38" i="10" s="1"/>
  <c r="H36" i="10"/>
  <c r="I36" i="10" s="1"/>
  <c r="I41" i="10"/>
  <c r="I25" i="10"/>
  <c r="I39" i="10"/>
  <c r="I29" i="10"/>
  <c r="I6" i="10"/>
  <c r="AT14" i="7"/>
  <c r="AT13" i="7"/>
  <c r="AT12" i="7"/>
  <c r="AT11" i="7"/>
  <c r="AT10" i="7"/>
  <c r="AT9" i="7"/>
  <c r="AT8" i="7"/>
  <c r="AT7" i="7"/>
  <c r="AT6" i="7"/>
  <c r="AT5" i="7"/>
  <c r="AT4" i="7"/>
  <c r="AS14" i="7"/>
  <c r="AS13" i="7"/>
  <c r="AS12" i="7"/>
  <c r="AS11" i="7"/>
  <c r="AS10" i="7"/>
  <c r="AS9" i="7"/>
  <c r="AS8" i="7"/>
  <c r="AS7" i="7"/>
  <c r="AS6" i="7"/>
  <c r="AS5" i="7"/>
  <c r="AS4" i="7"/>
  <c r="AR14" i="7"/>
  <c r="AR13" i="7"/>
  <c r="AR12" i="7"/>
  <c r="AR11" i="7"/>
  <c r="AR10" i="7"/>
  <c r="AR9" i="7"/>
  <c r="AR8" i="7"/>
  <c r="AR7" i="7"/>
  <c r="AR6" i="7"/>
  <c r="AR5" i="7"/>
  <c r="AU5" i="7" s="1"/>
  <c r="AR4" i="7"/>
  <c r="N4" i="7"/>
  <c r="T4" i="7" s="1"/>
  <c r="O4" i="7"/>
  <c r="R4" i="7" s="1"/>
  <c r="P4" i="7"/>
  <c r="V4" i="7" s="1"/>
  <c r="N5" i="7"/>
  <c r="T5" i="7" s="1"/>
  <c r="O5" i="7"/>
  <c r="U5" i="7" s="1"/>
  <c r="P5" i="7"/>
  <c r="S5" i="7" s="1"/>
  <c r="N6" i="7"/>
  <c r="Q6" i="7" s="1"/>
  <c r="O6" i="7"/>
  <c r="U6" i="7" s="1"/>
  <c r="P6" i="7"/>
  <c r="V6" i="7" s="1"/>
  <c r="P7" i="7"/>
  <c r="P8" i="7"/>
  <c r="P9" i="7"/>
  <c r="P10" i="7"/>
  <c r="P11" i="7"/>
  <c r="P12" i="7"/>
  <c r="P13" i="7"/>
  <c r="N14" i="7"/>
  <c r="T14" i="7" s="1"/>
  <c r="O14" i="7"/>
  <c r="R14" i="7" s="1"/>
  <c r="P14" i="7"/>
  <c r="AU11" i="7" l="1"/>
  <c r="AU9" i="7"/>
  <c r="Q5" i="7"/>
  <c r="I34" i="10"/>
  <c r="I31" i="10"/>
  <c r="AU6" i="7"/>
  <c r="AU13" i="7"/>
  <c r="Q4" i="7"/>
  <c r="AU8" i="7"/>
  <c r="AU14" i="7"/>
  <c r="AU12" i="7"/>
  <c r="AU7" i="7"/>
  <c r="I24" i="10"/>
  <c r="I37" i="10"/>
  <c r="AU4" i="7"/>
  <c r="AU10" i="7"/>
  <c r="I28" i="10"/>
  <c r="T6" i="7"/>
  <c r="R6" i="7"/>
  <c r="S4" i="7"/>
  <c r="V5" i="7"/>
  <c r="U4" i="7"/>
  <c r="S6" i="7"/>
  <c r="R5" i="7"/>
  <c r="Q14" i="7"/>
  <c r="U14" i="7"/>
  <c r="AC15" i="4"/>
  <c r="AB15" i="4"/>
  <c r="AA15" i="4"/>
  <c r="Y15" i="4"/>
  <c r="W15" i="4"/>
  <c r="U15" i="4"/>
  <c r="S15" i="4"/>
  <c r="Q15" i="4"/>
  <c r="AB18" i="4"/>
  <c r="Z18" i="4"/>
  <c r="X18" i="4"/>
  <c r="V18" i="4"/>
  <c r="T18" i="4"/>
  <c r="R18" i="4"/>
  <c r="P18" i="4"/>
  <c r="AB30" i="4"/>
  <c r="Z30" i="4"/>
  <c r="X30" i="4"/>
  <c r="V30" i="4"/>
  <c r="T30" i="4"/>
  <c r="R30" i="4"/>
  <c r="P30" i="4"/>
  <c r="Q34" i="4"/>
  <c r="S34" i="4"/>
  <c r="U34" i="4"/>
  <c r="W34" i="4"/>
  <c r="Y34" i="4"/>
  <c r="AA34" i="4"/>
  <c r="AB34" i="4"/>
  <c r="AC34" i="4"/>
  <c r="V17" i="4" l="1"/>
  <c r="P17" i="4"/>
  <c r="T17" i="4"/>
  <c r="X17" i="4"/>
  <c r="AB17" i="4"/>
  <c r="R17" i="4"/>
  <c r="Z17" i="4"/>
  <c r="F116" i="4" l="1"/>
  <c r="H116" i="4"/>
  <c r="J116" i="4"/>
  <c r="L116" i="4"/>
  <c r="N116" i="4"/>
  <c r="P116" i="4"/>
  <c r="R116" i="4"/>
  <c r="F128" i="4"/>
  <c r="H128" i="4"/>
  <c r="J128" i="4"/>
  <c r="L128" i="4"/>
  <c r="N128" i="4"/>
  <c r="P128" i="4"/>
  <c r="R128" i="4"/>
  <c r="G132" i="4"/>
  <c r="I132" i="4"/>
  <c r="K132" i="4"/>
  <c r="M132" i="4"/>
  <c r="O132" i="4"/>
  <c r="Q132" i="4"/>
  <c r="R132" i="4"/>
  <c r="S132" i="4"/>
  <c r="F83" i="4"/>
  <c r="H83" i="4"/>
  <c r="J83" i="4"/>
  <c r="L83" i="4"/>
  <c r="N83" i="4"/>
  <c r="P83" i="4"/>
  <c r="R83" i="4"/>
  <c r="S83" i="4"/>
  <c r="F71" i="4"/>
  <c r="H71" i="4"/>
  <c r="J71" i="4"/>
  <c r="L71" i="4"/>
  <c r="N71" i="4"/>
  <c r="P71" i="4"/>
  <c r="R71" i="4"/>
  <c r="G87" i="4"/>
  <c r="I87" i="4"/>
  <c r="K87" i="4"/>
  <c r="M87" i="4"/>
  <c r="O87" i="4"/>
  <c r="Q87" i="4"/>
  <c r="R87" i="4"/>
  <c r="S87" i="4"/>
  <c r="R70" i="4" l="1"/>
  <c r="F70" i="4"/>
  <c r="N70" i="4"/>
  <c r="H70" i="4"/>
  <c r="P70" i="4"/>
  <c r="L70" i="4"/>
  <c r="J70" i="4"/>
  <c r="R115" i="4"/>
  <c r="N115" i="4"/>
  <c r="F115" i="4"/>
  <c r="P115" i="4"/>
  <c r="L115" i="4"/>
  <c r="H115" i="4"/>
  <c r="S113" i="4" l="1"/>
  <c r="R113" i="4"/>
  <c r="Q113" i="4"/>
  <c r="O113" i="4"/>
  <c r="M113" i="4"/>
  <c r="K113" i="4"/>
  <c r="I113" i="4"/>
  <c r="G113" i="4"/>
  <c r="Q107" i="4"/>
  <c r="M107" i="4"/>
  <c r="I107" i="4"/>
  <c r="S68" i="4"/>
  <c r="R68" i="4"/>
  <c r="Q68" i="4"/>
  <c r="O68" i="4"/>
  <c r="M68" i="4"/>
  <c r="K68" i="4"/>
  <c r="I68" i="4"/>
  <c r="G68" i="4"/>
  <c r="O107" i="4"/>
  <c r="K107" i="4"/>
  <c r="G107" i="4"/>
  <c r="S107" i="4"/>
  <c r="S62" i="4"/>
  <c r="Q62" i="4"/>
  <c r="AA9" i="4" s="1"/>
  <c r="O62" i="4"/>
  <c r="Y9" i="4" s="1"/>
  <c r="M62" i="4"/>
  <c r="W9" i="4" s="1"/>
  <c r="K62" i="4"/>
  <c r="U9" i="4" s="1"/>
  <c r="I62" i="4"/>
  <c r="S9" i="4" s="1"/>
  <c r="G62" i="4"/>
  <c r="Q9" i="4" s="1"/>
  <c r="AC9" i="4" l="1"/>
  <c r="D82" i="4" l="1"/>
  <c r="AI12" i="6" l="1"/>
  <c r="D69" i="4" l="1"/>
  <c r="D114" i="4" l="1"/>
  <c r="AG7" i="6" l="1"/>
  <c r="AF7" i="6"/>
  <c r="AE7" i="6"/>
  <c r="AD7" i="6"/>
  <c r="AC7" i="6"/>
  <c r="AB7" i="6"/>
  <c r="AA7" i="6"/>
  <c r="Z7" i="6"/>
  <c r="Y7" i="6"/>
  <c r="X7" i="6"/>
  <c r="W7" i="6"/>
  <c r="V7" i="6"/>
  <c r="U7" i="6"/>
  <c r="T7" i="6"/>
  <c r="S7" i="6"/>
  <c r="R7" i="6"/>
  <c r="Q7" i="6"/>
  <c r="P7" i="6"/>
  <c r="O7" i="6"/>
  <c r="N7" i="6"/>
  <c r="M7" i="6"/>
  <c r="L7" i="6"/>
  <c r="K7" i="6"/>
  <c r="J7" i="6"/>
  <c r="I7" i="6"/>
  <c r="H7" i="6"/>
  <c r="G7" i="6"/>
  <c r="F7" i="6"/>
  <c r="E7" i="6"/>
  <c r="D7" i="6"/>
  <c r="C7" i="6"/>
  <c r="B7" i="6"/>
  <c r="I13" i="6" l="1"/>
  <c r="U13" i="6"/>
  <c r="AG13" i="6"/>
  <c r="J13" i="6"/>
  <c r="V13" i="6"/>
  <c r="K13" i="6"/>
  <c r="W13" i="6"/>
  <c r="F13" i="6"/>
  <c r="R13" i="6"/>
  <c r="M13" i="6"/>
  <c r="AE13" i="6"/>
  <c r="C13" i="6"/>
  <c r="O13" i="6"/>
  <c r="AA13" i="6"/>
  <c r="D13" i="6"/>
  <c r="P13" i="6"/>
  <c r="AB13" i="6"/>
  <c r="E13" i="6"/>
  <c r="Q13" i="6"/>
  <c r="AC13" i="6"/>
  <c r="L13" i="6"/>
  <c r="X13" i="6"/>
  <c r="AD13" i="6"/>
  <c r="G13" i="6"/>
  <c r="S13" i="6"/>
  <c r="Y13" i="6"/>
  <c r="B13" i="6"/>
  <c r="H13" i="6"/>
  <c r="N13" i="6"/>
  <c r="T13" i="6"/>
  <c r="Z13" i="6"/>
  <c r="AF13" i="6"/>
  <c r="B9" i="6"/>
  <c r="F9" i="6"/>
  <c r="J9" i="6"/>
  <c r="N9" i="6"/>
  <c r="R9" i="6"/>
  <c r="V9" i="6"/>
  <c r="Z9" i="6"/>
  <c r="AD9" i="6"/>
  <c r="B11" i="6"/>
  <c r="F11" i="6"/>
  <c r="J11" i="6"/>
  <c r="N11" i="6"/>
  <c r="R11" i="6"/>
  <c r="V11" i="6"/>
  <c r="Z11" i="6"/>
  <c r="AD11" i="6"/>
  <c r="C9" i="6"/>
  <c r="G9" i="6"/>
  <c r="K9" i="6"/>
  <c r="O9" i="6"/>
  <c r="S9" i="6"/>
  <c r="W9" i="6"/>
  <c r="AA9" i="6"/>
  <c r="AE9" i="6"/>
  <c r="C11" i="6"/>
  <c r="G11" i="6"/>
  <c r="K11" i="6"/>
  <c r="O11" i="6"/>
  <c r="S11" i="6"/>
  <c r="W11" i="6"/>
  <c r="AA11" i="6"/>
  <c r="AE11" i="6"/>
  <c r="D9" i="6"/>
  <c r="H9" i="6"/>
  <c r="L9" i="6"/>
  <c r="P9" i="6"/>
  <c r="T9" i="6"/>
  <c r="X9" i="6"/>
  <c r="AB9" i="6"/>
  <c r="AF9" i="6"/>
  <c r="D11" i="6"/>
  <c r="H11" i="6"/>
  <c r="L11" i="6"/>
  <c r="P11" i="6"/>
  <c r="T11" i="6"/>
  <c r="X11" i="6"/>
  <c r="AB11" i="6"/>
  <c r="AF11" i="6"/>
  <c r="E9" i="6"/>
  <c r="I9" i="6"/>
  <c r="M9" i="6"/>
  <c r="Q9" i="6"/>
  <c r="U9" i="6"/>
  <c r="Y9" i="6"/>
  <c r="AC9" i="6"/>
  <c r="AG9" i="6"/>
  <c r="E11" i="6"/>
  <c r="I11" i="6"/>
  <c r="M11" i="6"/>
  <c r="Q11" i="6"/>
  <c r="U11" i="6"/>
  <c r="Y11" i="6"/>
  <c r="AC11" i="6"/>
  <c r="AG11" i="6"/>
  <c r="O3" i="11"/>
  <c r="AG3" i="11"/>
  <c r="AE3" i="11"/>
  <c r="L3" i="11"/>
  <c r="F3" i="11"/>
  <c r="AF3" i="11"/>
  <c r="M3" i="11"/>
  <c r="E3" i="11"/>
  <c r="V3" i="11"/>
  <c r="D3" i="11"/>
  <c r="S3" i="11"/>
  <c r="AC3" i="11"/>
  <c r="U3" i="11"/>
  <c r="C3" i="11"/>
  <c r="X3" i="11"/>
  <c r="R3" i="11"/>
  <c r="Z3" i="11"/>
  <c r="K3" i="11"/>
  <c r="T3" i="11"/>
  <c r="AD3" i="11"/>
  <c r="N3" i="11"/>
  <c r="W3" i="11"/>
  <c r="AB3" i="11"/>
  <c r="B3" i="11"/>
  <c r="Y3" i="11"/>
  <c r="J3" i="11"/>
  <c r="AA3" i="11"/>
  <c r="G3" i="11"/>
  <c r="I3" i="11"/>
  <c r="Q3" i="11"/>
  <c r="H3" i="11"/>
  <c r="P3" i="11"/>
  <c r="T6" i="11" l="1"/>
  <c r="G6" i="11"/>
  <c r="X6" i="11"/>
  <c r="E6" i="11"/>
  <c r="P6" i="11"/>
  <c r="AA6" i="11"/>
  <c r="C6" i="11"/>
  <c r="M6" i="11"/>
  <c r="K6" i="11"/>
  <c r="J6" i="11"/>
  <c r="U6" i="11"/>
  <c r="AF6" i="11"/>
  <c r="H6" i="11"/>
  <c r="Y6" i="11"/>
  <c r="AC6" i="11"/>
  <c r="F6" i="11"/>
  <c r="Z6" i="11"/>
  <c r="B6" i="11"/>
  <c r="S6" i="11"/>
  <c r="L6" i="11"/>
  <c r="Q6" i="11"/>
  <c r="AB6" i="11"/>
  <c r="D6" i="11"/>
  <c r="AE6" i="11"/>
  <c r="R6" i="11"/>
  <c r="W6" i="11"/>
  <c r="V6" i="11"/>
  <c r="AG6" i="11"/>
  <c r="I6" i="11"/>
  <c r="N6" i="11"/>
  <c r="AD6" i="11"/>
  <c r="O6" i="11"/>
  <c r="D136" i="4"/>
  <c r="D91" i="4"/>
  <c r="C17" i="5" l="1"/>
  <c r="C14" i="5"/>
  <c r="C11" i="5"/>
  <c r="C8" i="5"/>
  <c r="D133" i="4" l="1"/>
  <c r="D88" i="4"/>
  <c r="D129" i="4"/>
  <c r="D84" i="4"/>
  <c r="D118" i="4"/>
  <c r="D73" i="4"/>
  <c r="D125" i="4"/>
  <c r="D80" i="4"/>
  <c r="D126" i="4"/>
  <c r="D81" i="4"/>
  <c r="D117" i="4"/>
  <c r="D72" i="4"/>
  <c r="D127" i="4"/>
  <c r="D120" i="4"/>
  <c r="D75" i="4"/>
  <c r="D119" i="4"/>
  <c r="D74" i="4"/>
  <c r="F8" i="4" l="1"/>
  <c r="AB5" i="7" l="1"/>
  <c r="AB6" i="7" s="1"/>
  <c r="AB7" i="7" s="1"/>
  <c r="AB8" i="7" s="1"/>
  <c r="AB9" i="7" s="1"/>
  <c r="AB10" i="7" s="1"/>
  <c r="AB11" i="7" s="1"/>
  <c r="AB12" i="7" s="1"/>
  <c r="AB13" i="7" s="1"/>
  <c r="G5" i="7"/>
  <c r="A5" i="7"/>
  <c r="G6" i="7" l="1"/>
  <c r="A6" i="7"/>
  <c r="G7" i="7" l="1"/>
  <c r="A7" i="7"/>
  <c r="G8" i="7" l="1"/>
  <c r="A8" i="7"/>
  <c r="N7" i="7" l="1"/>
  <c r="T7" i="7" s="1"/>
  <c r="O7" i="7"/>
  <c r="U7" i="7" s="1"/>
  <c r="K8" i="7"/>
  <c r="L8" i="7"/>
  <c r="I8" i="7"/>
  <c r="G9" i="7"/>
  <c r="A9" i="7"/>
  <c r="R7" i="7" l="1"/>
  <c r="Q7" i="7"/>
  <c r="N8" i="7"/>
  <c r="T8" i="7" s="1"/>
  <c r="O8" i="7"/>
  <c r="U8" i="7" s="1"/>
  <c r="K9" i="7"/>
  <c r="I9" i="7"/>
  <c r="H9" i="7"/>
  <c r="L9" i="7"/>
  <c r="G10" i="7"/>
  <c r="A10" i="7"/>
  <c r="Q8" i="7" l="1"/>
  <c r="R8" i="7"/>
  <c r="O9" i="7"/>
  <c r="R9" i="7" s="1"/>
  <c r="L10" i="7"/>
  <c r="H10" i="7"/>
  <c r="I10" i="7"/>
  <c r="K10" i="7"/>
  <c r="N9" i="7"/>
  <c r="T9" i="7" s="1"/>
  <c r="G11" i="7"/>
  <c r="A11" i="7"/>
  <c r="U9" i="7" l="1"/>
  <c r="N10" i="7"/>
  <c r="T10" i="7" s="1"/>
  <c r="O10" i="7"/>
  <c r="R10" i="7" s="1"/>
  <c r="Q9" i="7"/>
  <c r="L11" i="7"/>
  <c r="K11" i="7"/>
  <c r="I11" i="7"/>
  <c r="H11" i="7"/>
  <c r="Q10" i="7"/>
  <c r="G12" i="7"/>
  <c r="A12" i="7"/>
  <c r="U10" i="7" l="1"/>
  <c r="O11" i="7"/>
  <c r="U11" i="7" s="1"/>
  <c r="K12" i="7"/>
  <c r="L12" i="7"/>
  <c r="I12" i="7"/>
  <c r="H12" i="7"/>
  <c r="N11" i="7"/>
  <c r="T11" i="7" s="1"/>
  <c r="G13" i="7"/>
  <c r="A13" i="7"/>
  <c r="R11" i="7" l="1"/>
  <c r="N12" i="7"/>
  <c r="T12" i="7" s="1"/>
  <c r="O12" i="7"/>
  <c r="U12" i="7" s="1"/>
  <c r="K13" i="7"/>
  <c r="I13" i="7"/>
  <c r="H13" i="7"/>
  <c r="L13" i="7"/>
  <c r="Q12" i="7"/>
  <c r="Q11" i="7"/>
  <c r="G31" i="3"/>
  <c r="G6" i="3"/>
  <c r="R12" i="7" l="1"/>
  <c r="O13" i="7"/>
  <c r="U13" i="7" s="1"/>
  <c r="N13" i="7"/>
  <c r="T13" i="7" s="1"/>
  <c r="H6" i="3"/>
  <c r="H31" i="3"/>
  <c r="G31" i="2"/>
  <c r="G6" i="2"/>
  <c r="R13" i="7" l="1"/>
  <c r="Q13" i="7"/>
  <c r="I31" i="3"/>
  <c r="I6" i="3"/>
  <c r="H6" i="2"/>
  <c r="H31" i="2"/>
  <c r="J6" i="3" l="1"/>
  <c r="J31" i="3"/>
  <c r="K31" i="3" s="1"/>
  <c r="K6" i="3"/>
  <c r="I31" i="2"/>
  <c r="I6" i="2"/>
  <c r="L31" i="3" l="1"/>
  <c r="L6" i="3"/>
  <c r="J6" i="2"/>
  <c r="J31" i="2"/>
  <c r="M6" i="3" l="1"/>
  <c r="M31" i="3"/>
  <c r="K31" i="2"/>
  <c r="K6" i="2"/>
  <c r="N31" i="3" l="1"/>
  <c r="N6" i="3"/>
  <c r="L6" i="2"/>
  <c r="L31" i="2"/>
  <c r="O6" i="3" l="1"/>
  <c r="O31" i="3"/>
  <c r="M31" i="2"/>
  <c r="M6" i="2"/>
  <c r="P6" i="3" l="1"/>
  <c r="P31" i="3"/>
  <c r="N31" i="2"/>
  <c r="N6" i="2"/>
  <c r="Q6" i="3" l="1"/>
  <c r="Q31" i="3"/>
  <c r="O6" i="2"/>
  <c r="O31" i="2"/>
  <c r="P6" i="2" l="1"/>
  <c r="P31" i="2"/>
  <c r="Q6" i="2" l="1"/>
  <c r="Q31" i="2"/>
  <c r="AH7" i="6" l="1"/>
  <c r="AH3" i="11"/>
  <c r="AH6" i="11" l="1"/>
  <c r="AH9" i="6"/>
  <c r="AH13" i="6"/>
  <c r="AH11" i="6"/>
  <c r="AI7" i="6" l="1"/>
  <c r="AI3" i="11"/>
  <c r="AI6" i="11" l="1"/>
  <c r="AI9" i="6"/>
  <c r="AI13" i="6"/>
  <c r="AI11" i="6"/>
  <c r="AJ7" i="6" l="1"/>
  <c r="AJ3" i="11"/>
  <c r="AJ6" i="11" l="1"/>
  <c r="AJ13" i="6"/>
  <c r="AJ11" i="6"/>
  <c r="AJ9" i="6"/>
  <c r="AK7" i="6" l="1"/>
  <c r="AK3" i="11"/>
  <c r="AK6" i="11" l="1"/>
  <c r="AK13" i="6"/>
  <c r="AK11" i="6"/>
  <c r="AK9" i="6"/>
  <c r="AN3" i="11" l="1"/>
  <c r="AN6" i="11" s="1"/>
  <c r="AO7" i="6" l="1"/>
  <c r="AO13" i="6" l="1"/>
  <c r="AP7" i="6"/>
  <c r="AP11" i="6"/>
  <c r="AP9" i="6"/>
  <c r="AO11" i="6"/>
  <c r="AO9" i="6"/>
  <c r="AO3" i="11"/>
  <c r="AO6" i="11" s="1"/>
  <c r="AM7" i="6"/>
  <c r="AP13" i="6" l="1"/>
  <c r="AM13" i="6"/>
  <c r="AM9" i="6"/>
  <c r="AM11" i="6"/>
  <c r="AM3" i="11"/>
  <c r="AM6" i="11" s="1"/>
  <c r="F29" i="4" l="1"/>
  <c r="F27" i="4" l="1"/>
  <c r="F35" i="4" l="1"/>
  <c r="BG5" i="7" s="1"/>
  <c r="F24" i="4" l="1"/>
  <c r="F21" i="4" l="1"/>
  <c r="S24" i="4" l="1"/>
  <c r="U24" i="4"/>
  <c r="AA24" i="4" l="1"/>
  <c r="Q24" i="4"/>
  <c r="W24" i="4"/>
  <c r="Y24" i="4"/>
  <c r="S71" i="4" l="1"/>
  <c r="S70" i="4" s="1"/>
  <c r="S98" i="4" s="1"/>
  <c r="AC24" i="4"/>
  <c r="AC21" i="4" l="1"/>
  <c r="S21" i="4"/>
  <c r="AA21" i="4" l="1"/>
  <c r="Q21" i="4"/>
  <c r="U21" i="4"/>
  <c r="W21" i="4"/>
  <c r="Y21" i="4"/>
  <c r="F28" i="4" l="1"/>
  <c r="AA20" i="4" l="1"/>
  <c r="W20" i="4"/>
  <c r="F20" i="4"/>
  <c r="S20" i="4" l="1"/>
  <c r="AC20" i="4"/>
  <c r="Q20" i="4"/>
  <c r="U20" i="4"/>
  <c r="Y20" i="4"/>
  <c r="F19" i="4" l="1"/>
  <c r="F25" i="4" l="1"/>
  <c r="W25" i="4" l="1"/>
  <c r="U25" i="4" l="1"/>
  <c r="AA25" i="4"/>
  <c r="S25" i="4"/>
  <c r="Q25" i="4"/>
  <c r="Y25" i="4"/>
  <c r="R48" i="2" l="1"/>
  <c r="Y19" i="4" l="1"/>
  <c r="U19" i="4"/>
  <c r="Q19" i="4"/>
  <c r="AC19" i="4" l="1"/>
  <c r="S19" i="4"/>
  <c r="W19" i="4"/>
  <c r="AA19" i="4"/>
  <c r="F31" i="4" l="1"/>
  <c r="S31" i="4" l="1"/>
  <c r="Q31" i="4"/>
  <c r="W31" i="4"/>
  <c r="U31" i="4"/>
  <c r="AA31" i="4"/>
  <c r="Y31" i="4"/>
  <c r="AC31" i="4" l="1"/>
  <c r="F22" i="4" l="1"/>
  <c r="AA22" i="4" l="1"/>
  <c r="U22" i="4"/>
  <c r="S22" i="4" l="1"/>
  <c r="Y22" i="4"/>
  <c r="AC22" i="4"/>
  <c r="Q22" i="4"/>
  <c r="W22" i="4"/>
  <c r="T41" i="4" l="1"/>
  <c r="X41" i="4"/>
  <c r="Z41" i="4"/>
  <c r="P41" i="4"/>
  <c r="V41" i="4"/>
  <c r="R41" i="4"/>
  <c r="P43" i="4" l="1"/>
  <c r="V43" i="4"/>
  <c r="X43" i="4"/>
  <c r="Z43" i="4"/>
  <c r="R43" i="4"/>
  <c r="T43" i="4"/>
  <c r="AQ7" i="6" l="1"/>
  <c r="AQ13" i="6" l="1"/>
  <c r="AQ11" i="6"/>
  <c r="AQ9" i="6"/>
  <c r="Z37" i="4" l="1"/>
  <c r="P37" i="4"/>
  <c r="V37" i="4"/>
  <c r="T36" i="4"/>
  <c r="X37" i="4"/>
  <c r="T37" i="4"/>
  <c r="P36" i="4"/>
  <c r="Z36" i="4"/>
  <c r="R36" i="4"/>
  <c r="R37" i="4"/>
  <c r="V36" i="4"/>
  <c r="X36" i="4"/>
  <c r="X42" i="4" l="1"/>
  <c r="Z40" i="4"/>
  <c r="X40" i="4"/>
  <c r="T40" i="4"/>
  <c r="R40" i="4"/>
  <c r="Z42" i="4"/>
  <c r="P42" i="4"/>
  <c r="V40" i="4"/>
  <c r="R42" i="4"/>
  <c r="P40" i="4"/>
  <c r="V42" i="4"/>
  <c r="T42" i="4"/>
  <c r="T39" i="4" l="1"/>
  <c r="Z39" i="4" l="1"/>
  <c r="R39" i="4"/>
  <c r="V39" i="4"/>
  <c r="X39" i="4"/>
  <c r="P39" i="4"/>
  <c r="P113" i="4" l="1"/>
  <c r="N113" i="4"/>
  <c r="H113" i="4"/>
  <c r="L113" i="4"/>
  <c r="F113" i="4"/>
  <c r="P16" i="4" l="1"/>
  <c r="P15" i="4" s="1"/>
  <c r="F68" i="4"/>
  <c r="L68" i="4"/>
  <c r="V16" i="4"/>
  <c r="V15" i="4" s="1"/>
  <c r="X16" i="4"/>
  <c r="X15" i="4" s="1"/>
  <c r="N68" i="4"/>
  <c r="R16" i="4"/>
  <c r="R15" i="4" s="1"/>
  <c r="H68" i="4"/>
  <c r="Z16" i="4"/>
  <c r="Z15" i="4" s="1"/>
  <c r="P68" i="4"/>
  <c r="T16" i="4"/>
  <c r="T15" i="4" s="1"/>
  <c r="J68" i="4"/>
  <c r="J115" i="4"/>
  <c r="J113" i="4"/>
  <c r="F41" i="4" l="1"/>
  <c r="AR10" i="6"/>
  <c r="F43" i="4"/>
  <c r="F37" i="4"/>
  <c r="F42" i="4"/>
  <c r="F36" i="4"/>
  <c r="F40" i="4"/>
  <c r="F39" i="4"/>
  <c r="F16" i="4"/>
  <c r="F15" i="4" s="1"/>
  <c r="F38" i="4" l="1"/>
  <c r="BE5" i="7" l="1"/>
  <c r="F34" i="4"/>
  <c r="H132" i="4" l="1"/>
  <c r="F132" i="4"/>
  <c r="L132" i="4"/>
  <c r="J132" i="4"/>
  <c r="P132" i="4"/>
  <c r="N132" i="4"/>
  <c r="V38" i="4" l="1"/>
  <c r="V34" i="4" s="1"/>
  <c r="L87" i="4"/>
  <c r="Z38" i="4"/>
  <c r="Z34" i="4" s="1"/>
  <c r="P87" i="4"/>
  <c r="X38" i="4"/>
  <c r="X34" i="4" s="1"/>
  <c r="N87" i="4"/>
  <c r="R38" i="4"/>
  <c r="R34" i="4" s="1"/>
  <c r="H87" i="4"/>
  <c r="P38" i="4"/>
  <c r="P34" i="4" s="1"/>
  <c r="F87" i="4"/>
  <c r="T38" i="4"/>
  <c r="T34" i="4" s="1"/>
  <c r="J87" i="4"/>
  <c r="F26" i="4" l="1"/>
  <c r="Y26" i="4" l="1"/>
  <c r="AA26" i="4" l="1"/>
  <c r="AC26" i="4"/>
  <c r="S26" i="4"/>
  <c r="Q26" i="4"/>
  <c r="W26" i="4"/>
  <c r="U26" i="4"/>
  <c r="F13" i="4" l="1"/>
  <c r="BH5" i="7" s="1"/>
  <c r="V13" i="4" l="1"/>
  <c r="Z13" i="4"/>
  <c r="P13" i="4"/>
  <c r="R13" i="4"/>
  <c r="X13" i="4"/>
  <c r="T13" i="4"/>
  <c r="F32" i="4" l="1"/>
  <c r="W32" i="4" l="1"/>
  <c r="Y32" i="4"/>
  <c r="S32" i="4"/>
  <c r="U32" i="4"/>
  <c r="Q32" i="4"/>
  <c r="AA32" i="4"/>
  <c r="AC32" i="4" l="1"/>
  <c r="F23" i="4" l="1"/>
  <c r="F18" i="4" s="1"/>
  <c r="G116" i="4" l="1"/>
  <c r="M116" i="4"/>
  <c r="I116" i="4"/>
  <c r="O116" i="4"/>
  <c r="Q116" i="4"/>
  <c r="K116" i="4"/>
  <c r="G71" i="4" l="1"/>
  <c r="Q23" i="4"/>
  <c r="Q18" i="4" s="1"/>
  <c r="AA23" i="4"/>
  <c r="AA18" i="4" s="1"/>
  <c r="Q71" i="4"/>
  <c r="Y23" i="4"/>
  <c r="Y18" i="4" s="1"/>
  <c r="O71" i="4"/>
  <c r="U23" i="4"/>
  <c r="U18" i="4" s="1"/>
  <c r="K71" i="4"/>
  <c r="I71" i="4"/>
  <c r="S23" i="4"/>
  <c r="S18" i="4" s="1"/>
  <c r="M71" i="4"/>
  <c r="W23" i="4"/>
  <c r="W18" i="4" s="1"/>
  <c r="AC23" i="4" l="1"/>
  <c r="AC18" i="4" s="1"/>
  <c r="S116" i="4"/>
  <c r="F33" i="4" l="1"/>
  <c r="F30" i="4" s="1"/>
  <c r="F17" i="4" s="1"/>
  <c r="AY5" i="7" l="1"/>
  <c r="W48" i="2" l="1"/>
  <c r="I48" i="2"/>
  <c r="Z48" i="2"/>
  <c r="J48" i="2"/>
  <c r="O48" i="2"/>
  <c r="F48" i="2"/>
  <c r="N48" i="2"/>
  <c r="Q48" i="2"/>
  <c r="X48" i="2"/>
  <c r="Y48" i="2"/>
  <c r="M48" i="2"/>
  <c r="L48" i="2"/>
  <c r="T48" i="2"/>
  <c r="K48" i="2"/>
  <c r="G48" i="2"/>
  <c r="S48" i="2"/>
  <c r="AB48" i="2"/>
  <c r="V48" i="2"/>
  <c r="P48" i="2"/>
  <c r="H48" i="2"/>
  <c r="U48" i="2"/>
  <c r="AC48" i="2"/>
  <c r="AA48" i="2"/>
  <c r="AA48" i="3"/>
  <c r="G48" i="3"/>
  <c r="R48" i="3"/>
  <c r="N48" i="3"/>
  <c r="T48" i="3"/>
  <c r="Z48" i="3"/>
  <c r="X48" i="3"/>
  <c r="AB48" i="3"/>
  <c r="Q48" i="3"/>
  <c r="O48" i="3"/>
  <c r="S48" i="3"/>
  <c r="U48" i="3"/>
  <c r="K48" i="3"/>
  <c r="W48" i="3"/>
  <c r="AC48" i="3"/>
  <c r="P48" i="3"/>
  <c r="Y48" i="3"/>
  <c r="V48" i="3"/>
  <c r="J48" i="3"/>
  <c r="H48" i="3"/>
  <c r="L48" i="3"/>
  <c r="M48" i="3"/>
  <c r="I48" i="3"/>
  <c r="F48" i="3"/>
  <c r="Q128" i="4" l="1"/>
  <c r="Q115" i="4" s="1"/>
  <c r="Q143" i="4" s="1"/>
  <c r="G128" i="4"/>
  <c r="G115" i="4" s="1"/>
  <c r="G143" i="4" s="1"/>
  <c r="K128" i="4"/>
  <c r="K115" i="4" s="1"/>
  <c r="K143" i="4" s="1"/>
  <c r="I128" i="4"/>
  <c r="I115" i="4" s="1"/>
  <c r="I143" i="4" s="1"/>
  <c r="O128" i="4"/>
  <c r="O115" i="4" s="1"/>
  <c r="O143" i="4" s="1"/>
  <c r="M128" i="4"/>
  <c r="M115" i="4" s="1"/>
  <c r="M143" i="4" s="1"/>
  <c r="U33" i="4" l="1"/>
  <c r="U30" i="4" s="1"/>
  <c r="U17" i="4" s="1"/>
  <c r="U45" i="4" s="1"/>
  <c r="K83" i="4"/>
  <c r="K70" i="4" s="1"/>
  <c r="K98" i="4" s="1"/>
  <c r="Q33" i="4"/>
  <c r="Q30" i="4" s="1"/>
  <c r="Q17" i="4" s="1"/>
  <c r="Q45" i="4" s="1"/>
  <c r="G83" i="4"/>
  <c r="G70" i="4" s="1"/>
  <c r="G98" i="4" s="1"/>
  <c r="Y33" i="4"/>
  <c r="Y30" i="4" s="1"/>
  <c r="Y17" i="4" s="1"/>
  <c r="Y45" i="4" s="1"/>
  <c r="O83" i="4"/>
  <c r="O70" i="4" s="1"/>
  <c r="O98" i="4" s="1"/>
  <c r="AC33" i="4"/>
  <c r="AC30" i="4" s="1"/>
  <c r="AC17" i="4" s="1"/>
  <c r="AC45" i="4" s="1"/>
  <c r="S128" i="4"/>
  <c r="S115" i="4" s="1"/>
  <c r="S143" i="4" s="1"/>
  <c r="S33" i="4"/>
  <c r="S30" i="4" s="1"/>
  <c r="S17" i="4" s="1"/>
  <c r="S45" i="4" s="1"/>
  <c r="I83" i="4"/>
  <c r="I70" i="4" s="1"/>
  <c r="I98" i="4" s="1"/>
  <c r="AA33" i="4"/>
  <c r="AA30" i="4" s="1"/>
  <c r="AA17" i="4" s="1"/>
  <c r="AA45" i="4" s="1"/>
  <c r="Q83" i="4"/>
  <c r="Q70" i="4" s="1"/>
  <c r="Q98" i="4" s="1"/>
  <c r="W33" i="4"/>
  <c r="W30" i="4" s="1"/>
  <c r="W17" i="4" s="1"/>
  <c r="W45" i="4" s="1"/>
  <c r="M83" i="4"/>
  <c r="M70" i="4" s="1"/>
  <c r="M98" i="4" s="1"/>
  <c r="F12" i="4" l="1"/>
  <c r="V12" i="4" l="1"/>
  <c r="T12" i="4"/>
  <c r="R12" i="4"/>
  <c r="P12" i="4"/>
  <c r="Z12" i="4"/>
  <c r="X12" i="4"/>
  <c r="F11" i="4" l="1"/>
  <c r="T11" i="4" l="1"/>
  <c r="V11" i="4" l="1"/>
  <c r="R11" i="4"/>
  <c r="X11" i="4"/>
  <c r="Z11" i="4"/>
  <c r="P11" i="4"/>
  <c r="F14" i="4" l="1"/>
  <c r="X14" i="4" l="1"/>
  <c r="Z14" i="4" l="1"/>
  <c r="R14" i="4"/>
  <c r="V14" i="4"/>
  <c r="T14" i="4"/>
  <c r="P14" i="4"/>
  <c r="F10" i="4" l="1"/>
  <c r="F9" i="4" l="1"/>
  <c r="BI5" i="7"/>
  <c r="BK5" i="7" l="1"/>
  <c r="AX5" i="7"/>
  <c r="BA5" i="7" s="1"/>
  <c r="F45" i="4"/>
  <c r="AX4" i="7" l="1"/>
  <c r="BA7" i="7"/>
  <c r="BA4" i="7"/>
  <c r="AZ4" i="7"/>
  <c r="AY4" i="7"/>
  <c r="BE4" i="7"/>
  <c r="BF4" i="7"/>
  <c r="BG4" i="7"/>
  <c r="BK7" i="7"/>
  <c r="BK4" i="7"/>
  <c r="BJ4" i="7"/>
  <c r="BH4" i="7"/>
  <c r="AR5" i="6"/>
  <c r="G15" i="4"/>
  <c r="G34" i="4"/>
  <c r="G17" i="4"/>
  <c r="G9" i="4"/>
  <c r="BI4" i="7"/>
  <c r="AR7" i="6" l="1"/>
  <c r="AR13" i="6" l="1"/>
  <c r="AR9" i="6"/>
  <c r="AR11" i="6"/>
  <c r="F22" i="3" l="1"/>
  <c r="AC22" i="3"/>
  <c r="W22" i="3"/>
  <c r="O22" i="3"/>
  <c r="X22" i="3"/>
  <c r="Q22" i="3"/>
  <c r="L22" i="2"/>
  <c r="M22" i="2"/>
  <c r="Z22" i="2"/>
  <c r="N22" i="2"/>
  <c r="K22" i="2"/>
  <c r="T22" i="2"/>
  <c r="V22" i="3"/>
  <c r="AA22" i="3"/>
  <c r="I22" i="3"/>
  <c r="H22" i="3"/>
  <c r="K22" i="3"/>
  <c r="M22" i="3"/>
  <c r="J22" i="2"/>
  <c r="AC22" i="2"/>
  <c r="V22" i="2"/>
  <c r="AB22" i="2"/>
  <c r="R22" i="2"/>
  <c r="U22" i="2"/>
  <c r="N22" i="3"/>
  <c r="L22" i="3"/>
  <c r="S22" i="3"/>
  <c r="G22" i="3"/>
  <c r="P22" i="3"/>
  <c r="Y22" i="3"/>
  <c r="T22" i="3"/>
  <c r="Q22" i="2"/>
  <c r="S22" i="2"/>
  <c r="H22" i="2"/>
  <c r="O22" i="2"/>
  <c r="X22" i="2"/>
  <c r="I22" i="2"/>
  <c r="U22" i="3"/>
  <c r="AB22" i="3"/>
  <c r="J22" i="3"/>
  <c r="Z22" i="3"/>
  <c r="R22" i="3"/>
  <c r="P22" i="2"/>
  <c r="W22" i="2"/>
  <c r="AA22" i="2"/>
  <c r="F22" i="2"/>
  <c r="Y22" i="2"/>
  <c r="G22" i="2"/>
  <c r="F107" i="4" l="1"/>
  <c r="F143" i="4" s="1"/>
  <c r="P107" i="4"/>
  <c r="P143" i="4" s="1"/>
  <c r="N107" i="4"/>
  <c r="N143" i="4" s="1"/>
  <c r="H107" i="4"/>
  <c r="H143" i="4" s="1"/>
  <c r="L107" i="4"/>
  <c r="L143" i="4" s="1"/>
  <c r="R107" i="4"/>
  <c r="R143" i="4" s="1"/>
  <c r="J107" i="4"/>
  <c r="J143" i="4" s="1"/>
  <c r="V10" i="4" l="1"/>
  <c r="V9" i="4" s="1"/>
  <c r="V45" i="4" s="1"/>
  <c r="L62" i="4"/>
  <c r="L98" i="4" s="1"/>
  <c r="X10" i="4"/>
  <c r="X9" i="4" s="1"/>
  <c r="X45" i="4" s="1"/>
  <c r="N62" i="4"/>
  <c r="N98" i="4" s="1"/>
  <c r="T10" i="4"/>
  <c r="T9" i="4" s="1"/>
  <c r="T45" i="4" s="1"/>
  <c r="J62" i="4"/>
  <c r="J98" i="4" s="1"/>
  <c r="H62" i="4"/>
  <c r="H98" i="4" s="1"/>
  <c r="R10" i="4"/>
  <c r="R9" i="4" s="1"/>
  <c r="R45" i="4" s="1"/>
  <c r="P62" i="4"/>
  <c r="P98" i="4" s="1"/>
  <c r="Z10" i="4"/>
  <c r="Z9" i="4" s="1"/>
  <c r="Z45" i="4" s="1"/>
  <c r="P10" i="4"/>
  <c r="P9" i="4" s="1"/>
  <c r="P45" i="4" s="1"/>
  <c r="F62" i="4"/>
  <c r="F98" i="4" s="1"/>
  <c r="R62" i="4"/>
  <c r="R98" i="4" s="1"/>
  <c r="AB10" i="4"/>
  <c r="AB9" i="4" s="1"/>
  <c r="AB4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VF</author>
    <author>As_Gabinete_Oeste1</author>
  </authors>
  <commentList>
    <comment ref="A6" authorId="0" shapeId="0" xr:uid="{00000000-0006-0000-0600-000001000000}">
      <text>
        <r>
          <rPr>
            <sz val="9"/>
            <color indexed="81"/>
            <rFont val="Tahoma"/>
            <family val="2"/>
          </rPr>
          <t>La información sobre DEUDA FLOTANTE se encuentra disponible en la página web del Ministerio de Hacienda - Responsabilidad Fiscal (Anexo 6)</t>
        </r>
      </text>
    </comment>
    <comment ref="AO6" authorId="1" shapeId="0" xr:uid="{C3946839-15E8-46E7-8B29-6F790C33C1C5}">
      <text>
        <r>
          <rPr>
            <b/>
            <sz val="9"/>
            <color indexed="81"/>
            <rFont val="Tahoma"/>
            <family val="2"/>
          </rPr>
          <t>Neto de Portezuelo del Viento.</t>
        </r>
      </text>
    </comment>
    <comment ref="AP6" authorId="1" shapeId="0" xr:uid="{3AFDF2A2-0F28-4407-AE0D-27BB09FA82C2}">
      <text>
        <r>
          <rPr>
            <b/>
            <sz val="9"/>
            <color indexed="81"/>
            <rFont val="Tahoma"/>
            <family val="2"/>
          </rPr>
          <t>Neto de Portezuelo del Viento.</t>
        </r>
      </text>
    </comment>
    <comment ref="AQ6" authorId="1" shapeId="0" xr:uid="{E3D7A5A5-642C-425E-93C0-6337A5CC9DAB}">
      <text>
        <r>
          <rPr>
            <b/>
            <sz val="9"/>
            <color indexed="81"/>
            <rFont val="Tahoma"/>
            <family val="2"/>
          </rPr>
          <t>Neto de Portezuelo del Viento.</t>
        </r>
      </text>
    </comment>
    <comment ref="AR6" authorId="1" shapeId="0" xr:uid="{0F96D6F8-B970-4D08-9C36-74F2CCC44CE5}">
      <text>
        <r>
          <rPr>
            <b/>
            <sz val="9"/>
            <color indexed="81"/>
            <rFont val="Tahoma"/>
            <family val="2"/>
          </rPr>
          <t>Dato estimado.</t>
        </r>
      </text>
    </comment>
    <comment ref="A12" authorId="0" shapeId="0" xr:uid="{00000000-0006-0000-0600-000003000000}">
      <text>
        <r>
          <rPr>
            <sz val="9"/>
            <color indexed="81"/>
            <rFont val="Tahoma"/>
            <family val="2"/>
          </rPr>
          <t>La información sobre DEUDA FLOTANTE se encuentra disponible en la página web del Ministerio de Hacienda - Responsabilidad Fiscal (Anexo 6)</t>
        </r>
      </text>
    </comment>
    <comment ref="AR12" authorId="1" shapeId="0" xr:uid="{6A0F4726-C17A-4A94-AE70-F21617DD2CFC}">
      <text>
        <r>
          <rPr>
            <b/>
            <sz val="9"/>
            <color indexed="81"/>
            <rFont val="Tahoma"/>
            <family val="2"/>
          </rPr>
          <t>Dato estimado.</t>
        </r>
      </text>
    </comment>
  </commentList>
</comments>
</file>

<file path=xl/sharedStrings.xml><?xml version="1.0" encoding="utf-8"?>
<sst xmlns="http://schemas.openxmlformats.org/spreadsheetml/2006/main" count="986" uniqueCount="263">
  <si>
    <t>Acreedor/Creditor</t>
  </si>
  <si>
    <t>ID</t>
  </si>
  <si>
    <t>Pesos</t>
  </si>
  <si>
    <t>FFFIR Ley 8530</t>
  </si>
  <si>
    <t>FFFIRO24</t>
  </si>
  <si>
    <t>FFFIR Ley 8930 - $416 MM</t>
  </si>
  <si>
    <t>FFFIRF26</t>
  </si>
  <si>
    <t>ANSES - Fideicomiso IPV VDF</t>
  </si>
  <si>
    <t>IPVO26</t>
  </si>
  <si>
    <t>FFFIR Ley 8066 Ampliación</t>
  </si>
  <si>
    <t>FFFIRE26</t>
  </si>
  <si>
    <t>Multilateral</t>
  </si>
  <si>
    <t>1.1. B.I.D.</t>
  </si>
  <si>
    <t>2573 BID-PROSAP</t>
  </si>
  <si>
    <t>BIDD36</t>
  </si>
  <si>
    <t>1956 BID-PROSAP</t>
  </si>
  <si>
    <t>BIDA33</t>
  </si>
  <si>
    <t>1640 BID-Programa Mendoza Productiva</t>
  </si>
  <si>
    <t>BIDG25</t>
  </si>
  <si>
    <t>3169-BID-Programa-Mendoza-Tecnológica</t>
  </si>
  <si>
    <t>BIDF40</t>
  </si>
  <si>
    <t>1855 BID - MUNICIPIOS</t>
  </si>
  <si>
    <t>BIDN32</t>
  </si>
  <si>
    <t>3806 BID-PROSAP</t>
  </si>
  <si>
    <t>BIDY42</t>
  </si>
  <si>
    <t>1134 BID - PROMEBA</t>
  </si>
  <si>
    <t>BIDO24</t>
  </si>
  <si>
    <t>1895 BID - PROAS ENOHSA Los Barriales</t>
  </si>
  <si>
    <t>BIDS34</t>
  </si>
  <si>
    <t>1895 BID - PROAS ENOHSA PMG EPAS</t>
  </si>
  <si>
    <t>BIDS23</t>
  </si>
  <si>
    <t>1.2. B.I.R.F.</t>
  </si>
  <si>
    <t>7597 BIRF - PROSAP</t>
  </si>
  <si>
    <t>BIRS38</t>
  </si>
  <si>
    <t>BONO DE INTERESES</t>
  </si>
  <si>
    <t>PMG25</t>
  </si>
  <si>
    <t>TOTAL</t>
  </si>
  <si>
    <t>TOTAL AMORTIZACIONES EN PESOS</t>
  </si>
  <si>
    <t>PERFIL DE AMORTIZACIONES MENSUAL POR TIPO DE MONEDA</t>
  </si>
  <si>
    <t>PERFIL DE INTERESES MENSUAL POR TIPO DE MONEDA</t>
  </si>
  <si>
    <t>Dólar</t>
  </si>
  <si>
    <t>UVA</t>
  </si>
  <si>
    <t>PERFIL DE AMORTIZACIONES ANUAL POR TIPO DE MONEDA</t>
  </si>
  <si>
    <t>PERFIL DE INTERESES ANUAL POR TIPO DE MONEDA</t>
  </si>
  <si>
    <t>Servicios Deuda = Amort. + Int</t>
  </si>
  <si>
    <t>PERFIL SERVICIOS DE LA DEUDA ANUAL POR TIPO DE MONEDA</t>
  </si>
  <si>
    <t>En Millones Especie</t>
  </si>
  <si>
    <t>%</t>
  </si>
  <si>
    <t>TOTAL DEUDA CONSOLIDADA</t>
  </si>
  <si>
    <t>BADLAR (Fin de Período)</t>
  </si>
  <si>
    <t>Tipo de Cambio Nominal ARS / USD (Fin de Período)</t>
  </si>
  <si>
    <t>Cupón / Cupon</t>
  </si>
  <si>
    <t>Fecha inicio / Issue date</t>
  </si>
  <si>
    <t>Garantizado por / Secured by</t>
  </si>
  <si>
    <t>Duración (Meses) / Maturity (Months)</t>
  </si>
  <si>
    <t>Frecuencia / Frequency</t>
  </si>
  <si>
    <t>Fecha vto. / Maturity Date</t>
  </si>
  <si>
    <t>Forma de pago / Payment method</t>
  </si>
  <si>
    <t>1er Trimestre</t>
  </si>
  <si>
    <t>Art. 21 Ley de Responsabilidad Fiscal</t>
  </si>
  <si>
    <t xml:space="preserve">SERVICIOS DEUDA </t>
  </si>
  <si>
    <t>RECURSOS CORRIENTES
(Netos de Copart. a Municipios)</t>
  </si>
  <si>
    <t>SS DEUDA / REC. CTES. "&lt; 15%"</t>
  </si>
  <si>
    <t>COVENANTS BONOS</t>
  </si>
  <si>
    <t>SERVICIOS DEUDA GARANTIZADA CON COPARTICIPACIÓN SIG. 12 MESES
[1]</t>
  </si>
  <si>
    <t>COPARTICIPACIÓN RECIBIDA 3 MESES ANTERIORES x 4
[2]</t>
  </si>
  <si>
    <t>[1] / [2]  "&lt; 50%"</t>
  </si>
  <si>
    <t>INTERESES PAGADOS 12 MESES ANTERIORES A INCURRIR EN DEUDA
[3]</t>
  </si>
  <si>
    <t>RECURSOS PERCIBIDOS 12 MESES ANTERIORES
[4]</t>
  </si>
  <si>
    <t>[3] / [4]  "&lt; 13%"</t>
  </si>
  <si>
    <t>CAPITAL PENDIENTE DE DEUDA NO GARANTIZADA CON COPARTICIP.
[5]</t>
  </si>
  <si>
    <t>RECURSOS PERCIBIDOS 12 MESES ANTERIORES
[6]</t>
  </si>
  <si>
    <t>[5] / [6]  "&lt; 10%"</t>
  </si>
  <si>
    <t>SERVICIOS DEUDA GARANTIZADA CON COPARTICIP. 4 TRIM FISCALES MÁS RECIENTES
[7]</t>
  </si>
  <si>
    <t>COPARTICIPACIÓN RECIBIDA DICHO PERÍODO
[8]</t>
  </si>
  <si>
    <t>[7] / [8]  "&lt; 50%"</t>
  </si>
  <si>
    <t>(1) Deuda Consolidada  ADMINISTRACIÓN CENTRAL</t>
  </si>
  <si>
    <t>(2) Deuda Flotante ADMINISTRACIÓN CENTRAL</t>
  </si>
  <si>
    <t>(1+2)= (3) Deuda TOTAL  ADMINISTRACIÓN CENTRAL</t>
  </si>
  <si>
    <t>(B) TIPO DE CAMBIO COMUNICACIÓN 3500 BCRA  ÚLTIMO DÍA HÁBIL CADA TRIMESTRE</t>
  </si>
  <si>
    <t>(3) / (B) Deuda TOTAL ADMINISTRACIÓN CENTRAL medida en USD</t>
  </si>
  <si>
    <t>(4) Deuda Flotante DESCENTRALIZADAS Y CUENTAS ESPECIALES</t>
  </si>
  <si>
    <t>En Millones de Especie</t>
  </si>
  <si>
    <t>Vencimiento por Moneda</t>
  </si>
  <si>
    <t>Total Ss</t>
  </si>
  <si>
    <t>Vencimiento por Servicio</t>
  </si>
  <si>
    <t>Capital</t>
  </si>
  <si>
    <t>Interés</t>
  </si>
  <si>
    <t>Gobierno Federal</t>
  </si>
  <si>
    <t>Banco de la Nación Argentina</t>
  </si>
  <si>
    <t>Bancos Nacionales e Internacionales</t>
  </si>
  <si>
    <t>Organismos Multilaterales</t>
  </si>
  <si>
    <t>Tenedores de Bonos</t>
  </si>
  <si>
    <t>Vencimiento por Acreedor</t>
  </si>
  <si>
    <t>Acreedor</t>
  </si>
  <si>
    <t>Saldo Millones Moneda Origen / Outstanding Millons Currency</t>
  </si>
  <si>
    <t>Saldo Millones USD / Outstanding Millons USD</t>
  </si>
  <si>
    <t>DEUDA PÚBLICA EN USD</t>
  </si>
  <si>
    <t>USD</t>
  </si>
  <si>
    <t>Composición por Moneda</t>
  </si>
  <si>
    <t>Millones USD</t>
  </si>
  <si>
    <t>STOCK</t>
  </si>
  <si>
    <t>Composición por Tasa</t>
  </si>
  <si>
    <t>BADLAR</t>
  </si>
  <si>
    <t>LIBOR</t>
  </si>
  <si>
    <t>FIJA $</t>
  </si>
  <si>
    <t>FIJA UVA</t>
  </si>
  <si>
    <t>FIJA USD</t>
  </si>
  <si>
    <t>VARIABLE USD</t>
  </si>
  <si>
    <t>EVOLUCIÓN STOCK DEUDA CONSOLIDADA Y DEUDA FLOTANTE</t>
  </si>
  <si>
    <t>Composición_por_tasa_de_interés</t>
  </si>
  <si>
    <t>Composición_por_moneda</t>
  </si>
  <si>
    <t>Vencimiento_en_pesos</t>
  </si>
  <si>
    <t>Vencimiento_en_USD</t>
  </si>
  <si>
    <t>Vencimientos_en_pesos_por_servicio</t>
  </si>
  <si>
    <t>Vencimientos_en_pesos_por_acreedor</t>
  </si>
  <si>
    <t>Vencimientos_en_USD_por_acreedor</t>
  </si>
  <si>
    <t>Graficos</t>
  </si>
  <si>
    <t>TOTAL AMORTIZACIONES EN USD</t>
  </si>
  <si>
    <t>TOTAL INTERESES EN PESOS</t>
  </si>
  <si>
    <t>TOTAL INTERESES EN USD</t>
  </si>
  <si>
    <t>Vencimientos_en_USD_por_servicio</t>
  </si>
  <si>
    <t>PMM29</t>
  </si>
  <si>
    <t>BONO MENDOZA 2029</t>
  </si>
  <si>
    <t>4779 BID - RP82</t>
  </si>
  <si>
    <t>BIDN44</t>
  </si>
  <si>
    <r>
      <t xml:space="preserve">Pertenece a la Ley N° 25.917 de Responabilidad Fiscal en su Capítulo V - "Endeudamiento":
Art 21) </t>
    </r>
    <r>
      <rPr>
        <sz val="11"/>
        <color theme="1"/>
        <rFont val="Arial Narrow"/>
        <family val="2"/>
      </rPr>
      <t>Los gobiernos de las provincias y de la Ciudad Autónoma de Buenos Aires tomarán las medidas necesarias para que el nivel de endeudamiento de sus jurisdicciones sea tal que en cada ejercicio fiscal los servicios de la deuda instrumentada no superen el quince por ciento (15%) de los recursos corrientes netos de transferencias por coparticipación a municipios.</t>
    </r>
  </si>
  <si>
    <t>BONO EMERGENCIA</t>
  </si>
  <si>
    <t>PMY25</t>
  </si>
  <si>
    <t>(1) Se incluye Endeudamiento con el Fondo Fiduciario Federal de Infraestructura Regional (FFFIR) ajustable por el Costo de la Construcción (ICC) con un tope máximo de 17% para 2020 y 2021</t>
  </si>
  <si>
    <r>
      <t xml:space="preserve">DEUDA PÚBLICA EN PESOS </t>
    </r>
    <r>
      <rPr>
        <b/>
        <vertAlign val="superscript"/>
        <sz val="12"/>
        <color theme="0"/>
        <rFont val="Arial Narrow"/>
        <family val="2"/>
      </rPr>
      <t>(1)</t>
    </r>
  </si>
  <si>
    <r>
      <t xml:space="preserve">Moneda / Currency </t>
    </r>
    <r>
      <rPr>
        <b/>
        <vertAlign val="superscript"/>
        <sz val="11"/>
        <color theme="0"/>
        <rFont val="Arial Narrow"/>
        <family val="2"/>
      </rPr>
      <t>(1)</t>
    </r>
  </si>
  <si>
    <t>TGP</t>
  </si>
  <si>
    <t>BONO MENDOZA 2024 - Inversión en Infraestructura Pública</t>
  </si>
  <si>
    <t>PMD24</t>
  </si>
  <si>
    <t>Bono de Conversión ANSES</t>
  </si>
  <si>
    <t>PMM31</t>
  </si>
  <si>
    <r>
      <t xml:space="preserve">Pertenece al prospecto del Bono Mendoza 2029 (PMM29)  "Compromisos - Limitación a los Gravámenes":
(e) </t>
    </r>
    <r>
      <rPr>
        <sz val="11"/>
        <color theme="1"/>
        <rFont val="Arial Narrow"/>
        <family val="2"/>
      </rPr>
      <t>cualquier Gravamen que garantice Deuda de la Provincia, constituido sobre el derecho de la Provincia a percibir Pagos en Coparticipación; con la salvedad que el monto de capital total de la Deuda así garantizada y pendiente de pago en cualquier momento no podrá superar un monto tal que provoque que la Relación de Deuda Garantizada por la Coparticipación Trimestral supere el 50%.</t>
    </r>
  </si>
  <si>
    <r>
      <t xml:space="preserve">Pertenece al prospecto del Bono Mendoza 2029 (PMM29)  "Compromisos - Compromisos de cobertura de interés":                                                                                                                                            </t>
    </r>
    <r>
      <rPr>
        <sz val="11"/>
        <color theme="1"/>
        <rFont val="Arial Narrow"/>
        <family val="2"/>
      </rPr>
      <t>La Provincia ha acordado que no incurrirá, asumirá o garantizará y no permitirá que ninguna Entidad Provincial incurra en ninguna Deuda, con la excepción de que, a la fecha en que se proponga incurrir, el monto de los “Gastos de Interés” incurridos durante los anteriores doce meses finalizados en el trimestre fiscales más recientes, dependiendo el caso, no exceda el 13% de los Ingresos obtenidos durante el referido período de doce meses.</t>
    </r>
  </si>
  <si>
    <r>
      <t xml:space="preserve">Pertenece al prospecto del Bono Mendoza 2029 (PMM29)  "Compromisos - Limitación a los Gravámenes":
(h) </t>
    </r>
    <r>
      <rPr>
        <sz val="11"/>
        <color theme="1"/>
        <rFont val="Arial Narrow"/>
        <family val="2"/>
      </rPr>
      <t>cualquier otro gravamen, diferente de aquellos Gravámenes relacionados con el derecho de la Provincia a recibir Pagos en Coparticipación, que garanticen Deuda de la Provincia en un monto total de capital pendiente de pago que no supere en ningún momento el 10% de los Ingresos anuales de la Provincia para el período que incluye los cuatro trimestres fiscales consecutivos más recientes que finalicen antes de la fecha en que se incurra dicho Gravamen.</t>
    </r>
  </si>
  <si>
    <r>
      <t xml:space="preserve">"Compromisos - Limitación a los Gravámenes":
(e) </t>
    </r>
    <r>
      <rPr>
        <sz val="11"/>
        <color theme="1"/>
        <rFont val="Arial Narrow"/>
        <family val="2"/>
      </rPr>
      <t>cualquier Gravamen que garantice Deuda de la Provincia que involucre el derecho de la Provincia a percibir Pagos en Coparticipación; con la salvedad que la Deuda así garantizada no deberá provocar que el Ratio de Deuda Garantizada por la Coparticipación supere el 50% en el trimestre fiscal más reciente que finalice antes de la fecha de cálculo.</t>
    </r>
  </si>
  <si>
    <t>Banco Nación-Refinanciación 2022</t>
  </si>
  <si>
    <t>BNAM27</t>
  </si>
  <si>
    <t>Check</t>
  </si>
  <si>
    <t>4312 BID PLAN BELGRANO</t>
  </si>
  <si>
    <t>8867 BIRF - GIRSAR</t>
  </si>
  <si>
    <t>BIRE50</t>
  </si>
  <si>
    <t>Coparticipación Federal de Impuestos</t>
  </si>
  <si>
    <t>Mensual</t>
  </si>
  <si>
    <t>Automático</t>
  </si>
  <si>
    <t>10-y Bond/LIBOR 12M (mayor) + 3,70%</t>
  </si>
  <si>
    <t>Otras Transferencias Nacionales</t>
  </si>
  <si>
    <t>Badlar Públicos + 2%</t>
  </si>
  <si>
    <t>Trimestral</t>
  </si>
  <si>
    <t>Semestral</t>
  </si>
  <si>
    <t>BADLAR Bancos Privados + 3%</t>
  </si>
  <si>
    <t xml:space="preserve">Tasa Base Libor 3 M + Margen BID </t>
  </si>
  <si>
    <t>Libor 6M + 1,35%</t>
  </si>
  <si>
    <t>Sin garantía</t>
  </si>
  <si>
    <t>CER + 4,25%</t>
  </si>
  <si>
    <t>BADLAR Bcos Priv</t>
  </si>
  <si>
    <t>BADLAR Bancos Privados + 4%</t>
  </si>
  <si>
    <t>BADLAR Bancos Privados</t>
  </si>
  <si>
    <t>-</t>
  </si>
  <si>
    <t>Títulos de Deuda SVS</t>
  </si>
  <si>
    <t>Títulos de Deuda 2024</t>
  </si>
  <si>
    <t>PMJ25</t>
  </si>
  <si>
    <t>PM2D4</t>
  </si>
  <si>
    <t>BADLAR Bancos Privados + 5,90%</t>
  </si>
  <si>
    <t>BADLAR Bancos Privados + 5,75%</t>
  </si>
  <si>
    <t>8712 BIRF - Proyecto Integral Hábitat y Vivienda</t>
  </si>
  <si>
    <t>BIRF34</t>
  </si>
  <si>
    <t>Promedio        2030-2050</t>
  </si>
  <si>
    <t>TÍTULOS DE DEUDA SVS</t>
  </si>
  <si>
    <t>TÍTULOS DE DEUDA 2024</t>
  </si>
  <si>
    <t>Prom Resto 2030-2050</t>
  </si>
  <si>
    <t>C</t>
  </si>
  <si>
    <t>GF</t>
  </si>
  <si>
    <t>BNA</t>
  </si>
  <si>
    <t>BI</t>
  </si>
  <si>
    <t>BN</t>
  </si>
  <si>
    <t>TB</t>
  </si>
  <si>
    <r>
      <rPr>
        <vertAlign val="superscript"/>
        <sz val="12"/>
        <color theme="1"/>
        <rFont val="Arial Narrow"/>
        <family val="2"/>
      </rPr>
      <t>(1)</t>
    </r>
    <r>
      <rPr>
        <sz val="12"/>
        <color theme="1"/>
        <rFont val="Arial Narrow"/>
        <family val="2"/>
      </rPr>
      <t xml:space="preserve"> Se incluye Endeudamiento con el Fondo Fiduciario Federal de Infraestructura Regional (FFFIR) ajustable por el Costo de la Construcción (ICC) con un tope máximo de 17%.</t>
    </r>
  </si>
  <si>
    <t>Fecha</t>
  </si>
  <si>
    <t>IPC INDEC</t>
  </si>
  <si>
    <t>IPC SL</t>
  </si>
  <si>
    <t>VAR SL</t>
  </si>
  <si>
    <t>INDEX</t>
  </si>
  <si>
    <t>IPC</t>
  </si>
  <si>
    <t>CER (Fin de Período)</t>
  </si>
  <si>
    <t>FFFIR Cloacas Tunuyán - Tupungato</t>
  </si>
  <si>
    <t>Deuda</t>
  </si>
  <si>
    <t>PBG</t>
  </si>
  <si>
    <t>En millones de ARS corrientes</t>
  </si>
  <si>
    <t>Ratio</t>
  </si>
  <si>
    <t>Cap</t>
  </si>
  <si>
    <t>Int</t>
  </si>
  <si>
    <t>I</t>
  </si>
  <si>
    <t>CARACTERÍSTICA DE LOS AVALES Y/O GARANTÍAS OTORGADAS</t>
  </si>
  <si>
    <t>En millones de $</t>
  </si>
  <si>
    <t>Beneficiario</t>
  </si>
  <si>
    <t>Marco Legal</t>
  </si>
  <si>
    <t>Proyecto</t>
  </si>
  <si>
    <t>Programa</t>
  </si>
  <si>
    <t>Monto del Contrato</t>
  </si>
  <si>
    <t>Moneda</t>
  </si>
  <si>
    <t>Garantía de Contraparte</t>
  </si>
  <si>
    <t>Saldo Adeudado</t>
  </si>
  <si>
    <t>Condiciones Financieras</t>
  </si>
  <si>
    <t>Plazo</t>
  </si>
  <si>
    <t>Gracia</t>
  </si>
  <si>
    <t>Tasa</t>
  </si>
  <si>
    <t>Cantidad de Cuotas</t>
  </si>
  <si>
    <t>Periodicidad</t>
  </si>
  <si>
    <t>No hay avales y/o garantías otorgados</t>
  </si>
  <si>
    <t>BIDE37</t>
  </si>
  <si>
    <t>Acumulada trimestre</t>
  </si>
  <si>
    <t>Total</t>
  </si>
  <si>
    <t>2030-2050</t>
  </si>
  <si>
    <t>GRÁFICOS</t>
  </si>
  <si>
    <t>COMPOSICIÓN DE LA DEUDA PÚBLICA POR TASA DE INTERÉS</t>
  </si>
  <si>
    <t>COMPOSICIÓN DE LA DEUDA PÚBLICA POR MONEDA</t>
  </si>
  <si>
    <t>% del Total</t>
  </si>
  <si>
    <t xml:space="preserve"> % del Total</t>
  </si>
  <si>
    <t>PERFIL DE VENCIMIENTO DEUDA PÚBLICA EN PESOS</t>
  </si>
  <si>
    <t>PERFIL DE VENCIMIENTO DEUDA PÚBLICA EN DÓLARES</t>
  </si>
  <si>
    <t>Millones de USD</t>
  </si>
  <si>
    <t>Millones de $</t>
  </si>
  <si>
    <t>PERFIL DE VENCIMIENTOS DEUDA PÚBLICA EN DÓLARES POR TIPO DE SERVICIO</t>
  </si>
  <si>
    <t>Millones de USD. Capital e Interés como % del servicio total</t>
  </si>
  <si>
    <t>Millones de $. Capital e Interés como % del servicio total</t>
  </si>
  <si>
    <t>PERFIL DE VENCIMIENTOS DEUDA PÚBLICA EN PESOS POR TIPO DE SERVICIO</t>
  </si>
  <si>
    <t>PERFIL DE VENCIMIENTO DEUDA PÚBLICA EN PESOS POR ACREEDOR</t>
  </si>
  <si>
    <t>PERFIL DE VENCIMIENTO DEUDA PÚBLICA EN DÓLARES POR ACREEDOR</t>
  </si>
  <si>
    <t>TÍTULOS DE DEUDA CER CLASE 1</t>
  </si>
  <si>
    <t>TÍTULOS DE DEUDA CER CLASE 2</t>
  </si>
  <si>
    <t>PMD25</t>
  </si>
  <si>
    <t>PMM27</t>
  </si>
  <si>
    <t>Pesos Ajustados</t>
  </si>
  <si>
    <t xml:space="preserve">CER </t>
  </si>
  <si>
    <t>Cupón Cero</t>
  </si>
  <si>
    <t>FFFIRS33</t>
  </si>
  <si>
    <r>
      <t xml:space="preserve">BONO MENDOZA 2029 </t>
    </r>
    <r>
      <rPr>
        <vertAlign val="superscript"/>
        <sz val="11"/>
        <rFont val="Arial Narrow"/>
        <family val="2"/>
      </rPr>
      <t>(1)</t>
    </r>
  </si>
  <si>
    <r>
      <rPr>
        <vertAlign val="superscript"/>
        <sz val="9"/>
        <color theme="1"/>
        <rFont val="Arial Narrow"/>
        <family val="2"/>
      </rPr>
      <t xml:space="preserve">(1) </t>
    </r>
    <r>
      <rPr>
        <sz val="9"/>
        <color theme="1"/>
        <rFont val="Arial Narrow"/>
        <family val="2"/>
      </rPr>
      <t>Tasa de Interés: desde e incluyendo el 19 de mayo de 2020 hasta y excluyendo el 19 de septiembre de 2021, 2,75%; desde e incluyendo el 19 de septiembre de 2021 hasta y excluyendo el 19 de marzo de 2023, 4,25%; desde e incluyendo el 19 de marzo de 2023 hasta y excluyendo el 19 de marzo de 2029, 5,75%.</t>
    </r>
  </si>
  <si>
    <r>
      <t xml:space="preserve">Títulos de Deuda 2024 </t>
    </r>
    <r>
      <rPr>
        <vertAlign val="superscript"/>
        <sz val="11"/>
        <rFont val="Arial Narrow"/>
        <family val="2"/>
      </rPr>
      <t>(2)</t>
    </r>
  </si>
  <si>
    <r>
      <rPr>
        <vertAlign val="superscript"/>
        <sz val="9"/>
        <color theme="1"/>
        <rFont val="Arial Narrow"/>
        <family val="2"/>
      </rPr>
      <t>(2)</t>
    </r>
    <r>
      <rPr>
        <sz val="9"/>
        <color theme="1"/>
        <rFont val="Arial Narrow"/>
        <family val="2"/>
      </rPr>
      <t xml:space="preserve"> La totalidad del stock informado corresponde a la refinanciación del BONO MENDOZA 2023, con fecha el 21/06/2023.</t>
    </r>
  </si>
  <si>
    <r>
      <rPr>
        <vertAlign val="superscript"/>
        <sz val="9"/>
        <color theme="1"/>
        <rFont val="Arial Narrow"/>
        <family val="2"/>
      </rPr>
      <t>(3)</t>
    </r>
    <r>
      <rPr>
        <sz val="9"/>
        <color theme="1"/>
        <rFont val="Arial Narrow"/>
        <family val="2"/>
      </rPr>
      <t xml:space="preserve"> La administración y gestión de los fondos provenientes del Préstamo es realizada por el IPV</t>
    </r>
  </si>
  <si>
    <r>
      <t xml:space="preserve">8712 BIRF - Proyecto Integral Hábitat y Vivienda </t>
    </r>
    <r>
      <rPr>
        <vertAlign val="superscript"/>
        <sz val="11"/>
        <rFont val="Arial Narrow"/>
        <family val="2"/>
      </rPr>
      <t>(3)</t>
    </r>
  </si>
  <si>
    <t>Fuente: MHyF, DGDP</t>
  </si>
  <si>
    <t xml:space="preserve">Fuente MHyF, DGDP </t>
  </si>
  <si>
    <t>Fuente MHyF, DGDP</t>
  </si>
  <si>
    <t xml:space="preserve">PERFIL DE VENCIMIENTOS DEUDA PÚBLICA EN PESOS </t>
  </si>
  <si>
    <t>POR TIPO DE SERVICIO</t>
  </si>
  <si>
    <t xml:space="preserve">Fuente: MHyF, DGDP </t>
  </si>
  <si>
    <t>2do Trimestre</t>
  </si>
  <si>
    <t>(3) x (A) = Deuda TOTAL ADMINISTRACIÓN CENTRAL medida en PESOS de Junio de 2024</t>
  </si>
  <si>
    <t>(3+4) x (A)= Deuda TOTAL medida en PESOS de Junio de 2024</t>
  </si>
  <si>
    <t>3er Trimestre</t>
  </si>
  <si>
    <t xml:space="preserve"> (A) (IPC Septiembre 2024) /(IPC Periodo) </t>
  </si>
  <si>
    <t>Deuda TOTAL/PBG*</t>
  </si>
  <si>
    <t>*Nota: A partir de septiembre de 2024, este ratio no resulta directamente comparable con informes anteriores, debido al cambio de base del PBG a 2004, publicado por la DEIE el día 27/08/2024.</t>
  </si>
  <si>
    <t>(p)</t>
  </si>
  <si>
    <t>(p) Dato provisrio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</si>
</sst>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44" formatCode="_-&quot;$&quot;\ * #,##0.00_-;\-&quot;$&quot;\ * #,##0.00_-;_-&quot;$&quot;\ * &quot;-&quot;??_-;_-@_-"/>
    <numFmt numFmtId="43" formatCode="_-* #,##0.00_-;\-* #,##0.00_-;_-* &quot;-&quot;??_-;_-@_-"/>
    <numFmt numFmtId="164" formatCode="[$ARS]\ #,##0.00"/>
    <numFmt numFmtId="165" formatCode="[$USD]\ #,##0.00"/>
    <numFmt numFmtId="166" formatCode="_ * #,##0.00_ ;_ * \-#,##0.00_ ;_ * &quot;-&quot;??_ ;_ @_ "/>
    <numFmt numFmtId="167" formatCode="[$-409]mmm\-yy;@"/>
    <numFmt numFmtId="168" formatCode="0.0%"/>
    <numFmt numFmtId="169" formatCode="0.0000%"/>
    <numFmt numFmtId="170" formatCode="_ * #,##0_ ;_ * \-#,##0_ ;_ * &quot;-&quot;??_ ;_ @_ "/>
    <numFmt numFmtId="171" formatCode="0.000"/>
    <numFmt numFmtId="172" formatCode="#,##0.0"/>
    <numFmt numFmtId="173" formatCode="&quot;$&quot;#,##0.00"/>
    <numFmt numFmtId="174" formatCode="#,##0.0_ ;\-#,##0.0\ "/>
    <numFmt numFmtId="175" formatCode="#,##0.00_ ;\-#,##0.00\ "/>
    <numFmt numFmtId="176" formatCode="0.000%"/>
    <numFmt numFmtId="177" formatCode="_ * #,##0.0_ ;_ * \-#,##0.0_ ;_ * &quot;-&quot;??_ ;_ @_ "/>
    <numFmt numFmtId="178" formatCode="[$USD]\ #,##0.000000"/>
    <numFmt numFmtId="179" formatCode="_ * #,##0.00000000_ ;_ * \-#,##0.00000000_ ;_ * &quot;-&quot;??_ ;_ @_ "/>
    <numFmt numFmtId="180" formatCode="0.0"/>
    <numFmt numFmtId="181" formatCode="#,##0.00_ ;[Red]\-#,##0.00\ "/>
    <numFmt numFmtId="182" formatCode="mmmm\-yy"/>
    <numFmt numFmtId="183" formatCode="_-* #,##0.00\ _€_-;\-* #,##0.00\ _€_-;_-* &quot;-&quot;??\ _€_-;_-@_-"/>
    <numFmt numFmtId="184" formatCode="[$USD]\ #,##0.00000000000000000000"/>
    <numFmt numFmtId="185" formatCode="[$ARS]\ #,##0.00000000000"/>
    <numFmt numFmtId="186" formatCode="[$ARS]\ #,##0.0000000000000"/>
    <numFmt numFmtId="187" formatCode="[$ARS]\ #,##0.0000000000000000"/>
    <numFmt numFmtId="188" formatCode="[$ARS]\ #,##0.00000000000000000"/>
    <numFmt numFmtId="189" formatCode="[$ARS]\ #,##0.0000000000000000000"/>
    <numFmt numFmtId="190" formatCode="[$ARS]\ #,##0.00000000000000000000"/>
    <numFmt numFmtId="191" formatCode="[$ARS]\ #,##0.000000000000000000000"/>
    <numFmt numFmtId="192" formatCode="_ * #,##0.00000_ ;_ * \-#,##0.00000_ ;_ * &quot;-&quot;??_ ;_ @_ "/>
    <numFmt numFmtId="193" formatCode="_ * #,##0.0000000000000000000_ ;_ * \-#,##0.0000000000000000000_ ;_ * &quot;-&quot;??_ ;_ @_ "/>
  </numFmts>
  <fonts count="58" x14ac:knownFonts="1">
    <font>
      <sz val="11"/>
      <color theme="1"/>
      <name val="Calibri"/>
      <family val="2"/>
      <scheme val="minor"/>
    </font>
    <font>
      <sz val="11"/>
      <color theme="1"/>
      <name val="Arial Narrow"/>
      <family val="2"/>
    </font>
    <font>
      <sz val="11"/>
      <color theme="1"/>
      <name val="Calibri"/>
      <family val="2"/>
      <scheme val="minor"/>
    </font>
    <font>
      <sz val="9"/>
      <color indexed="81"/>
      <name val="Tahoma"/>
      <family val="2"/>
    </font>
    <font>
      <sz val="11"/>
      <color theme="1"/>
      <name val="Arial Narrow"/>
      <family val="2"/>
    </font>
    <font>
      <sz val="12"/>
      <color theme="1"/>
      <name val="Arial Narrow"/>
      <family val="2"/>
    </font>
    <font>
      <b/>
      <sz val="12"/>
      <color theme="0"/>
      <name val="Arial Narrow"/>
      <family val="2"/>
    </font>
    <font>
      <sz val="12"/>
      <name val="Arial Narrow"/>
      <family val="2"/>
    </font>
    <font>
      <b/>
      <sz val="11"/>
      <color theme="0"/>
      <name val="Arial Narrow"/>
      <family val="2"/>
    </font>
    <font>
      <b/>
      <sz val="11"/>
      <color theme="1"/>
      <name val="Arial Narrow"/>
      <family val="2"/>
    </font>
    <font>
      <b/>
      <sz val="16"/>
      <color theme="1"/>
      <name val="Arial Narrow"/>
      <family val="2"/>
    </font>
    <font>
      <sz val="13"/>
      <color rgb="FF000099"/>
      <name val="Arial Narrow"/>
      <family val="2"/>
    </font>
    <font>
      <sz val="11"/>
      <name val="Arial Narrow"/>
      <family val="2"/>
    </font>
    <font>
      <b/>
      <sz val="11"/>
      <color theme="0"/>
      <name val="Calibri"/>
      <family val="2"/>
      <scheme val="minor"/>
    </font>
    <font>
      <sz val="11"/>
      <color theme="0"/>
      <name val="Calibri"/>
      <family val="2"/>
      <scheme val="minor"/>
    </font>
    <font>
      <sz val="11"/>
      <color theme="0"/>
      <name val="Arial Narrow"/>
      <family val="2"/>
    </font>
    <font>
      <b/>
      <sz val="11"/>
      <name val="Arial Narrow"/>
      <family val="2"/>
    </font>
    <font>
      <sz val="9"/>
      <color theme="1"/>
      <name val="Arial Narrow"/>
      <family val="2"/>
    </font>
    <font>
      <sz val="10"/>
      <name val="Arial Narrow"/>
      <family val="2"/>
    </font>
    <font>
      <b/>
      <sz val="10"/>
      <color theme="0"/>
      <name val="Arial Narrow"/>
      <family val="2"/>
    </font>
    <font>
      <b/>
      <sz val="10"/>
      <name val="Arial Narrow"/>
      <family val="2"/>
    </font>
    <font>
      <b/>
      <sz val="12"/>
      <color theme="1"/>
      <name val="Arial Narrow"/>
      <family val="2"/>
    </font>
    <font>
      <sz val="10"/>
      <color theme="1"/>
      <name val="Arial Narrow"/>
      <family val="2"/>
    </font>
    <font>
      <sz val="5"/>
      <color theme="0"/>
      <name val="Calibri"/>
      <family val="2"/>
      <scheme val="minor"/>
    </font>
    <font>
      <b/>
      <sz val="11"/>
      <color theme="1"/>
      <name val="Calibri"/>
      <family val="2"/>
      <scheme val="minor"/>
    </font>
    <font>
      <sz val="11"/>
      <color rgb="FF000000"/>
      <name val="Calibri"/>
      <family val="2"/>
      <scheme val="minor"/>
    </font>
    <font>
      <b/>
      <sz val="10"/>
      <color theme="1"/>
      <name val="Arial Narrow"/>
      <family val="2"/>
    </font>
    <font>
      <sz val="11"/>
      <color rgb="FFFF0000"/>
      <name val="Arial Narrow"/>
      <family val="2"/>
    </font>
    <font>
      <vertAlign val="superscript"/>
      <sz val="11"/>
      <name val="Arial Narrow"/>
      <family val="2"/>
    </font>
    <font>
      <b/>
      <vertAlign val="superscript"/>
      <sz val="12"/>
      <color theme="0"/>
      <name val="Arial Narrow"/>
      <family val="2"/>
    </font>
    <font>
      <b/>
      <vertAlign val="superscript"/>
      <sz val="11"/>
      <color theme="0"/>
      <name val="Arial Narrow"/>
      <family val="2"/>
    </font>
    <font>
      <sz val="11"/>
      <color rgb="FFFF0000"/>
      <name val="Calibri"/>
      <family val="2"/>
      <scheme val="minor"/>
    </font>
    <font>
      <sz val="11"/>
      <color rgb="FF000099"/>
      <name val="Calibri"/>
      <family val="2"/>
      <scheme val="minor"/>
    </font>
    <font>
      <b/>
      <sz val="9"/>
      <color rgb="FF000099"/>
      <name val="Arial Narrow"/>
      <family val="2"/>
    </font>
    <font>
      <vertAlign val="superscript"/>
      <sz val="9"/>
      <color theme="1"/>
      <name val="Arial Narrow"/>
      <family val="2"/>
    </font>
    <font>
      <b/>
      <sz val="9"/>
      <color theme="1"/>
      <name val="Arial Narrow"/>
      <family val="2"/>
    </font>
    <font>
      <b/>
      <sz val="11"/>
      <color rgb="FF000099"/>
      <name val="Calibri"/>
      <family val="2"/>
      <scheme val="minor"/>
    </font>
    <font>
      <b/>
      <sz val="11"/>
      <color rgb="FFFF0000"/>
      <name val="Arial Narrow"/>
      <family val="2"/>
    </font>
    <font>
      <sz val="12"/>
      <color theme="0"/>
      <name val="Arial Narrow"/>
      <family val="2"/>
    </font>
    <font>
      <sz val="12"/>
      <color theme="1"/>
      <name val="Calibri"/>
      <family val="2"/>
      <scheme val="minor"/>
    </font>
    <font>
      <vertAlign val="superscript"/>
      <sz val="12"/>
      <color theme="1"/>
      <name val="Arial Narrow"/>
      <family val="2"/>
    </font>
    <font>
      <b/>
      <sz val="8"/>
      <color indexed="30"/>
      <name val="Arial"/>
      <family val="2"/>
    </font>
    <font>
      <sz val="11"/>
      <color theme="5"/>
      <name val="Calibri"/>
      <family val="2"/>
      <scheme val="minor"/>
    </font>
    <font>
      <b/>
      <sz val="14"/>
      <color theme="1"/>
      <name val="Arial Narrow"/>
      <family val="2"/>
    </font>
    <font>
      <b/>
      <u/>
      <sz val="11"/>
      <color theme="1"/>
      <name val="Calibri"/>
      <family val="2"/>
      <scheme val="minor"/>
    </font>
    <font>
      <b/>
      <sz val="9"/>
      <color theme="0"/>
      <name val="Arial Narrow"/>
      <family val="2"/>
    </font>
    <font>
      <b/>
      <sz val="9"/>
      <color theme="0"/>
      <name val="Arial"/>
      <family val="2"/>
    </font>
    <font>
      <sz val="9"/>
      <color theme="0"/>
      <name val="Calibri"/>
      <family val="2"/>
      <scheme val="minor"/>
    </font>
    <font>
      <b/>
      <sz val="9"/>
      <name val="Arial"/>
      <family val="2"/>
    </font>
    <font>
      <sz val="9"/>
      <name val="Arial"/>
      <family val="2"/>
    </font>
    <font>
      <sz val="10"/>
      <color theme="1"/>
      <name val="Arial"/>
      <family val="2"/>
    </font>
    <font>
      <sz val="10"/>
      <color indexed="8"/>
      <name val="Arial"/>
      <family val="2"/>
    </font>
    <font>
      <b/>
      <sz val="16"/>
      <color theme="1"/>
      <name val="Calibri"/>
      <family val="2"/>
      <scheme val="minor"/>
    </font>
    <font>
      <b/>
      <sz val="14"/>
      <color rgb="FF000000"/>
      <name val="Arial Narrow"/>
      <family val="2"/>
    </font>
    <font>
      <b/>
      <sz val="9"/>
      <color indexed="81"/>
      <name val="Tahoma"/>
      <family val="2"/>
    </font>
    <font>
      <sz val="13"/>
      <color rgb="FF000F9F"/>
      <name val="Arial Narrow"/>
      <family val="2"/>
    </font>
    <font>
      <sz val="12"/>
      <color rgb="FF000F9F"/>
      <name val="Arial Narrow"/>
      <family val="2"/>
    </font>
    <font>
      <vertAlign val="superscript"/>
      <sz val="11"/>
      <color theme="1"/>
      <name val="Arial Narrow"/>
      <family val="2"/>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rgb="FFFFFF00"/>
        <bgColor indexed="64"/>
      </patternFill>
    </fill>
    <fill>
      <patternFill patternType="solid">
        <fgColor rgb="FF000F9F"/>
        <bgColor indexed="64"/>
      </patternFill>
    </fill>
    <fill>
      <patternFill patternType="solid">
        <fgColor rgb="FF3CB4E5"/>
        <bgColor indexed="64"/>
      </patternFill>
    </fill>
    <fill>
      <patternFill patternType="solid">
        <fgColor rgb="FFC8A977"/>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22"/>
      </left>
      <right style="thin">
        <color indexed="22"/>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166"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50" fillId="0" borderId="0"/>
    <xf numFmtId="181" fontId="51" fillId="0" borderId="0" applyFont="0" applyFill="0" applyBorder="0" applyAlignment="0" applyProtection="0"/>
    <xf numFmtId="166" fontId="2" fillId="0" borderId="0" applyFont="0" applyFill="0" applyBorder="0" applyAlignment="0" applyProtection="0"/>
    <xf numFmtId="183" fontId="2" fillId="0" borderId="0" applyFont="0" applyFill="0" applyBorder="0" applyAlignment="0" applyProtection="0"/>
    <xf numFmtId="44" fontId="2" fillId="0" borderId="0" applyFont="0" applyFill="0" applyBorder="0" applyAlignment="0" applyProtection="0"/>
  </cellStyleXfs>
  <cellXfs count="309">
    <xf numFmtId="0" fontId="0" fillId="0" borderId="0" xfId="0"/>
    <xf numFmtId="0" fontId="4" fillId="0" borderId="0" xfId="0" applyFont="1"/>
    <xf numFmtId="164" fontId="5" fillId="0" borderId="0" xfId="0" applyNumberFormat="1" applyFont="1" applyAlignment="1">
      <alignment vertical="center"/>
    </xf>
    <xf numFmtId="0" fontId="4" fillId="0" borderId="0" xfId="0" applyFont="1" applyAlignment="1">
      <alignment vertical="center"/>
    </xf>
    <xf numFmtId="164" fontId="7" fillId="0" borderId="0" xfId="0" applyNumberFormat="1" applyFont="1" applyAlignment="1">
      <alignment vertical="center"/>
    </xf>
    <xf numFmtId="164" fontId="11" fillId="0" borderId="0" xfId="0" applyNumberFormat="1" applyFont="1" applyAlignment="1">
      <alignment vertical="center"/>
    </xf>
    <xf numFmtId="43" fontId="4" fillId="0" borderId="0" xfId="0" applyNumberFormat="1" applyFont="1"/>
    <xf numFmtId="164" fontId="10" fillId="0" borderId="0" xfId="0" applyNumberFormat="1" applyFont="1" applyAlignment="1">
      <alignment horizontal="left" vertical="center"/>
    </xf>
    <xf numFmtId="164" fontId="12" fillId="0" borderId="2" xfId="0" applyNumberFormat="1" applyFont="1" applyBorder="1" applyAlignment="1">
      <alignment vertical="center"/>
    </xf>
    <xf numFmtId="164" fontId="12" fillId="0" borderId="2" xfId="0" applyNumberFormat="1" applyFont="1" applyBorder="1" applyAlignment="1">
      <alignment horizontal="center" vertical="center"/>
    </xf>
    <xf numFmtId="0" fontId="1" fillId="0" borderId="0" xfId="0" applyFont="1" applyAlignment="1">
      <alignment vertical="center"/>
    </xf>
    <xf numFmtId="165" fontId="12" fillId="0" borderId="2" xfId="0" applyNumberFormat="1" applyFont="1" applyBorder="1" applyAlignment="1">
      <alignment horizontal="center" vertical="center"/>
    </xf>
    <xf numFmtId="164" fontId="12" fillId="0" borderId="0" xfId="0" applyNumberFormat="1" applyFont="1" applyAlignment="1">
      <alignment vertical="center"/>
    </xf>
    <xf numFmtId="0" fontId="1" fillId="0" borderId="0" xfId="0" applyFont="1"/>
    <xf numFmtId="164" fontId="12" fillId="2" borderId="0" xfId="0" applyNumberFormat="1" applyFont="1" applyFill="1" applyAlignment="1">
      <alignment vertical="center"/>
    </xf>
    <xf numFmtId="166" fontId="1" fillId="0" borderId="0" xfId="1" applyFont="1" applyBorder="1" applyAlignment="1">
      <alignment horizontal="center"/>
    </xf>
    <xf numFmtId="0" fontId="15" fillId="0" borderId="0" xfId="0" applyFont="1"/>
    <xf numFmtId="0" fontId="14" fillId="0" borderId="0" xfId="0" applyFont="1" applyAlignment="1">
      <alignment horizontal="center" vertical="center"/>
    </xf>
    <xf numFmtId="43" fontId="0" fillId="0" borderId="0" xfId="0" applyNumberFormat="1"/>
    <xf numFmtId="167" fontId="12" fillId="2" borderId="2" xfId="0" applyNumberFormat="1" applyFont="1" applyFill="1" applyBorder="1" applyAlignment="1">
      <alignment horizontal="center" vertical="center"/>
    </xf>
    <xf numFmtId="3" fontId="12" fillId="0" borderId="2" xfId="0" applyNumberFormat="1" applyFont="1" applyBorder="1" applyAlignment="1">
      <alignment horizontal="center" vertical="center"/>
    </xf>
    <xf numFmtId="0" fontId="8" fillId="0" borderId="0" xfId="0" applyFont="1" applyAlignment="1">
      <alignment horizontal="center" vertical="center"/>
    </xf>
    <xf numFmtId="164" fontId="8" fillId="0" borderId="0" xfId="0" applyNumberFormat="1" applyFont="1" applyAlignment="1">
      <alignment vertical="center"/>
    </xf>
    <xf numFmtId="164" fontId="16" fillId="0" borderId="0" xfId="0" applyNumberFormat="1" applyFont="1" applyAlignment="1">
      <alignment vertical="center"/>
    </xf>
    <xf numFmtId="164" fontId="8" fillId="0" borderId="0" xfId="0" applyNumberFormat="1" applyFont="1" applyAlignment="1">
      <alignment horizontal="left" vertical="center" wrapText="1"/>
    </xf>
    <xf numFmtId="165" fontId="16" fillId="0" borderId="2" xfId="0" applyNumberFormat="1" applyFont="1" applyBorder="1" applyAlignment="1">
      <alignment horizontal="center" vertical="center"/>
    </xf>
    <xf numFmtId="0" fontId="17" fillId="0" borderId="0" xfId="0" applyFont="1" applyAlignment="1">
      <alignment horizontal="left"/>
    </xf>
    <xf numFmtId="164" fontId="18" fillId="0" borderId="2" xfId="0" applyNumberFormat="1" applyFont="1" applyBorder="1" applyAlignment="1">
      <alignment horizontal="center" vertical="center" wrapText="1"/>
    </xf>
    <xf numFmtId="10" fontId="18" fillId="0" borderId="2" xfId="2" applyNumberFormat="1" applyFont="1" applyFill="1" applyBorder="1" applyAlignment="1">
      <alignment horizontal="center" vertical="center" wrapText="1"/>
    </xf>
    <xf numFmtId="164" fontId="12" fillId="0" borderId="0" xfId="0" applyNumberFormat="1" applyFont="1" applyAlignment="1">
      <alignment horizontal="center" vertical="center"/>
    </xf>
    <xf numFmtId="166" fontId="17" fillId="0" borderId="0" xfId="1" applyFont="1" applyBorder="1" applyAlignment="1">
      <alignment horizontal="left"/>
    </xf>
    <xf numFmtId="166" fontId="1" fillId="0" borderId="0" xfId="1" applyFont="1" applyAlignment="1">
      <alignment vertical="center"/>
    </xf>
    <xf numFmtId="166" fontId="0" fillId="0" borderId="0" xfId="1" applyFont="1"/>
    <xf numFmtId="170" fontId="1" fillId="0" borderId="0" xfId="1" applyNumberFormat="1" applyFont="1" applyAlignment="1">
      <alignment vertical="center"/>
    </xf>
    <xf numFmtId="0" fontId="17" fillId="0" borderId="7" xfId="0" applyFont="1" applyBorder="1"/>
    <xf numFmtId="0" fontId="17" fillId="0" borderId="0" xfId="0" applyFont="1"/>
    <xf numFmtId="0" fontId="22" fillId="0" borderId="0" xfId="0" applyFont="1" applyAlignment="1">
      <alignment wrapText="1"/>
    </xf>
    <xf numFmtId="17" fontId="19" fillId="3" borderId="2" xfId="0" applyNumberFormat="1" applyFont="1" applyFill="1" applyBorder="1" applyAlignment="1">
      <alignment horizontal="center" vertical="center"/>
    </xf>
    <xf numFmtId="4" fontId="22" fillId="0" borderId="2" xfId="0" applyNumberFormat="1" applyFont="1" applyBorder="1" applyAlignment="1">
      <alignment horizontal="center" vertical="center"/>
    </xf>
    <xf numFmtId="171" fontId="22" fillId="0" borderId="2" xfId="0" applyNumberFormat="1" applyFont="1" applyBorder="1" applyAlignment="1">
      <alignment horizontal="center" vertical="center"/>
    </xf>
    <xf numFmtId="0" fontId="1" fillId="0" borderId="0" xfId="0" applyFont="1" applyAlignment="1">
      <alignment wrapText="1"/>
    </xf>
    <xf numFmtId="170" fontId="1" fillId="0" borderId="0" xfId="1" applyNumberFormat="1" applyFont="1"/>
    <xf numFmtId="166" fontId="1" fillId="0" borderId="0" xfId="1" applyFont="1" applyAlignment="1">
      <alignment wrapText="1"/>
    </xf>
    <xf numFmtId="0" fontId="1" fillId="0" borderId="0" xfId="0" applyFont="1" applyAlignment="1">
      <alignment horizontal="left"/>
    </xf>
    <xf numFmtId="4" fontId="22" fillId="0" borderId="2" xfId="3" applyNumberFormat="1" applyFont="1" applyBorder="1" applyAlignment="1">
      <alignment horizontal="center" vertical="center"/>
    </xf>
    <xf numFmtId="0" fontId="19" fillId="3" borderId="2"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4" fontId="0" fillId="0" borderId="0" xfId="0" applyNumberFormat="1" applyAlignment="1">
      <alignment horizontal="center"/>
    </xf>
    <xf numFmtId="9" fontId="0" fillId="0" borderId="0" xfId="2"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23" fillId="0" borderId="0" xfId="0" applyFont="1"/>
    <xf numFmtId="0" fontId="25" fillId="0" borderId="0" xfId="0" applyFont="1" applyAlignment="1">
      <alignment vertical="center"/>
    </xf>
    <xf numFmtId="0" fontId="13" fillId="0" borderId="0" xfId="0" applyFont="1"/>
    <xf numFmtId="173" fontId="17" fillId="0" borderId="0" xfId="0" applyNumberFormat="1" applyFont="1" applyAlignment="1">
      <alignment horizontal="left"/>
    </xf>
    <xf numFmtId="4" fontId="26" fillId="0" borderId="2" xfId="0" applyNumberFormat="1" applyFont="1" applyBorder="1" applyAlignment="1">
      <alignment horizontal="center" vertical="center"/>
    </xf>
    <xf numFmtId="169" fontId="1" fillId="0" borderId="0" xfId="2" applyNumberFormat="1" applyFont="1" applyAlignment="1">
      <alignment vertical="center"/>
    </xf>
    <xf numFmtId="166" fontId="1" fillId="0" borderId="0" xfId="1" applyFont="1"/>
    <xf numFmtId="166" fontId="4" fillId="0" borderId="0" xfId="1" applyFont="1"/>
    <xf numFmtId="0" fontId="27" fillId="0" borderId="0" xfId="0" applyFont="1"/>
    <xf numFmtId="4" fontId="1" fillId="0" borderId="0" xfId="0" applyNumberFormat="1" applyFont="1"/>
    <xf numFmtId="168" fontId="1" fillId="0" borderId="0" xfId="2" applyNumberFormat="1" applyFont="1"/>
    <xf numFmtId="10" fontId="1" fillId="0" borderId="0" xfId="0" applyNumberFormat="1" applyFont="1"/>
    <xf numFmtId="168" fontId="22" fillId="0" borderId="2" xfId="2" applyNumberFormat="1" applyFont="1" applyBorder="1" applyAlignment="1">
      <alignment horizontal="center" vertical="center"/>
    </xf>
    <xf numFmtId="168" fontId="22" fillId="0" borderId="2" xfId="2" applyNumberFormat="1" applyFont="1" applyFill="1" applyBorder="1" applyAlignment="1">
      <alignment horizontal="center" vertical="center"/>
    </xf>
    <xf numFmtId="172" fontId="1" fillId="0" borderId="2" xfId="1" applyNumberFormat="1" applyFont="1" applyBorder="1" applyAlignment="1">
      <alignment horizontal="center" vertical="center"/>
    </xf>
    <xf numFmtId="172" fontId="1" fillId="0" borderId="0" xfId="1" applyNumberFormat="1" applyFont="1" applyBorder="1" applyAlignment="1">
      <alignment horizontal="center"/>
    </xf>
    <xf numFmtId="172" fontId="0" fillId="0" borderId="0" xfId="0" applyNumberFormat="1"/>
    <xf numFmtId="172" fontId="12" fillId="0" borderId="0" xfId="0" applyNumberFormat="1" applyFont="1" applyAlignment="1">
      <alignment horizontal="center" vertical="center"/>
    </xf>
    <xf numFmtId="3" fontId="1" fillId="0" borderId="2" xfId="0" applyNumberFormat="1" applyFont="1" applyBorder="1" applyAlignment="1">
      <alignment horizontal="center" vertical="center" wrapText="1"/>
    </xf>
    <xf numFmtId="168" fontId="9" fillId="0" borderId="2" xfId="2" applyNumberFormat="1" applyFont="1" applyFill="1" applyBorder="1" applyAlignment="1">
      <alignment horizontal="center" vertical="center" wrapText="1"/>
    </xf>
    <xf numFmtId="0" fontId="17" fillId="0" borderId="0" xfId="0" applyFont="1" applyAlignment="1">
      <alignment horizontal="left" vertical="center" wrapText="1"/>
    </xf>
    <xf numFmtId="172" fontId="31" fillId="0" borderId="2" xfId="0" applyNumberFormat="1" applyFont="1" applyBorder="1" applyAlignment="1">
      <alignment horizontal="center" vertical="center"/>
    </xf>
    <xf numFmtId="172" fontId="32" fillId="0" borderId="2" xfId="0" applyNumberFormat="1" applyFont="1" applyBorder="1" applyAlignment="1">
      <alignment horizontal="center" vertical="center"/>
    </xf>
    <xf numFmtId="168" fontId="32" fillId="0" borderId="2" xfId="2" applyNumberFormat="1" applyFont="1" applyBorder="1" applyAlignment="1">
      <alignment horizontal="center" vertical="center"/>
    </xf>
    <xf numFmtId="172" fontId="31" fillId="0" borderId="2" xfId="0" applyNumberFormat="1" applyFont="1" applyBorder="1" applyAlignment="1">
      <alignment horizontal="center"/>
    </xf>
    <xf numFmtId="172" fontId="32" fillId="0" borderId="2" xfId="0" applyNumberFormat="1" applyFont="1" applyBorder="1" applyAlignment="1">
      <alignment horizontal="center"/>
    </xf>
    <xf numFmtId="4" fontId="31" fillId="0" borderId="2" xfId="0" applyNumberFormat="1" applyFont="1" applyBorder="1" applyAlignment="1">
      <alignment horizontal="center"/>
    </xf>
    <xf numFmtId="175" fontId="32" fillId="0" borderId="2" xfId="0" applyNumberFormat="1" applyFont="1" applyBorder="1" applyAlignment="1">
      <alignment horizontal="center"/>
    </xf>
    <xf numFmtId="168" fontId="32" fillId="0" borderId="2" xfId="2" applyNumberFormat="1" applyFont="1" applyBorder="1" applyAlignment="1">
      <alignment horizontal="center"/>
    </xf>
    <xf numFmtId="175" fontId="32" fillId="0" borderId="2" xfId="1" applyNumberFormat="1" applyFont="1" applyBorder="1" applyAlignment="1">
      <alignment horizontal="center"/>
    </xf>
    <xf numFmtId="174" fontId="32" fillId="0" borderId="2" xfId="1" applyNumberFormat="1" applyFont="1" applyBorder="1" applyAlignment="1">
      <alignment horizontal="center"/>
    </xf>
    <xf numFmtId="166" fontId="33" fillId="0" borderId="0" xfId="1" applyFont="1" applyBorder="1" applyAlignment="1">
      <alignment horizontal="left"/>
    </xf>
    <xf numFmtId="0" fontId="33" fillId="0" borderId="0" xfId="0" applyFont="1" applyAlignment="1">
      <alignment horizontal="left"/>
    </xf>
    <xf numFmtId="0" fontId="31" fillId="0" borderId="0" xfId="0" applyFont="1" applyAlignment="1">
      <alignment horizontal="center" vertical="center"/>
    </xf>
    <xf numFmtId="166" fontId="35" fillId="0" borderId="7" xfId="1" applyFont="1" applyBorder="1" applyAlignment="1">
      <alignment horizontal="center"/>
    </xf>
    <xf numFmtId="172" fontId="22" fillId="0" borderId="2" xfId="0" applyNumberFormat="1" applyFont="1" applyBorder="1" applyAlignment="1">
      <alignment horizontal="center" vertical="center"/>
    </xf>
    <xf numFmtId="177" fontId="4" fillId="0" borderId="0" xfId="0" applyNumberFormat="1" applyFont="1"/>
    <xf numFmtId="0" fontId="36" fillId="0" borderId="0" xfId="0" applyFont="1"/>
    <xf numFmtId="166" fontId="36" fillId="0" borderId="0" xfId="1" applyFont="1"/>
    <xf numFmtId="164" fontId="37" fillId="0" borderId="0" xfId="0" applyNumberFormat="1" applyFont="1" applyAlignment="1">
      <alignment horizontal="left" vertical="center" wrapText="1"/>
    </xf>
    <xf numFmtId="0" fontId="0" fillId="0" borderId="0" xfId="0" applyAlignment="1">
      <alignment horizontal="center"/>
    </xf>
    <xf numFmtId="172" fontId="31" fillId="0" borderId="0" xfId="0" applyNumberFormat="1" applyFont="1" applyAlignment="1">
      <alignment horizontal="center" vertical="center"/>
    </xf>
    <xf numFmtId="172" fontId="32" fillId="0" borderId="0" xfId="0" applyNumberFormat="1" applyFont="1" applyAlignment="1">
      <alignment horizontal="center" vertical="center"/>
    </xf>
    <xf numFmtId="168" fontId="32" fillId="0" borderId="0" xfId="2" applyNumberFormat="1" applyFont="1" applyBorder="1" applyAlignment="1">
      <alignment horizontal="center" vertical="center"/>
    </xf>
    <xf numFmtId="172" fontId="31" fillId="0" borderId="0" xfId="0" applyNumberFormat="1" applyFont="1" applyAlignment="1">
      <alignment horizontal="center"/>
    </xf>
    <xf numFmtId="172" fontId="32" fillId="0" borderId="0" xfId="0" applyNumberFormat="1" applyFont="1" applyAlignment="1">
      <alignment horizontal="center"/>
    </xf>
    <xf numFmtId="166" fontId="35" fillId="0" borderId="0" xfId="1" applyFont="1" applyBorder="1" applyAlignment="1">
      <alignment horizontal="center"/>
    </xf>
    <xf numFmtId="172" fontId="1" fillId="0" borderId="0" xfId="1" applyNumberFormat="1" applyFont="1" applyFill="1" applyBorder="1" applyAlignment="1">
      <alignment horizontal="center" vertical="center"/>
    </xf>
    <xf numFmtId="172" fontId="9" fillId="0" borderId="0" xfId="1" applyNumberFormat="1" applyFont="1" applyFill="1" applyBorder="1" applyAlignment="1">
      <alignment horizontal="center" vertical="center"/>
    </xf>
    <xf numFmtId="172" fontId="13" fillId="0" borderId="0" xfId="1" applyNumberFormat="1" applyFont="1" applyFill="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vertical="center" wrapText="1"/>
    </xf>
    <xf numFmtId="172" fontId="8" fillId="0" borderId="0" xfId="0" applyNumberFormat="1" applyFont="1" applyAlignment="1">
      <alignment horizontal="center" vertical="center"/>
    </xf>
    <xf numFmtId="4" fontId="0" fillId="0" borderId="0" xfId="0" applyNumberFormat="1"/>
    <xf numFmtId="166" fontId="0" fillId="0" borderId="0" xfId="1" applyFont="1" applyFill="1" applyBorder="1"/>
    <xf numFmtId="172" fontId="16" fillId="0" borderId="0" xfId="0" applyNumberFormat="1" applyFont="1" applyAlignment="1">
      <alignment horizontal="center" vertical="center"/>
    </xf>
    <xf numFmtId="179" fontId="17" fillId="0" borderId="0" xfId="1" applyNumberFormat="1" applyFont="1" applyBorder="1" applyAlignment="1">
      <alignment horizontal="left"/>
    </xf>
    <xf numFmtId="166" fontId="31" fillId="0" borderId="0" xfId="1" applyFont="1" applyAlignment="1">
      <alignment horizontal="center" vertical="center"/>
    </xf>
    <xf numFmtId="165" fontId="17" fillId="0" borderId="0" xfId="0" applyNumberFormat="1" applyFont="1" applyAlignment="1">
      <alignment horizontal="left"/>
    </xf>
    <xf numFmtId="172" fontId="23" fillId="0" borderId="0" xfId="0" applyNumberFormat="1" applyFont="1"/>
    <xf numFmtId="168" fontId="0" fillId="0" borderId="0" xfId="2" applyNumberFormat="1" applyFont="1"/>
    <xf numFmtId="177" fontId="0" fillId="0" borderId="0" xfId="1" applyNumberFormat="1" applyFont="1"/>
    <xf numFmtId="0" fontId="38" fillId="0" borderId="0" xfId="0" applyFont="1"/>
    <xf numFmtId="0" fontId="5" fillId="0" borderId="0" xfId="0" applyFont="1"/>
    <xf numFmtId="177" fontId="5" fillId="0" borderId="0" xfId="0" applyNumberFormat="1" applyFont="1"/>
    <xf numFmtId="43" fontId="5" fillId="0" borderId="0" xfId="0" applyNumberFormat="1" applyFont="1"/>
    <xf numFmtId="43" fontId="5" fillId="0" borderId="0" xfId="1" applyNumberFormat="1" applyFont="1" applyBorder="1" applyAlignment="1">
      <alignment horizontal="center"/>
    </xf>
    <xf numFmtId="0" fontId="39" fillId="0" borderId="0" xfId="0" applyFont="1"/>
    <xf numFmtId="0" fontId="5" fillId="0" borderId="0" xfId="0" applyFont="1" applyAlignment="1">
      <alignment horizontal="left" vertical="center" wrapText="1"/>
    </xf>
    <xf numFmtId="178" fontId="5" fillId="0" borderId="0" xfId="0" applyNumberFormat="1" applyFont="1"/>
    <xf numFmtId="164" fontId="7" fillId="2" borderId="0" xfId="0" applyNumberFormat="1" applyFont="1" applyFill="1" applyAlignment="1">
      <alignment vertical="center"/>
    </xf>
    <xf numFmtId="43" fontId="5" fillId="0" borderId="0" xfId="0" applyNumberFormat="1" applyFont="1" applyAlignment="1">
      <alignment vertical="center"/>
    </xf>
    <xf numFmtId="17" fontId="0" fillId="0" borderId="0" xfId="0" applyNumberFormat="1"/>
    <xf numFmtId="9" fontId="0" fillId="0" borderId="0" xfId="2" applyFont="1"/>
    <xf numFmtId="2" fontId="41" fillId="0" borderId="13" xfId="0" applyNumberFormat="1" applyFont="1" applyBorder="1" applyAlignment="1">
      <alignment horizontal="center"/>
    </xf>
    <xf numFmtId="4" fontId="41" fillId="0" borderId="13" xfId="0" applyNumberFormat="1" applyFont="1" applyBorder="1" applyAlignment="1">
      <alignment horizontal="center"/>
    </xf>
    <xf numFmtId="4" fontId="41" fillId="0" borderId="0" xfId="0" applyNumberFormat="1" applyFont="1" applyAlignment="1">
      <alignment horizontal="center"/>
    </xf>
    <xf numFmtId="2" fontId="0" fillId="0" borderId="0" xfId="0" applyNumberFormat="1"/>
    <xf numFmtId="172" fontId="42" fillId="0" borderId="2" xfId="0" applyNumberFormat="1" applyFont="1" applyBorder="1" applyAlignment="1">
      <alignment horizontal="center" vertical="center"/>
    </xf>
    <xf numFmtId="172" fontId="42" fillId="0" borderId="2" xfId="0" applyNumberFormat="1" applyFont="1" applyBorder="1" applyAlignment="1">
      <alignment horizontal="center"/>
    </xf>
    <xf numFmtId="180" fontId="0" fillId="0" borderId="0" xfId="0" applyNumberFormat="1"/>
    <xf numFmtId="165" fontId="10" fillId="0" borderId="0" xfId="0" applyNumberFormat="1" applyFont="1" applyAlignment="1">
      <alignment horizontal="left" vertical="center"/>
    </xf>
    <xf numFmtId="165" fontId="5" fillId="0" borderId="0" xfId="0" applyNumberFormat="1" applyFont="1" applyAlignment="1">
      <alignment vertical="center"/>
    </xf>
    <xf numFmtId="165" fontId="12" fillId="0" borderId="0" xfId="0" applyNumberFormat="1" applyFont="1" applyAlignment="1">
      <alignment vertical="center"/>
    </xf>
    <xf numFmtId="165" fontId="0" fillId="0" borderId="0" xfId="0" applyNumberFormat="1"/>
    <xf numFmtId="165" fontId="35" fillId="0" borderId="7" xfId="1" applyNumberFormat="1" applyFont="1" applyBorder="1" applyAlignment="1">
      <alignment horizontal="center"/>
    </xf>
    <xf numFmtId="165" fontId="17" fillId="0" borderId="0" xfId="0" applyNumberFormat="1" applyFont="1"/>
    <xf numFmtId="177" fontId="31" fillId="0" borderId="0" xfId="1" applyNumberFormat="1" applyFont="1" applyAlignment="1">
      <alignment horizontal="center" vertical="center"/>
    </xf>
    <xf numFmtId="177" fontId="32" fillId="0" borderId="0" xfId="1" applyNumberFormat="1" applyFont="1" applyAlignment="1">
      <alignment horizontal="center" vertical="center"/>
    </xf>
    <xf numFmtId="177" fontId="32" fillId="0" borderId="0" xfId="1" applyNumberFormat="1" applyFont="1" applyBorder="1" applyAlignment="1">
      <alignment horizontal="center" vertical="center"/>
    </xf>
    <xf numFmtId="9" fontId="1" fillId="0" borderId="0" xfId="2" applyFont="1"/>
    <xf numFmtId="0" fontId="44" fillId="0" borderId="0" xfId="0" applyFont="1"/>
    <xf numFmtId="0" fontId="48" fillId="0" borderId="18" xfId="0" applyFont="1" applyBorder="1"/>
    <xf numFmtId="181" fontId="48" fillId="0" borderId="2" xfId="0" applyNumberFormat="1" applyFont="1" applyBorder="1" applyAlignment="1">
      <alignment horizontal="right"/>
    </xf>
    <xf numFmtId="181" fontId="48" fillId="0" borderId="2" xfId="0" applyNumberFormat="1" applyFont="1" applyBorder="1"/>
    <xf numFmtId="0" fontId="49" fillId="0" borderId="2" xfId="0" applyFont="1" applyBorder="1" applyAlignment="1">
      <alignment horizontal="center"/>
    </xf>
    <xf numFmtId="182" fontId="49" fillId="0" borderId="2" xfId="0" applyNumberFormat="1" applyFont="1" applyBorder="1" applyAlignment="1">
      <alignment horizontal="center"/>
    </xf>
    <xf numFmtId="0" fontId="49" fillId="0" borderId="21" xfId="0" applyFont="1" applyBorder="1" applyAlignment="1">
      <alignment horizontal="center"/>
    </xf>
    <xf numFmtId="0" fontId="49" fillId="0" borderId="22" xfId="0" applyFont="1" applyBorder="1"/>
    <xf numFmtId="181" fontId="49" fillId="0" borderId="23" xfId="0" applyNumberFormat="1" applyFont="1" applyBorder="1"/>
    <xf numFmtId="4" fontId="49" fillId="0" borderId="23" xfId="0" applyNumberFormat="1" applyFont="1" applyBorder="1"/>
    <xf numFmtId="0" fontId="49" fillId="0" borderId="23" xfId="0" applyFont="1" applyBorder="1" applyAlignment="1">
      <alignment horizontal="center"/>
    </xf>
    <xf numFmtId="182" fontId="49" fillId="0" borderId="23" xfId="0" applyNumberFormat="1" applyFont="1" applyBorder="1" applyAlignment="1">
      <alignment horizontal="center"/>
    </xf>
    <xf numFmtId="1" fontId="49" fillId="0" borderId="23" xfId="0" applyNumberFormat="1" applyFont="1" applyBorder="1" applyAlignment="1">
      <alignment horizontal="center"/>
    </xf>
    <xf numFmtId="0" fontId="49" fillId="0" borderId="24" xfId="0" applyFont="1" applyBorder="1" applyAlignment="1">
      <alignment horizontal="center"/>
    </xf>
    <xf numFmtId="164" fontId="12" fillId="2" borderId="2" xfId="0" applyNumberFormat="1" applyFont="1" applyFill="1" applyBorder="1" applyAlignment="1">
      <alignment vertical="center"/>
    </xf>
    <xf numFmtId="166" fontId="5" fillId="2" borderId="2" xfId="1" applyFont="1" applyFill="1" applyBorder="1" applyAlignment="1">
      <alignment vertical="center"/>
    </xf>
    <xf numFmtId="9" fontId="1" fillId="0" borderId="0" xfId="0" applyNumberFormat="1" applyFont="1"/>
    <xf numFmtId="166" fontId="0" fillId="4" borderId="0" xfId="1" applyFont="1" applyFill="1"/>
    <xf numFmtId="0" fontId="0" fillId="4" borderId="0" xfId="0" applyFill="1"/>
    <xf numFmtId="0" fontId="52" fillId="0" borderId="0" xfId="0" applyFont="1"/>
    <xf numFmtId="0" fontId="53" fillId="0" borderId="0" xfId="0" applyFont="1" applyAlignment="1">
      <alignment horizontal="left" vertical="center" indent="1" readingOrder="1"/>
    </xf>
    <xf numFmtId="167" fontId="12" fillId="0" borderId="2" xfId="0" applyNumberFormat="1" applyFont="1" applyBorder="1" applyAlignment="1">
      <alignment horizontal="center" vertical="center"/>
    </xf>
    <xf numFmtId="164" fontId="55" fillId="0" borderId="0" xfId="0" applyNumberFormat="1" applyFont="1" applyAlignment="1">
      <alignment vertical="center"/>
    </xf>
    <xf numFmtId="0" fontId="8" fillId="5" borderId="2" xfId="0" applyFont="1" applyFill="1" applyBorder="1" applyAlignment="1">
      <alignment horizontal="center" vertical="center"/>
    </xf>
    <xf numFmtId="0" fontId="8" fillId="5" borderId="2" xfId="0" applyFont="1" applyFill="1" applyBorder="1" applyAlignment="1">
      <alignment horizontal="center" vertical="center" wrapText="1"/>
    </xf>
    <xf numFmtId="14" fontId="8" fillId="5" borderId="5" xfId="0" applyNumberFormat="1" applyFont="1" applyFill="1" applyBorder="1" applyAlignment="1">
      <alignment horizontal="center" vertical="center"/>
    </xf>
    <xf numFmtId="164" fontId="8" fillId="6" borderId="2" xfId="0" applyNumberFormat="1" applyFont="1" applyFill="1" applyBorder="1" applyAlignment="1">
      <alignment vertical="center"/>
    </xf>
    <xf numFmtId="165" fontId="8" fillId="6" borderId="2" xfId="0" applyNumberFormat="1" applyFont="1" applyFill="1" applyBorder="1" applyAlignment="1">
      <alignment horizontal="center" vertical="center"/>
    </xf>
    <xf numFmtId="10" fontId="8" fillId="6" borderId="2" xfId="2" applyNumberFormat="1" applyFont="1" applyFill="1" applyBorder="1" applyAlignment="1">
      <alignment horizontal="center" vertical="center"/>
    </xf>
    <xf numFmtId="164" fontId="19" fillId="6" borderId="2" xfId="0" applyNumberFormat="1" applyFont="1" applyFill="1" applyBorder="1" applyAlignment="1">
      <alignment horizontal="center" vertical="center" wrapText="1"/>
    </xf>
    <xf numFmtId="164" fontId="19" fillId="6" borderId="2" xfId="0" applyNumberFormat="1" applyFont="1" applyFill="1" applyBorder="1" applyAlignment="1">
      <alignment vertical="center" wrapText="1"/>
    </xf>
    <xf numFmtId="164" fontId="16" fillId="7" borderId="2" xfId="0" applyNumberFormat="1" applyFont="1" applyFill="1" applyBorder="1" applyAlignment="1">
      <alignment vertical="center"/>
    </xf>
    <xf numFmtId="165" fontId="9" fillId="7" borderId="2" xfId="0" applyNumberFormat="1" applyFont="1" applyFill="1" applyBorder="1" applyAlignment="1">
      <alignment horizontal="center" vertical="center"/>
    </xf>
    <xf numFmtId="164" fontId="20" fillId="7" borderId="2" xfId="0" applyNumberFormat="1" applyFont="1" applyFill="1" applyBorder="1" applyAlignment="1">
      <alignment horizontal="center" vertical="center" wrapText="1"/>
    </xf>
    <xf numFmtId="164" fontId="20" fillId="7" borderId="2" xfId="0" applyNumberFormat="1" applyFont="1" applyFill="1" applyBorder="1" applyAlignment="1">
      <alignment vertical="center" wrapText="1"/>
    </xf>
    <xf numFmtId="164" fontId="8" fillId="5" borderId="2" xfId="1" applyNumberFormat="1" applyFont="1" applyFill="1" applyBorder="1" applyAlignment="1">
      <alignment vertical="center"/>
    </xf>
    <xf numFmtId="0" fontId="13" fillId="5" borderId="2" xfId="0" applyFont="1" applyFill="1" applyBorder="1" applyAlignment="1">
      <alignment horizontal="center" vertical="center"/>
    </xf>
    <xf numFmtId="0" fontId="13" fillId="5" borderId="2" xfId="0" applyFont="1" applyFill="1" applyBorder="1" applyAlignment="1">
      <alignment horizontal="center" vertical="center" wrapText="1"/>
    </xf>
    <xf numFmtId="0" fontId="8" fillId="5" borderId="9" xfId="0" applyFont="1" applyFill="1" applyBorder="1" applyAlignment="1">
      <alignment horizontal="center" vertical="center"/>
    </xf>
    <xf numFmtId="172" fontId="8" fillId="6" borderId="2" xfId="0" applyNumberFormat="1" applyFont="1" applyFill="1" applyBorder="1" applyAlignment="1">
      <alignment horizontal="center" vertical="center"/>
    </xf>
    <xf numFmtId="172" fontId="13" fillId="6" borderId="2" xfId="1" applyNumberFormat="1" applyFont="1" applyFill="1" applyBorder="1" applyAlignment="1">
      <alignment horizontal="center" vertical="center"/>
    </xf>
    <xf numFmtId="172" fontId="9" fillId="7" borderId="2" xfId="1" applyNumberFormat="1" applyFont="1" applyFill="1" applyBorder="1" applyAlignment="1">
      <alignment horizontal="center" vertical="center"/>
    </xf>
    <xf numFmtId="172" fontId="16" fillId="7" borderId="2" xfId="0" applyNumberFormat="1" applyFont="1" applyFill="1" applyBorder="1" applyAlignment="1">
      <alignment horizontal="center" vertical="center"/>
    </xf>
    <xf numFmtId="164" fontId="56" fillId="0" borderId="0" xfId="0" applyNumberFormat="1" applyFont="1" applyAlignment="1">
      <alignment vertical="center"/>
    </xf>
    <xf numFmtId="166" fontId="6" fillId="6" borderId="0" xfId="0" applyNumberFormat="1" applyFont="1" applyFill="1" applyAlignment="1">
      <alignment horizontal="center" vertical="center"/>
    </xf>
    <xf numFmtId="0" fontId="6" fillId="5" borderId="0" xfId="0" applyFont="1" applyFill="1" applyAlignment="1">
      <alignment horizontal="center"/>
    </xf>
    <xf numFmtId="166" fontId="8" fillId="6" borderId="0" xfId="0" applyNumberFormat="1" applyFont="1" applyFill="1" applyAlignment="1">
      <alignment horizontal="center" vertical="center"/>
    </xf>
    <xf numFmtId="0" fontId="8" fillId="5" borderId="0" xfId="0" applyFont="1" applyFill="1" applyAlignment="1">
      <alignment horizontal="center"/>
    </xf>
    <xf numFmtId="17" fontId="19" fillId="6" borderId="2" xfId="0" applyNumberFormat="1" applyFont="1" applyFill="1" applyBorder="1" applyAlignment="1">
      <alignment horizontal="center" vertical="center"/>
    </xf>
    <xf numFmtId="0" fontId="19" fillId="5" borderId="2" xfId="0" applyFont="1" applyFill="1" applyBorder="1" applyAlignment="1">
      <alignment horizontal="left" vertical="center" wrapText="1"/>
    </xf>
    <xf numFmtId="4" fontId="22" fillId="7" borderId="2" xfId="0" applyNumberFormat="1" applyFont="1" applyFill="1" applyBorder="1" applyAlignment="1">
      <alignment horizontal="center" vertical="center"/>
    </xf>
    <xf numFmtId="10" fontId="22" fillId="7" borderId="2" xfId="2" applyNumberFormat="1" applyFont="1" applyFill="1" applyBorder="1" applyAlignment="1">
      <alignment horizontal="center" vertical="center"/>
    </xf>
    <xf numFmtId="0" fontId="8" fillId="6" borderId="2" xfId="0" applyFont="1" applyFill="1" applyBorder="1" applyAlignment="1">
      <alignment horizontal="center" vertical="center" wrapText="1"/>
    </xf>
    <xf numFmtId="177" fontId="0" fillId="6" borderId="0" xfId="1" applyNumberFormat="1" applyFont="1" applyFill="1" applyAlignment="1">
      <alignment horizontal="center"/>
    </xf>
    <xf numFmtId="177" fontId="31" fillId="6" borderId="0" xfId="1" applyNumberFormat="1" applyFont="1" applyFill="1" applyAlignment="1">
      <alignment horizontal="center" vertical="center"/>
    </xf>
    <xf numFmtId="172" fontId="31" fillId="6" borderId="0" xfId="0" applyNumberFormat="1" applyFont="1" applyFill="1" applyAlignment="1">
      <alignment horizontal="center"/>
    </xf>
    <xf numFmtId="0" fontId="53" fillId="0" borderId="0" xfId="0" applyFont="1" applyAlignment="1">
      <alignment horizontal="left" vertical="center" readingOrder="1"/>
    </xf>
    <xf numFmtId="0" fontId="56" fillId="0" borderId="0" xfId="0" applyFont="1" applyAlignment="1">
      <alignment horizontal="left" vertical="center" readingOrder="1"/>
    </xf>
    <xf numFmtId="0" fontId="56" fillId="0" borderId="0" xfId="0" applyFont="1" applyAlignment="1">
      <alignment horizontal="left" vertical="center" indent="1" readingOrder="1"/>
    </xf>
    <xf numFmtId="176" fontId="9" fillId="0" borderId="2" xfId="2" applyNumberFormat="1" applyFont="1" applyFill="1" applyBorder="1" applyAlignment="1">
      <alignment horizontal="center" vertical="center" wrapText="1"/>
    </xf>
    <xf numFmtId="172" fontId="12" fillId="2" borderId="2" xfId="0" applyNumberFormat="1" applyFont="1" applyFill="1" applyBorder="1" applyAlignment="1">
      <alignment horizontal="center" vertical="center"/>
    </xf>
    <xf numFmtId="164" fontId="12" fillId="2" borderId="2" xfId="0" applyNumberFormat="1" applyFont="1" applyFill="1" applyBorder="1" applyAlignment="1">
      <alignment horizontal="center" vertical="center"/>
    </xf>
    <xf numFmtId="165" fontId="12" fillId="2" borderId="2" xfId="0" applyNumberFormat="1" applyFont="1" applyFill="1" applyBorder="1" applyAlignment="1">
      <alignment horizontal="center" vertical="center"/>
    </xf>
    <xf numFmtId="171" fontId="9" fillId="2" borderId="2" xfId="0" applyNumberFormat="1" applyFont="1" applyFill="1" applyBorder="1" applyAlignment="1">
      <alignment horizontal="center"/>
    </xf>
    <xf numFmtId="176" fontId="9" fillId="2" borderId="2" xfId="2" applyNumberFormat="1" applyFont="1" applyFill="1" applyBorder="1" applyAlignment="1">
      <alignment horizontal="center"/>
    </xf>
    <xf numFmtId="164" fontId="7" fillId="2" borderId="2" xfId="0" applyNumberFormat="1" applyFont="1" applyFill="1" applyBorder="1" applyAlignment="1">
      <alignment vertical="center"/>
    </xf>
    <xf numFmtId="184" fontId="17" fillId="0" borderId="0" xfId="0" applyNumberFormat="1" applyFont="1" applyAlignment="1">
      <alignment horizontal="left"/>
    </xf>
    <xf numFmtId="185" fontId="12" fillId="0" borderId="2" xfId="0" applyNumberFormat="1" applyFont="1" applyBorder="1" applyAlignment="1">
      <alignment vertical="center"/>
    </xf>
    <xf numFmtId="187" fontId="12" fillId="0" borderId="2" xfId="0" applyNumberFormat="1" applyFont="1" applyBorder="1" applyAlignment="1">
      <alignment vertical="center"/>
    </xf>
    <xf numFmtId="188" fontId="12" fillId="0" borderId="2" xfId="0" applyNumberFormat="1" applyFont="1" applyBorder="1" applyAlignment="1">
      <alignment vertical="center"/>
    </xf>
    <xf numFmtId="189" fontId="12" fillId="0" borderId="2" xfId="0" applyNumberFormat="1" applyFont="1" applyBorder="1" applyAlignment="1">
      <alignment vertical="center"/>
    </xf>
    <xf numFmtId="190" fontId="12" fillId="0" borderId="2" xfId="0" applyNumberFormat="1" applyFont="1" applyBorder="1" applyAlignment="1">
      <alignment vertical="center"/>
    </xf>
    <xf numFmtId="191" fontId="12" fillId="0" borderId="2" xfId="0" applyNumberFormat="1" applyFont="1" applyBorder="1" applyAlignment="1">
      <alignment vertical="center"/>
    </xf>
    <xf numFmtId="192" fontId="4" fillId="0" borderId="0" xfId="0" applyNumberFormat="1" applyFont="1"/>
    <xf numFmtId="186" fontId="12" fillId="2" borderId="2" xfId="0" applyNumberFormat="1" applyFont="1" applyFill="1" applyBorder="1" applyAlignment="1">
      <alignment vertical="center"/>
    </xf>
    <xf numFmtId="164" fontId="18" fillId="2" borderId="2" xfId="0" applyNumberFormat="1" applyFont="1" applyFill="1" applyBorder="1" applyAlignment="1">
      <alignment horizontal="center" vertical="center" wrapText="1"/>
    </xf>
    <xf numFmtId="10" fontId="18" fillId="2" borderId="2" xfId="2"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xf>
    <xf numFmtId="166" fontId="1" fillId="0" borderId="0" xfId="0" applyNumberFormat="1" applyFont="1"/>
    <xf numFmtId="193" fontId="1" fillId="0" borderId="0" xfId="0" applyNumberFormat="1" applyFont="1"/>
    <xf numFmtId="166" fontId="5" fillId="0" borderId="0" xfId="0" applyNumberFormat="1" applyFont="1"/>
    <xf numFmtId="166" fontId="5" fillId="2" borderId="2" xfId="1" applyFont="1" applyFill="1" applyBorder="1" applyAlignment="1">
      <alignment horizontal="center" vertical="center"/>
    </xf>
    <xf numFmtId="172" fontId="1" fillId="0" borderId="2" xfId="1" applyNumberFormat="1" applyFont="1" applyFill="1" applyBorder="1" applyAlignment="1">
      <alignment horizontal="center" vertical="center"/>
    </xf>
    <xf numFmtId="164" fontId="7" fillId="0" borderId="2" xfId="0" applyNumberFormat="1" applyFont="1" applyBorder="1" applyAlignment="1">
      <alignment vertical="center"/>
    </xf>
    <xf numFmtId="166" fontId="5" fillId="0" borderId="2" xfId="1" applyFont="1" applyFill="1" applyBorder="1" applyAlignment="1">
      <alignment vertical="center"/>
    </xf>
    <xf numFmtId="166" fontId="4" fillId="0" borderId="0" xfId="1" applyFont="1" applyFill="1"/>
    <xf numFmtId="166" fontId="1" fillId="0" borderId="0" xfId="1" applyFont="1" applyFill="1"/>
    <xf numFmtId="44" fontId="1" fillId="0" borderId="0" xfId="8" applyFont="1"/>
    <xf numFmtId="2" fontId="1" fillId="0" borderId="0" xfId="8" applyNumberFormat="1" applyFont="1"/>
    <xf numFmtId="168" fontId="17" fillId="0" borderId="0" xfId="2" applyNumberFormat="1" applyFont="1" applyAlignment="1">
      <alignment horizontal="left"/>
    </xf>
    <xf numFmtId="10" fontId="1" fillId="0" borderId="0" xfId="2" applyNumberFormat="1" applyFont="1"/>
    <xf numFmtId="0" fontId="14" fillId="2" borderId="0" xfId="0" applyFont="1" applyFill="1" applyAlignment="1">
      <alignment horizontal="center" vertical="center"/>
    </xf>
    <xf numFmtId="166" fontId="4" fillId="2" borderId="0" xfId="1" applyFont="1" applyFill="1"/>
    <xf numFmtId="0" fontId="4" fillId="2" borderId="0" xfId="0" applyFont="1" applyFill="1"/>
    <xf numFmtId="0" fontId="8" fillId="6" borderId="0" xfId="0" applyFont="1" applyFill="1" applyAlignment="1">
      <alignment horizontal="center" vertical="center" wrapText="1"/>
    </xf>
    <xf numFmtId="0" fontId="8" fillId="5" borderId="0" xfId="0" applyFont="1" applyFill="1" applyAlignment="1">
      <alignment horizontal="center" vertical="center" wrapText="1"/>
    </xf>
    <xf numFmtId="3" fontId="0" fillId="0" borderId="0" xfId="0" applyNumberFormat="1"/>
    <xf numFmtId="10" fontId="0" fillId="0" borderId="0" xfId="2" applyNumberFormat="1" applyFont="1"/>
    <xf numFmtId="10" fontId="0" fillId="0" borderId="0" xfId="0" applyNumberFormat="1"/>
    <xf numFmtId="9" fontId="0" fillId="0" borderId="0" xfId="0" applyNumberFormat="1"/>
    <xf numFmtId="4" fontId="22" fillId="0" borderId="9" xfId="0" applyNumberFormat="1" applyFont="1" applyBorder="1" applyAlignment="1">
      <alignment horizontal="center" vertical="center"/>
    </xf>
    <xf numFmtId="172" fontId="57" fillId="0" borderId="9" xfId="0" quotePrefix="1" applyNumberFormat="1" applyFont="1" applyBorder="1" applyAlignment="1">
      <alignment horizontal="center" vertical="center"/>
    </xf>
    <xf numFmtId="4" fontId="26" fillId="0" borderId="9" xfId="0" applyNumberFormat="1" applyFont="1" applyBorder="1" applyAlignment="1">
      <alignment horizontal="center" vertical="center"/>
    </xf>
    <xf numFmtId="171" fontId="22" fillId="0" borderId="9" xfId="0" applyNumberFormat="1" applyFont="1" applyBorder="1" applyAlignment="1">
      <alignment horizontal="center" vertical="center"/>
    </xf>
    <xf numFmtId="4" fontId="22" fillId="7" borderId="9" xfId="0" applyNumberFormat="1" applyFont="1" applyFill="1" applyBorder="1" applyAlignment="1">
      <alignment horizontal="center" vertical="center"/>
    </xf>
    <xf numFmtId="10" fontId="22" fillId="7" borderId="9" xfId="2" applyNumberFormat="1" applyFont="1" applyFill="1" applyBorder="1" applyAlignment="1">
      <alignment horizontal="center" vertical="center"/>
    </xf>
    <xf numFmtId="10" fontId="22" fillId="7" borderId="4" xfId="2" applyNumberFormat="1" applyFont="1" applyFill="1" applyBorder="1" applyAlignment="1">
      <alignment horizontal="center" vertical="center"/>
    </xf>
    <xf numFmtId="0" fontId="1" fillId="0" borderId="0" xfId="0" quotePrefix="1" applyFont="1" applyAlignment="1">
      <alignment horizontal="left"/>
    </xf>
    <xf numFmtId="172" fontId="22" fillId="0" borderId="4" xfId="0" applyNumberFormat="1" applyFont="1" applyBorder="1" applyAlignment="1">
      <alignment horizontal="right" vertical="center"/>
    </xf>
    <xf numFmtId="4" fontId="22" fillId="0" borderId="4" xfId="0" applyNumberFormat="1" applyFont="1" applyBorder="1" applyAlignment="1">
      <alignment horizontal="right" vertical="center"/>
    </xf>
    <xf numFmtId="4" fontId="26" fillId="0" borderId="4" xfId="0" applyNumberFormat="1" applyFont="1" applyBorder="1" applyAlignment="1">
      <alignment horizontal="right" vertical="center"/>
    </xf>
    <xf numFmtId="171" fontId="22" fillId="0" borderId="4" xfId="0" applyNumberFormat="1" applyFont="1" applyBorder="1" applyAlignment="1">
      <alignment horizontal="right" vertical="center"/>
    </xf>
    <xf numFmtId="4" fontId="22" fillId="7" borderId="4" xfId="0" applyNumberFormat="1" applyFont="1" applyFill="1" applyBorder="1" applyAlignment="1">
      <alignment horizontal="right" vertical="center"/>
    </xf>
    <xf numFmtId="17" fontId="19" fillId="6" borderId="4" xfId="0" applyNumberFormat="1" applyFont="1" applyFill="1" applyBorder="1" applyAlignment="1">
      <alignment horizontal="centerContinuous" vertical="center"/>
    </xf>
    <xf numFmtId="17" fontId="19" fillId="6" borderId="9" xfId="0" applyNumberFormat="1" applyFont="1" applyFill="1" applyBorder="1" applyAlignment="1">
      <alignment horizontal="centerContinuous" vertical="center"/>
    </xf>
    <xf numFmtId="164" fontId="10" fillId="0" borderId="0" xfId="0" applyNumberFormat="1" applyFont="1" applyAlignment="1">
      <alignment horizontal="left" vertical="center"/>
    </xf>
    <xf numFmtId="0" fontId="8" fillId="5" borderId="2" xfId="0" applyFont="1" applyFill="1" applyBorder="1" applyAlignment="1">
      <alignment horizontal="center" vertical="center"/>
    </xf>
    <xf numFmtId="0" fontId="8" fillId="5" borderId="2" xfId="0" applyFont="1" applyFill="1" applyBorder="1" applyAlignment="1">
      <alignment horizontal="center" vertical="center" wrapText="1"/>
    </xf>
    <xf numFmtId="164" fontId="8" fillId="5" borderId="1" xfId="0" applyNumberFormat="1" applyFont="1" applyFill="1" applyBorder="1" applyAlignment="1">
      <alignment horizontal="center" vertical="center" wrapText="1"/>
    </xf>
    <xf numFmtId="164" fontId="8" fillId="5" borderId="3" xfId="0" applyNumberFormat="1" applyFont="1" applyFill="1" applyBorder="1" applyAlignment="1">
      <alignment horizontal="center" vertical="center" wrapText="1"/>
    </xf>
    <xf numFmtId="164" fontId="8" fillId="5" borderId="5"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165" fontId="8" fillId="5" borderId="1" xfId="0" applyNumberFormat="1" applyFont="1" applyFill="1" applyBorder="1" applyAlignment="1">
      <alignment horizontal="center" vertical="center" wrapText="1"/>
    </xf>
    <xf numFmtId="165" fontId="8" fillId="5" borderId="3" xfId="0" applyNumberFormat="1" applyFont="1" applyFill="1" applyBorder="1" applyAlignment="1">
      <alignment horizontal="center" vertical="center" wrapText="1"/>
    </xf>
    <xf numFmtId="164" fontId="8" fillId="6" borderId="8" xfId="0" applyNumberFormat="1" applyFont="1" applyFill="1" applyBorder="1" applyAlignment="1">
      <alignment horizontal="center" vertical="center" wrapText="1"/>
    </xf>
    <xf numFmtId="164" fontId="8" fillId="6" borderId="6" xfId="0" applyNumberFormat="1" applyFont="1" applyFill="1" applyBorder="1" applyAlignment="1">
      <alignment horizontal="center" vertical="center" wrapText="1"/>
    </xf>
    <xf numFmtId="164" fontId="8" fillId="6" borderId="10" xfId="0" applyNumberFormat="1" applyFont="1" applyFill="1" applyBorder="1" applyAlignment="1">
      <alignment horizontal="center" vertical="center" wrapText="1"/>
    </xf>
    <xf numFmtId="164" fontId="8" fillId="6" borderId="11" xfId="0" applyNumberFormat="1" applyFont="1" applyFill="1" applyBorder="1" applyAlignment="1">
      <alignment horizontal="center" vertical="center" wrapText="1"/>
    </xf>
    <xf numFmtId="164" fontId="8" fillId="6" borderId="0" xfId="0" applyNumberFormat="1" applyFont="1" applyFill="1" applyAlignment="1">
      <alignment horizontal="center" vertical="center" wrapText="1"/>
    </xf>
    <xf numFmtId="164" fontId="8" fillId="6" borderId="12" xfId="0" applyNumberFormat="1" applyFont="1" applyFill="1" applyBorder="1" applyAlignment="1">
      <alignment horizontal="center" vertical="center" wrapText="1"/>
    </xf>
    <xf numFmtId="0" fontId="17" fillId="0" borderId="0" xfId="0" applyFont="1" applyAlignment="1">
      <alignment horizontal="left"/>
    </xf>
    <xf numFmtId="0" fontId="24" fillId="0" borderId="0" xfId="0" applyFont="1" applyAlignment="1">
      <alignment horizontal="center" vertical="center"/>
    </xf>
    <xf numFmtId="0" fontId="8" fillId="3" borderId="2" xfId="0" applyFont="1" applyFill="1" applyBorder="1" applyAlignment="1">
      <alignment horizontal="center" vertical="center" wrapText="1"/>
    </xf>
    <xf numFmtId="0" fontId="6" fillId="6" borderId="0" xfId="0" applyFont="1" applyFill="1" applyAlignment="1">
      <alignment horizontal="center" vertical="center"/>
    </xf>
    <xf numFmtId="164" fontId="6" fillId="5" borderId="1" xfId="0" applyNumberFormat="1" applyFont="1" applyFill="1" applyBorder="1" applyAlignment="1">
      <alignment horizontal="center" vertical="center"/>
    </xf>
    <xf numFmtId="164" fontId="6" fillId="5" borderId="3"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wrapText="1"/>
    </xf>
    <xf numFmtId="164" fontId="6" fillId="5" borderId="3" xfId="0" applyNumberFormat="1" applyFont="1" applyFill="1" applyBorder="1" applyAlignment="1">
      <alignment horizontal="center" vertical="center" wrapText="1"/>
    </xf>
    <xf numFmtId="0" fontId="5" fillId="0" borderId="0" xfId="0" applyFont="1" applyAlignment="1">
      <alignment horizontal="left" vertical="center" wrapText="1"/>
    </xf>
    <xf numFmtId="164" fontId="21" fillId="0" borderId="0" xfId="0" applyNumberFormat="1" applyFont="1" applyAlignment="1">
      <alignment horizontal="left" vertical="center"/>
    </xf>
    <xf numFmtId="164" fontId="6" fillId="6" borderId="6" xfId="0" applyNumberFormat="1" applyFont="1" applyFill="1" applyBorder="1" applyAlignment="1">
      <alignment horizontal="center" vertical="center"/>
    </xf>
    <xf numFmtId="164" fontId="6" fillId="6" borderId="2" xfId="0" applyNumberFormat="1" applyFont="1" applyFill="1" applyBorder="1" applyAlignment="1">
      <alignment horizontal="center" vertical="center"/>
    </xf>
    <xf numFmtId="0" fontId="8" fillId="6" borderId="0" xfId="0" applyFont="1" applyFill="1" applyAlignment="1">
      <alignment horizontal="center" vertical="center"/>
    </xf>
    <xf numFmtId="0" fontId="17" fillId="0" borderId="0" xfId="0" applyFont="1" applyAlignment="1">
      <alignment horizontal="left" vertical="center" wrapText="1"/>
    </xf>
    <xf numFmtId="164" fontId="8" fillId="5" borderId="1" xfId="0" applyNumberFormat="1" applyFont="1" applyFill="1" applyBorder="1" applyAlignment="1">
      <alignment horizontal="center" vertical="center"/>
    </xf>
    <xf numFmtId="164" fontId="8" fillId="5" borderId="3" xfId="0" applyNumberFormat="1" applyFont="1" applyFill="1" applyBorder="1" applyAlignment="1">
      <alignment horizontal="center" vertical="center"/>
    </xf>
    <xf numFmtId="0" fontId="8" fillId="6" borderId="2" xfId="0" applyFont="1" applyFill="1" applyBorder="1" applyAlignment="1">
      <alignment horizontal="center" vertical="center" wrapText="1"/>
    </xf>
    <xf numFmtId="0" fontId="9" fillId="0" borderId="2" xfId="0" applyFont="1" applyBorder="1" applyAlignment="1">
      <alignment horizontal="left" vertical="center" wrapText="1"/>
    </xf>
    <xf numFmtId="164" fontId="43" fillId="0" borderId="0" xfId="0" applyNumberFormat="1" applyFont="1" applyAlignment="1">
      <alignment horizontal="left" vertical="center"/>
    </xf>
    <xf numFmtId="0" fontId="45" fillId="5" borderId="14" xfId="0" applyFont="1" applyFill="1" applyBorder="1" applyAlignment="1">
      <alignment horizontal="center" vertical="center"/>
    </xf>
    <xf numFmtId="0" fontId="45" fillId="5" borderId="18" xfId="0" applyFont="1" applyFill="1" applyBorder="1" applyAlignment="1">
      <alignment horizontal="center" vertical="center"/>
    </xf>
    <xf numFmtId="0" fontId="46" fillId="5" borderId="15" xfId="0" applyFont="1" applyFill="1" applyBorder="1" applyAlignment="1">
      <alignment horizontal="center" vertical="center" wrapText="1"/>
    </xf>
    <xf numFmtId="0" fontId="46" fillId="5" borderId="2" xfId="0" applyFont="1" applyFill="1" applyBorder="1" applyAlignment="1">
      <alignment horizontal="center" vertical="center" wrapText="1"/>
    </xf>
    <xf numFmtId="0" fontId="46" fillId="5" borderId="16" xfId="0" applyFont="1" applyFill="1" applyBorder="1" applyAlignment="1">
      <alignment horizontal="center" vertical="center" wrapText="1"/>
    </xf>
    <xf numFmtId="0" fontId="47" fillId="5" borderId="3" xfId="0" applyFont="1" applyFill="1" applyBorder="1" applyAlignment="1">
      <alignment horizontal="center" vertical="center" wrapText="1"/>
    </xf>
    <xf numFmtId="0" fontId="47" fillId="5" borderId="5" xfId="0" applyFont="1" applyFill="1" applyBorder="1" applyAlignment="1">
      <alignment horizontal="center" vertical="center" wrapText="1"/>
    </xf>
    <xf numFmtId="0" fontId="46" fillId="5" borderId="3" xfId="0" applyFont="1" applyFill="1" applyBorder="1" applyAlignment="1">
      <alignment horizontal="center" vertical="center" wrapText="1"/>
    </xf>
    <xf numFmtId="0" fontId="46" fillId="5" borderId="5" xfId="0" applyFont="1" applyFill="1" applyBorder="1" applyAlignment="1">
      <alignment horizontal="center" vertical="center" wrapText="1"/>
    </xf>
    <xf numFmtId="0" fontId="47" fillId="5" borderId="16" xfId="0" applyFont="1" applyFill="1" applyBorder="1" applyAlignment="1">
      <alignment horizontal="center" vertical="center" wrapText="1"/>
    </xf>
    <xf numFmtId="0" fontId="47" fillId="5" borderId="17" xfId="0" applyFont="1" applyFill="1" applyBorder="1" applyAlignment="1">
      <alignment horizontal="center" vertical="center" wrapText="1"/>
    </xf>
    <xf numFmtId="0" fontId="46" fillId="5" borderId="1" xfId="0" applyFont="1" applyFill="1" applyBorder="1" applyAlignment="1">
      <alignment horizontal="center" vertical="center" wrapText="1"/>
    </xf>
    <xf numFmtId="0" fontId="46" fillId="5" borderId="19" xfId="0" applyFont="1" applyFill="1" applyBorder="1" applyAlignment="1">
      <alignment horizontal="center" vertical="center" wrapText="1"/>
    </xf>
    <xf numFmtId="0" fontId="47" fillId="5" borderId="20" xfId="0" applyFont="1" applyFill="1" applyBorder="1" applyAlignment="1">
      <alignment horizontal="center" vertical="center" wrapText="1"/>
    </xf>
    <xf numFmtId="0" fontId="21" fillId="0" borderId="0" xfId="0" applyFont="1" applyAlignment="1">
      <alignment horizontal="left" vertical="center" wrapText="1"/>
    </xf>
  </cellXfs>
  <cellStyles count="9">
    <cellStyle name="Millares" xfId="1" builtinId="3"/>
    <cellStyle name="Millares 10" xfId="3" xr:uid="{00000000-0005-0000-0000-000001000000}"/>
    <cellStyle name="Millares 10 4" xfId="7" xr:uid="{112F3212-EF53-4148-95C0-8AB2936C2653}"/>
    <cellStyle name="Millares 2 2" xfId="6" xr:uid="{46A21805-C283-4A44-9660-F866E24535C5}"/>
    <cellStyle name="Millares 8" xfId="5" xr:uid="{00000000-0005-0000-0000-000002000000}"/>
    <cellStyle name="Moneda" xfId="8" builtinId="4"/>
    <cellStyle name="Normal" xfId="0" builtinId="0"/>
    <cellStyle name="Normal 3" xfId="4" xr:uid="{00000000-0005-0000-0000-000004000000}"/>
    <cellStyle name="Porcentaje" xfId="2" builtinId="5"/>
  </cellStyles>
  <dxfs count="0"/>
  <tableStyles count="0" defaultTableStyle="TableStyleMedium2" defaultPivotStyle="PivotStyleLight16"/>
  <colors>
    <mruColors>
      <color rgb="FF000F9F"/>
      <color rgb="FFC8A977"/>
      <color rgb="FF3CB4E5"/>
      <color rgb="FFFFFFFF"/>
      <color rgb="FFBC2400"/>
      <color rgb="FF000099"/>
      <color rgb="FF0B1C3A"/>
      <color rgb="FF375818"/>
      <color rgb="FF031434"/>
      <color rgb="FF910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3CB4E5"/>
            </a:soli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dLbl>
              <c:idx val="0"/>
              <c:tx>
                <c:rich>
                  <a:bodyPr/>
                  <a:lstStyle/>
                  <a:p>
                    <a:fld id="{0E0C365C-60BF-4A3E-BE8A-EF217DD0B603}"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351C-4B65-8868-D98EA4DEDC88}"/>
                </c:ext>
              </c:extLst>
            </c:dLbl>
            <c:dLbl>
              <c:idx val="1"/>
              <c:tx>
                <c:rich>
                  <a:bodyPr/>
                  <a:lstStyle/>
                  <a:p>
                    <a:fld id="{49C24DC9-8EC3-4CC1-9092-E865B918547E}"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51C-4B65-8868-D98EA4DEDC88}"/>
                </c:ext>
              </c:extLst>
            </c:dLbl>
            <c:dLbl>
              <c:idx val="2"/>
              <c:tx>
                <c:rich>
                  <a:bodyPr/>
                  <a:lstStyle/>
                  <a:p>
                    <a:fld id="{6742FC2C-5A17-44EC-876F-85E5AC044F50}"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51C-4B65-8868-D98EA4DEDC88}"/>
                </c:ext>
              </c:extLst>
            </c:dLbl>
            <c:dLbl>
              <c:idx val="3"/>
              <c:tx>
                <c:rich>
                  <a:bodyPr/>
                  <a:lstStyle/>
                  <a:p>
                    <a:fld id="{1890CBD7-F30B-4B47-94D8-96147EEC5DCA}"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51C-4B65-8868-D98EA4DEDC88}"/>
                </c:ext>
              </c:extLst>
            </c:dLbl>
            <c:dLbl>
              <c:idx val="4"/>
              <c:tx>
                <c:rich>
                  <a:bodyPr/>
                  <a:lstStyle/>
                  <a:p>
                    <a:fld id="{89297075-8EBB-466A-83FD-D57DA65B6172}"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51C-4B65-8868-D98EA4DEDC88}"/>
                </c:ext>
              </c:extLst>
            </c:dLbl>
            <c:dLbl>
              <c:idx val="5"/>
              <c:tx>
                <c:rich>
                  <a:bodyPr/>
                  <a:lstStyle/>
                  <a:p>
                    <a:fld id="{3F26085F-094E-4627-8A28-119448626CC0}"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351C-4B65-8868-D98EA4DEDC88}"/>
                </c:ext>
              </c:extLst>
            </c:dLbl>
            <c:dLbl>
              <c:idx val="6"/>
              <c:tx>
                <c:rich>
                  <a:bodyPr/>
                  <a:lstStyle/>
                  <a:p>
                    <a:fld id="{91799B6C-EFB6-4965-8637-E7A692A18A7F}"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351C-4B65-8868-D98EA4DEDC8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3CB4E5"/>
                    </a:solidFill>
                    <a:latin typeface="Arial Narrow" panose="020B0606020202030204" pitchFamily="34" charset="0"/>
                    <a:ea typeface="+mn-ea"/>
                    <a:cs typeface="+mn-cs"/>
                  </a:defRPr>
                </a:pPr>
                <a:endParaRPr lang="es-AR"/>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'Base Graf'!$A$7:$A$14</c15:sqref>
                  </c15:fullRef>
                </c:ext>
              </c:extLst>
              <c:f>'Base Graf'!$A$8:$A$14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Graf'!$B$7:$B$14</c15:sqref>
                  </c15:fullRef>
                </c:ext>
              </c:extLst>
              <c:f>'Base Graf'!$B$8:$B$14</c:f>
              <c:numCache>
                <c:formatCode>#,##0.0</c:formatCode>
                <c:ptCount val="7"/>
                <c:pt idx="0">
                  <c:v>51781.507506252805</c:v>
                </c:pt>
                <c:pt idx="1">
                  <c:v>50305.22820138411</c:v>
                </c:pt>
                <c:pt idx="2">
                  <c:v>20987.031982115805</c:v>
                </c:pt>
                <c:pt idx="3">
                  <c:v>9837.7974685177815</c:v>
                </c:pt>
                <c:pt idx="4">
                  <c:v>1112.8817752573786</c:v>
                </c:pt>
                <c:pt idx="5">
                  <c:v>1070.5287756615126</c:v>
                </c:pt>
                <c:pt idx="6">
                  <c:v>799.0394615071956</c:v>
                </c:pt>
              </c:numCache>
            </c:numRef>
          </c:val>
          <c:extLst>
            <c:ext xmlns:c15="http://schemas.microsoft.com/office/drawing/2012/chart" uri="{02D57815-91ED-43cb-92C2-25804820EDAC}">
              <c15:datalabelsRange>
                <c15:f>'Base Graf'!$BJ$58:$BJ$65</c15:f>
                <c15:dlblRangeCache>
                  <c:ptCount val="8"/>
                  <c:pt idx="0">
                    <c:v>57.379,1</c:v>
                  </c:pt>
                  <c:pt idx="1">
                    <c:v>51.781,5</c:v>
                  </c:pt>
                  <c:pt idx="2">
                    <c:v>50.305,2</c:v>
                  </c:pt>
                  <c:pt idx="3">
                    <c:v>20.987,0</c:v>
                  </c:pt>
                  <c:pt idx="4">
                    <c:v>9.837,8</c:v>
                  </c:pt>
                  <c:pt idx="5">
                    <c:v>1.112,9</c:v>
                  </c:pt>
                  <c:pt idx="6">
                    <c:v>1.070,5</c:v>
                  </c:pt>
                  <c:pt idx="7">
                    <c:v>799,0</c:v>
                  </c:pt>
                </c15:dlblRangeCache>
              </c15:datalabelsRange>
            </c:ext>
            <c:ext xmlns:c16="http://schemas.microsoft.com/office/drawing/2014/chart" uri="{C3380CC4-5D6E-409C-BE32-E72D297353CC}">
              <c16:uniqueId val="{00000000-878D-47D6-B4CE-04C99EEB5BB2}"/>
            </c:ext>
          </c:extLst>
        </c:ser>
        <c:dLbls>
          <c:showLegendKey val="0"/>
          <c:showVal val="0"/>
          <c:showCatName val="0"/>
          <c:showSerName val="0"/>
          <c:showPercent val="0"/>
          <c:showBubbleSize val="0"/>
        </c:dLbls>
        <c:gapWidth val="100"/>
        <c:overlap val="-24"/>
        <c:axId val="-303978256"/>
        <c:axId val="-303972272"/>
      </c:barChart>
      <c:catAx>
        <c:axId val="-30397825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303972272"/>
        <c:crosses val="autoZero"/>
        <c:auto val="1"/>
        <c:lblAlgn val="ctr"/>
        <c:lblOffset val="100"/>
        <c:noMultiLvlLbl val="0"/>
      </c:catAx>
      <c:valAx>
        <c:axId val="-303972272"/>
        <c:scaling>
          <c:orientation val="minMax"/>
        </c:scaling>
        <c:delete val="1"/>
        <c:axPos val="l"/>
        <c:numFmt formatCode="#,##0.0" sourceLinked="1"/>
        <c:majorTickMark val="none"/>
        <c:minorTickMark val="none"/>
        <c:tickLblPos val="nextTo"/>
        <c:crossAx val="-30397825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000F9F"/>
            </a:solidFill>
            <a:ln w="9525" cap="flat" cmpd="sng" algn="ctr">
              <a:solidFill>
                <a:srgbClr val="000F9F"/>
              </a:solidFill>
              <a:round/>
            </a:ln>
            <a:effectLst>
              <a:outerShdw blurRad="50800" dist="38100" dir="2700000" algn="tl" rotWithShape="0">
                <a:prstClr val="black">
                  <a:alpha val="40000"/>
                </a:prstClr>
              </a:outerShdw>
            </a:effectLst>
          </c:spPr>
          <c:invertIfNegative val="0"/>
          <c:dLbls>
            <c:dLbl>
              <c:idx val="0"/>
              <c:tx>
                <c:rich>
                  <a:bodyPr/>
                  <a:lstStyle/>
                  <a:p>
                    <a:fld id="{D7CE0DBC-4B36-4897-89E6-D9DA93AF4461}"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0C0B-4228-9EEA-87911CF39C82}"/>
                </c:ext>
              </c:extLst>
            </c:dLbl>
            <c:dLbl>
              <c:idx val="1"/>
              <c:tx>
                <c:rich>
                  <a:bodyPr/>
                  <a:lstStyle/>
                  <a:p>
                    <a:fld id="{8F76E90D-D2DD-41BD-81D3-ED46B44702AA}"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0C0B-4228-9EEA-87911CF39C82}"/>
                </c:ext>
              </c:extLst>
            </c:dLbl>
            <c:dLbl>
              <c:idx val="2"/>
              <c:tx>
                <c:rich>
                  <a:bodyPr/>
                  <a:lstStyle/>
                  <a:p>
                    <a:fld id="{7499C0BE-11FA-4CEC-A549-06AB90BC65A0}"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0C0B-4228-9EEA-87911CF39C82}"/>
                </c:ext>
              </c:extLst>
            </c:dLbl>
            <c:dLbl>
              <c:idx val="3"/>
              <c:tx>
                <c:rich>
                  <a:bodyPr/>
                  <a:lstStyle/>
                  <a:p>
                    <a:fld id="{163A4BCA-7239-4989-881C-666218576137}"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0C0B-4228-9EEA-87911CF39C82}"/>
                </c:ext>
              </c:extLst>
            </c:dLbl>
            <c:dLbl>
              <c:idx val="4"/>
              <c:tx>
                <c:rich>
                  <a:bodyPr/>
                  <a:lstStyle/>
                  <a:p>
                    <a:fld id="{077D1BF3-9FD2-4C74-99CC-A8886CB82D0E}"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C0B-4228-9EEA-87911CF39C82}"/>
                </c:ext>
              </c:extLst>
            </c:dLbl>
            <c:dLbl>
              <c:idx val="5"/>
              <c:tx>
                <c:rich>
                  <a:bodyPr/>
                  <a:lstStyle/>
                  <a:p>
                    <a:fld id="{9259C228-1CC3-4AC0-AF23-F43943130E48}"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0C0B-4228-9EEA-87911CF39C82}"/>
                </c:ext>
              </c:extLst>
            </c:dLbl>
            <c:dLbl>
              <c:idx val="6"/>
              <c:tx>
                <c:rich>
                  <a:bodyPr/>
                  <a:lstStyle/>
                  <a:p>
                    <a:fld id="{57FFE164-7140-4893-A646-7B1DEE6D652E}"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C0B-4228-9EEA-87911CF39C82}"/>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000F9F"/>
                    </a:solidFill>
                    <a:latin typeface="Arial Narrow" panose="020B0606020202030204" pitchFamily="34" charset="0"/>
                    <a:ea typeface="+mn-ea"/>
                    <a:cs typeface="+mn-cs"/>
                  </a:defRPr>
                </a:pPr>
                <a:endParaRPr lang="es-AR"/>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'Base Graf'!$A$7:$A$14</c15:sqref>
                  </c15:fullRef>
                </c:ext>
              </c:extLst>
              <c:f>'Base Graf'!$A$8:$A$14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Graf'!$C$7:$C$14</c15:sqref>
                  </c15:fullRef>
                </c:ext>
              </c:extLst>
              <c:f>'Base Graf'!$C$8:$C$14</c:f>
              <c:numCache>
                <c:formatCode>#,##0.0</c:formatCode>
                <c:ptCount val="7"/>
                <c:pt idx="0">
                  <c:v>131.63255926391793</c:v>
                </c:pt>
                <c:pt idx="1">
                  <c:v>127.52941473698539</c:v>
                </c:pt>
                <c:pt idx="2">
                  <c:v>115.99110210438297</c:v>
                </c:pt>
                <c:pt idx="3">
                  <c:v>110.13940346877978</c:v>
                </c:pt>
                <c:pt idx="4">
                  <c:v>104.63168077568065</c:v>
                </c:pt>
                <c:pt idx="5">
                  <c:v>59.042744500707443</c:v>
                </c:pt>
                <c:pt idx="6">
                  <c:v>15.129280745426094</c:v>
                </c:pt>
              </c:numCache>
            </c:numRef>
          </c:val>
          <c:extLst>
            <c:ext xmlns:c15="http://schemas.microsoft.com/office/drawing/2012/chart" uri="{02D57815-91ED-43cb-92C2-25804820EDAC}">
              <c15:datalabelsRange>
                <c15:f>'Base Graf'!$BK$58:$BK$65</c15:f>
                <c15:dlblRangeCache>
                  <c:ptCount val="8"/>
                  <c:pt idx="0">
                    <c:v>130,1</c:v>
                  </c:pt>
                  <c:pt idx="1">
                    <c:v>131,6</c:v>
                  </c:pt>
                  <c:pt idx="2">
                    <c:v>127,5</c:v>
                  </c:pt>
                  <c:pt idx="3">
                    <c:v>116,0</c:v>
                  </c:pt>
                  <c:pt idx="4">
                    <c:v>110,1</c:v>
                  </c:pt>
                  <c:pt idx="5">
                    <c:v>104,6</c:v>
                  </c:pt>
                  <c:pt idx="6">
                    <c:v>59,0</c:v>
                  </c:pt>
                  <c:pt idx="7">
                    <c:v>15,1</c:v>
                  </c:pt>
                </c15:dlblRangeCache>
              </c15:datalabelsRange>
            </c:ext>
            <c:ext xmlns:c16="http://schemas.microsoft.com/office/drawing/2014/chart" uri="{C3380CC4-5D6E-409C-BE32-E72D297353CC}">
              <c16:uniqueId val="{00000000-BF89-4AD5-9BE4-C86A2A9F84E7}"/>
            </c:ext>
          </c:extLst>
        </c:ser>
        <c:dLbls>
          <c:showLegendKey val="0"/>
          <c:showVal val="0"/>
          <c:showCatName val="0"/>
          <c:showSerName val="0"/>
          <c:showPercent val="0"/>
          <c:showBubbleSize val="0"/>
        </c:dLbls>
        <c:gapWidth val="100"/>
        <c:overlap val="-24"/>
        <c:axId val="-303975536"/>
        <c:axId val="-303977712"/>
      </c:barChart>
      <c:catAx>
        <c:axId val="-3039755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303977712"/>
        <c:crosses val="autoZero"/>
        <c:auto val="1"/>
        <c:lblAlgn val="ctr"/>
        <c:lblOffset val="100"/>
        <c:noMultiLvlLbl val="0"/>
      </c:catAx>
      <c:valAx>
        <c:axId val="-303977712"/>
        <c:scaling>
          <c:orientation val="minMax"/>
        </c:scaling>
        <c:delete val="1"/>
        <c:axPos val="l"/>
        <c:numFmt formatCode="#,##0.0" sourceLinked="1"/>
        <c:majorTickMark val="none"/>
        <c:minorTickMark val="none"/>
        <c:tickLblPos val="nextTo"/>
        <c:crossAx val="-30397553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900501073729421E-2"/>
          <c:y val="8.0706934562532626E-2"/>
          <c:w val="0.93809951881014875"/>
          <c:h val="0.71862560839815826"/>
        </c:manualLayout>
      </c:layout>
      <c:barChart>
        <c:barDir val="col"/>
        <c:grouping val="stacked"/>
        <c:varyColors val="0"/>
        <c:ser>
          <c:idx val="0"/>
          <c:order val="0"/>
          <c:tx>
            <c:v>Capital</c:v>
          </c:tx>
          <c:spPr>
            <a:solidFill>
              <a:srgbClr val="000F9F"/>
            </a:solidFill>
            <a:ln>
              <a:noFill/>
            </a:ln>
            <a:effectLst>
              <a:outerShdw blurRad="50800" dist="38100" dir="2700000" algn="tl" rotWithShape="0">
                <a:prstClr val="black">
                  <a:alpha val="40000"/>
                </a:prstClr>
              </a:outerShdw>
            </a:effectLst>
          </c:spPr>
          <c:invertIfNegative val="0"/>
          <c:dLbls>
            <c:dLbl>
              <c:idx val="0"/>
              <c:tx>
                <c:rich>
                  <a:bodyPr/>
                  <a:lstStyle/>
                  <a:p>
                    <a:fld id="{5CC7B3B5-1CDC-41F9-9CBA-12CA7E88CBF2}" type="CELLRANGE">
                      <a:rPr lang="es-AR"/>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5005-4C07-9E4C-E647D2CBD2CC}"/>
                </c:ext>
              </c:extLst>
            </c:dLbl>
            <c:dLbl>
              <c:idx val="1"/>
              <c:tx>
                <c:rich>
                  <a:bodyPr/>
                  <a:lstStyle/>
                  <a:p>
                    <a:fld id="{87EB078F-65CC-4959-BFA7-2D03590CD774}" type="CELLRANGE">
                      <a:rPr lang="es-AR"/>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005-4C07-9E4C-E647D2CBD2CC}"/>
                </c:ext>
              </c:extLst>
            </c:dLbl>
            <c:dLbl>
              <c:idx val="2"/>
              <c:tx>
                <c:rich>
                  <a:bodyPr/>
                  <a:lstStyle/>
                  <a:p>
                    <a:fld id="{2F7594D6-0F85-4CA2-9818-5528C93ED9D8}" type="CELLRANGE">
                      <a:rPr lang="es-AR"/>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005-4C07-9E4C-E647D2CBD2CC}"/>
                </c:ext>
              </c:extLst>
            </c:dLbl>
            <c:dLbl>
              <c:idx val="3"/>
              <c:layout>
                <c:manualLayout>
                  <c:x val="-2.2833513124775259E-3"/>
                  <c:y val="-1.7845372344378753E-2"/>
                </c:manualLayout>
              </c:layout>
              <c:tx>
                <c:rich>
                  <a:bodyPr/>
                  <a:lstStyle/>
                  <a:p>
                    <a:fld id="{EA13F5D9-811D-47CA-AA2B-19ACCCFE3B0B}" type="CELLRANGE">
                      <a:rPr lang="en-US" sz="1050" b="1">
                        <a:solidFill>
                          <a:schemeClr val="bg1"/>
                        </a:solidFill>
                      </a:rPr>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5005-4C07-9E4C-E647D2CBD2CC}"/>
                </c:ext>
              </c:extLst>
            </c:dLbl>
            <c:dLbl>
              <c:idx val="4"/>
              <c:layout>
                <c:manualLayout>
                  <c:x val="4.5667026249549686E-3"/>
                  <c:y val="-5.0942639390292817E-2"/>
                </c:manualLayout>
              </c:layout>
              <c:tx>
                <c:rich>
                  <a:bodyPr rot="0" spcFirstLastPara="1" vertOverflow="ellipsis" vert="horz" wrap="square" lIns="38100" tIns="19050" rIns="38100" bIns="19050" anchor="ctr" anchorCtr="1">
                    <a:spAutoFit/>
                  </a:bodyPr>
                  <a:lstStyle/>
                  <a:p>
                    <a:pPr>
                      <a:defRPr sz="1050" b="1" i="0" u="none" strike="noStrike" kern="1200" baseline="0">
                        <a:solidFill>
                          <a:srgbClr val="000099"/>
                        </a:solidFill>
                        <a:latin typeface="+mn-lt"/>
                        <a:ea typeface="+mn-ea"/>
                        <a:cs typeface="+mn-cs"/>
                      </a:defRPr>
                    </a:pPr>
                    <a:fld id="{242FBD39-E7C2-4602-A987-27CA553B93C4}" type="CELLRANGE">
                      <a:rPr lang="en-US"/>
                      <a:pPr>
                        <a:defRPr sz="1050" b="1">
                          <a:solidFill>
                            <a:srgbClr val="000099"/>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000099"/>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5005-4C07-9E4C-E647D2CBD2CC}"/>
                </c:ext>
              </c:extLst>
            </c:dLbl>
            <c:dLbl>
              <c:idx val="5"/>
              <c:layout>
                <c:manualLayout>
                  <c:x val="-2.2833513124776933E-3"/>
                  <c:y val="-5.0942639390292817E-2"/>
                </c:manualLayout>
              </c:layout>
              <c:tx>
                <c:rich>
                  <a:bodyPr rot="0" spcFirstLastPara="1" vertOverflow="ellipsis" vert="horz" wrap="square" lIns="38100" tIns="19050" rIns="38100" bIns="19050" anchor="ctr" anchorCtr="1">
                    <a:spAutoFit/>
                  </a:bodyPr>
                  <a:lstStyle/>
                  <a:p>
                    <a:pPr>
                      <a:defRPr sz="1050" b="1" i="0" u="none" strike="noStrike" kern="1200" baseline="0">
                        <a:solidFill>
                          <a:srgbClr val="000099"/>
                        </a:solidFill>
                        <a:latin typeface="+mn-lt"/>
                        <a:ea typeface="+mn-ea"/>
                        <a:cs typeface="+mn-cs"/>
                      </a:defRPr>
                    </a:pPr>
                    <a:fld id="{AC247BA3-3270-49D4-9071-3D28EB8EDDDF}" type="CELLRANGE">
                      <a:rPr lang="en-US"/>
                      <a:pPr>
                        <a:defRPr sz="1050" b="1">
                          <a:solidFill>
                            <a:srgbClr val="000099"/>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000099"/>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5005-4C07-9E4C-E647D2CBD2CC}"/>
                </c:ext>
              </c:extLst>
            </c:dLbl>
            <c:dLbl>
              <c:idx val="6"/>
              <c:layout>
                <c:manualLayout>
                  <c:x val="4.5667026249550519E-3"/>
                  <c:y val="-5.5187859339484044E-2"/>
                </c:manualLayout>
              </c:layout>
              <c:tx>
                <c:rich>
                  <a:bodyPr rot="0" spcFirstLastPara="1" vertOverflow="ellipsis" vert="horz" wrap="square" lIns="38100" tIns="19050" rIns="38100" bIns="19050" anchor="ctr" anchorCtr="1">
                    <a:spAutoFit/>
                  </a:bodyPr>
                  <a:lstStyle/>
                  <a:p>
                    <a:pPr>
                      <a:defRPr sz="1050" b="1" i="0" u="none" strike="noStrike" kern="1200" baseline="0">
                        <a:solidFill>
                          <a:srgbClr val="000099"/>
                        </a:solidFill>
                        <a:latin typeface="+mn-lt"/>
                        <a:ea typeface="+mn-ea"/>
                        <a:cs typeface="+mn-cs"/>
                      </a:defRPr>
                    </a:pPr>
                    <a:fld id="{267973C8-DA14-4592-8A9D-9D36EBE85AA8}" type="CELLRANGE">
                      <a:rPr lang="en-US"/>
                      <a:pPr>
                        <a:defRPr sz="1050" b="1">
                          <a:solidFill>
                            <a:srgbClr val="000099"/>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000099"/>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5005-4C07-9E4C-E647D2CBD2CC}"/>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A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extLst>
                <c:ext xmlns:c15="http://schemas.microsoft.com/office/drawing/2012/chart" uri="{02D57815-91ED-43cb-92C2-25804820EDAC}">
                  <c15:fullRef>
                    <c15:sqref>'Base Graf'!$G$7:$G$14</c15:sqref>
                  </c15:fullRef>
                </c:ext>
              </c:extLst>
              <c:f>'Base Graf'!$G$8:$G$14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Graf'!$H$7:$H$14</c15:sqref>
                  </c15:fullRef>
                </c:ext>
              </c:extLst>
              <c:f>'Base Graf'!$H$8:$H$14</c:f>
              <c:numCache>
                <c:formatCode>#,##0.0</c:formatCode>
                <c:ptCount val="7"/>
                <c:pt idx="0">
                  <c:v>33604.146982385617</c:v>
                </c:pt>
                <c:pt idx="1">
                  <c:v>44751.870338870984</c:v>
                </c:pt>
                <c:pt idx="2">
                  <c:v>18973.988290597768</c:v>
                </c:pt>
                <c:pt idx="3">
                  <c:v>9567.6365485481547</c:v>
                </c:pt>
                <c:pt idx="4">
                  <c:v>920.3546605281548</c:v>
                </c:pt>
                <c:pt idx="5">
                  <c:v>920.3546605281548</c:v>
                </c:pt>
                <c:pt idx="6">
                  <c:v>710.37456108889512</c:v>
                </c:pt>
              </c:numCache>
            </c:numRef>
          </c:val>
          <c:extLst>
            <c:ext xmlns:c15="http://schemas.microsoft.com/office/drawing/2012/chart" uri="{02D57815-91ED-43cb-92C2-25804820EDAC}">
              <c15:datalabelsRange>
                <c15:f>'Base Graf'!$BI$95:$BI$102</c15:f>
                <c15:dlblRangeCache>
                  <c:ptCount val="8"/>
                  <c:pt idx="0">
                    <c:v>49,8%</c:v>
                  </c:pt>
                  <c:pt idx="1">
                    <c:v>64,9%</c:v>
                  </c:pt>
                  <c:pt idx="2">
                    <c:v>89,0%</c:v>
                  </c:pt>
                  <c:pt idx="3">
                    <c:v>85,9%</c:v>
                  </c:pt>
                  <c:pt idx="4">
                    <c:v>97,3%</c:v>
                  </c:pt>
                  <c:pt idx="5">
                    <c:v>82,7%</c:v>
                  </c:pt>
                  <c:pt idx="6">
                    <c:v>86,0%</c:v>
                  </c:pt>
                  <c:pt idx="7">
                    <c:v>88,9%</c:v>
                  </c:pt>
                </c15:dlblRangeCache>
              </c15:datalabelsRange>
            </c:ext>
            <c:ext xmlns:c16="http://schemas.microsoft.com/office/drawing/2014/chart" uri="{C3380CC4-5D6E-409C-BE32-E72D297353CC}">
              <c16:uniqueId val="{00000000-EC2A-4692-91BA-595E276D28C4}"/>
            </c:ext>
          </c:extLst>
        </c:ser>
        <c:ser>
          <c:idx val="1"/>
          <c:order val="1"/>
          <c:tx>
            <c:v>Interés</c:v>
          </c:tx>
          <c:spPr>
            <a:solidFill>
              <a:srgbClr val="3CB4E5"/>
            </a:solidFill>
            <a:ln>
              <a:noFill/>
            </a:ln>
            <a:effectLst>
              <a:outerShdw blurRad="50800" dist="38100" dir="2700000" algn="tl" rotWithShape="0">
                <a:prstClr val="black">
                  <a:alpha val="40000"/>
                </a:prstClr>
              </a:outerShdw>
            </a:effectLst>
          </c:spPr>
          <c:invertIfNegative val="0"/>
          <c:dLbls>
            <c:dLbl>
              <c:idx val="0"/>
              <c:tx>
                <c:rich>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fld id="{97BD398D-1F55-4805-9906-96FBB92F38B6}" type="CELLRANGE">
                      <a:rPr lang="es-AR"/>
                      <a:pPr>
                        <a:defRPr sz="1100" b="1">
                          <a:solidFill>
                            <a:schemeClr val="bg1"/>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005-4C07-9E4C-E647D2CBD2CC}"/>
                </c:ext>
              </c:extLst>
            </c:dLbl>
            <c:dLbl>
              <c:idx val="1"/>
              <c:tx>
                <c:rich>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fld id="{351192F7-10CC-411A-AB3F-E1990DF19666}" type="CELLRANGE">
                      <a:rPr lang="es-AR"/>
                      <a:pPr>
                        <a:defRPr sz="1100" b="1">
                          <a:solidFill>
                            <a:schemeClr val="bg1"/>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5005-4C07-9E4C-E647D2CBD2CC}"/>
                </c:ext>
              </c:extLst>
            </c:dLbl>
            <c:dLbl>
              <c:idx val="2"/>
              <c:layout>
                <c:manualLayout>
                  <c:x val="-8.3721914294811089E-17"/>
                  <c:y val="-5.5187859339483891E-2"/>
                </c:manualLayout>
              </c:layout>
              <c:tx>
                <c:rich>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fld id="{E7FDF2B5-1509-4715-9381-590617DBB7B5}" type="CELLRANGE">
                      <a:rPr lang="en-US"/>
                      <a:pPr>
                        <a:defRPr sz="1100" b="1">
                          <a:solidFill>
                            <a:srgbClr val="3CB4E5"/>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5005-4C07-9E4C-E647D2CBD2CC}"/>
                </c:ext>
              </c:extLst>
            </c:dLbl>
            <c:dLbl>
              <c:idx val="3"/>
              <c:layout>
                <c:manualLayout>
                  <c:x val="-4.5667026249550519E-3"/>
                  <c:y val="-6.4666350993607527E-2"/>
                </c:manualLayout>
              </c:layout>
              <c:tx>
                <c:rich>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fld id="{98ED863B-221D-4FCA-AC67-E34EFF090FEB}" type="CELLRANGE">
                      <a:rPr lang="en-US"/>
                      <a:pPr>
                        <a:defRPr sz="1100" b="1">
                          <a:solidFill>
                            <a:srgbClr val="3CB4E5"/>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5005-4C07-9E4C-E647D2CBD2CC}"/>
                </c:ext>
              </c:extLst>
            </c:dLbl>
            <c:dLbl>
              <c:idx val="4"/>
              <c:layout>
                <c:manualLayout>
                  <c:x val="6.8500539374324945E-3"/>
                  <c:y val="-0.11462093862815885"/>
                </c:manualLayout>
              </c:layout>
              <c:tx>
                <c:rich>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fld id="{89A40E1E-59C9-4179-8B3F-FE660274BF83}" type="CELLRANGE">
                      <a:rPr lang="en-US"/>
                      <a:pPr>
                        <a:defRPr sz="1100" b="1">
                          <a:solidFill>
                            <a:srgbClr val="3CB4E5"/>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5005-4C07-9E4C-E647D2CBD2CC}"/>
                </c:ext>
              </c:extLst>
            </c:dLbl>
            <c:dLbl>
              <c:idx val="5"/>
              <c:layout>
                <c:manualLayout>
                  <c:x val="-6.8500539374325778E-3"/>
                  <c:y val="-0.11037571867896785"/>
                </c:manualLayout>
              </c:layout>
              <c:tx>
                <c:rich>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fld id="{0899A261-34A4-4875-98AA-890263DFF92A}" type="CELLRANGE">
                      <a:rPr lang="en-US"/>
                      <a:pPr>
                        <a:defRPr sz="1100" b="1">
                          <a:solidFill>
                            <a:srgbClr val="3CB4E5"/>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5005-4C07-9E4C-E647D2CBD2CC}"/>
                </c:ext>
              </c:extLst>
            </c:dLbl>
            <c:dLbl>
              <c:idx val="6"/>
              <c:layout>
                <c:manualLayout>
                  <c:x val="-1.6744382858962218E-16"/>
                  <c:y val="-0.11462093862815885"/>
                </c:manualLayout>
              </c:layout>
              <c:tx>
                <c:rich>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fld id="{B9625DAF-A795-4C51-A206-AA4E9541FDE6}" type="CELLRANGE">
                      <a:rPr lang="en-US"/>
                      <a:pPr>
                        <a:defRPr sz="1100" b="1">
                          <a:solidFill>
                            <a:srgbClr val="3CB4E5"/>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5005-4C07-9E4C-E647D2CBD2CC}"/>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s-A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extLst>
                <c:ext xmlns:c15="http://schemas.microsoft.com/office/drawing/2012/chart" uri="{02D57815-91ED-43cb-92C2-25804820EDAC}">
                  <c15:fullRef>
                    <c15:sqref>'Base Graf'!$G$7:$G$14</c15:sqref>
                  </c15:fullRef>
                </c:ext>
              </c:extLst>
              <c:f>'Base Graf'!$G$8:$G$14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Graf'!$K$7:$K$14</c15:sqref>
                  </c15:fullRef>
                </c:ext>
              </c:extLst>
              <c:f>'Base Graf'!$K$8:$K$14</c:f>
              <c:numCache>
                <c:formatCode>#,##0.0</c:formatCode>
                <c:ptCount val="7"/>
                <c:pt idx="0">
                  <c:v>18177.360523867192</c:v>
                </c:pt>
                <c:pt idx="1">
                  <c:v>5553.3578625131349</c:v>
                </c:pt>
                <c:pt idx="2">
                  <c:v>3118.9199065622133</c:v>
                </c:pt>
                <c:pt idx="3">
                  <c:v>270.16091996962672</c:v>
                </c:pt>
                <c:pt idx="4">
                  <c:v>192.52711472922385</c:v>
                </c:pt>
                <c:pt idx="5">
                  <c:v>150.17411513335782</c:v>
                </c:pt>
                <c:pt idx="6">
                  <c:v>88.664900418300391</c:v>
                </c:pt>
              </c:numCache>
            </c:numRef>
          </c:val>
          <c:extLst>
            <c:ext xmlns:c15="http://schemas.microsoft.com/office/drawing/2012/chart" uri="{02D57815-91ED-43cb-92C2-25804820EDAC}">
              <c15:datalabelsRange>
                <c15:f>'Base Graf'!$BJ$95:$BJ$102</c15:f>
                <c15:dlblRangeCache>
                  <c:ptCount val="8"/>
                  <c:pt idx="0">
                    <c:v>50,2%</c:v>
                  </c:pt>
                  <c:pt idx="1">
                    <c:v>35,1%</c:v>
                  </c:pt>
                  <c:pt idx="2">
                    <c:v>11,0%</c:v>
                  </c:pt>
                  <c:pt idx="3">
                    <c:v>14,1%</c:v>
                  </c:pt>
                  <c:pt idx="4">
                    <c:v>2,7%</c:v>
                  </c:pt>
                  <c:pt idx="5">
                    <c:v>17,3%</c:v>
                  </c:pt>
                  <c:pt idx="6">
                    <c:v>14,0%</c:v>
                  </c:pt>
                  <c:pt idx="7">
                    <c:v>11,1%</c:v>
                  </c:pt>
                </c15:dlblRangeCache>
              </c15:datalabelsRange>
            </c:ext>
            <c:ext xmlns:c15="http://schemas.microsoft.com/office/drawing/2012/chart" uri="{02D57815-91ED-43cb-92C2-25804820EDAC}">
              <c15:categoryFilterExceptions>
                <c15:categoryFilterException>
                  <c15:sqref>'Base Graf'!$K$7</c15:sqref>
                  <c15:dLbl>
                    <c:idx val="-1"/>
                    <c:delete val="1"/>
                    <c:extLst>
                      <c:ext uri="{CE6537A1-D6FC-4f65-9D91-7224C49458BB}"/>
                      <c:ext xmlns:c16="http://schemas.microsoft.com/office/drawing/2014/chart" uri="{C3380CC4-5D6E-409C-BE32-E72D297353CC}">
                        <c16:uniqueId val="{00000000-8636-474E-A9CD-92D6C64DC441}"/>
                      </c:ext>
                    </c:extLst>
                  </c15:dLbl>
                </c15:categoryFilterException>
              </c15:categoryFilterExceptions>
            </c:ext>
            <c:ext xmlns:c16="http://schemas.microsoft.com/office/drawing/2014/chart" uri="{C3380CC4-5D6E-409C-BE32-E72D297353CC}">
              <c16:uniqueId val="{00000001-EC2A-4692-91BA-595E276D28C4}"/>
            </c:ext>
          </c:extLst>
        </c:ser>
        <c:dLbls>
          <c:showLegendKey val="0"/>
          <c:showVal val="0"/>
          <c:showCatName val="0"/>
          <c:showSerName val="0"/>
          <c:showPercent val="0"/>
          <c:showBubbleSize val="0"/>
        </c:dLbls>
        <c:gapWidth val="50"/>
        <c:overlap val="100"/>
        <c:axId val="-303976080"/>
        <c:axId val="-303974448"/>
      </c:barChart>
      <c:lineChart>
        <c:grouping val="standard"/>
        <c:varyColors val="0"/>
        <c:ser>
          <c:idx val="2"/>
          <c:order val="2"/>
          <c:spPr>
            <a:ln w="28575" cap="rnd">
              <a:solidFill>
                <a:srgbClr val="FFFFFF">
                  <a:alpha val="0"/>
                </a:srgbClr>
              </a:solidFill>
              <a:round/>
            </a:ln>
            <a:effectLst/>
          </c:spPr>
          <c:marker>
            <c:symbol val="none"/>
          </c:marker>
          <c:dLbls>
            <c:dLbl>
              <c:idx val="0"/>
              <c:tx>
                <c:rich>
                  <a:bodyPr/>
                  <a:lstStyle/>
                  <a:p>
                    <a:fld id="{4D9337DD-42D6-4879-9BBB-3F743E5A18DF}"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5005-4C07-9E4C-E647D2CBD2CC}"/>
                </c:ext>
              </c:extLst>
            </c:dLbl>
            <c:dLbl>
              <c:idx val="1"/>
              <c:tx>
                <c:rich>
                  <a:bodyPr/>
                  <a:lstStyle/>
                  <a:p>
                    <a:fld id="{82323B69-7702-4FA0-80DF-79B076744633}"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5005-4C07-9E4C-E647D2CBD2CC}"/>
                </c:ext>
              </c:extLst>
            </c:dLbl>
            <c:dLbl>
              <c:idx val="2"/>
              <c:layout>
                <c:manualLayout>
                  <c:x val="-5.2876663070837909E-2"/>
                  <c:y val="-0.13793789276641263"/>
                </c:manualLayout>
              </c:layout>
              <c:tx>
                <c:rich>
                  <a:bodyPr/>
                  <a:lstStyle/>
                  <a:p>
                    <a:fld id="{BAD3252F-1305-4D5B-A4B9-11E81B559A3F}"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5005-4C07-9E4C-E647D2CBD2CC}"/>
                </c:ext>
              </c:extLst>
            </c:dLbl>
            <c:dLbl>
              <c:idx val="3"/>
              <c:layout>
                <c:manualLayout>
                  <c:x val="-5.05933117583603E-2"/>
                  <c:y val="-0.18039009225832331"/>
                </c:manualLayout>
              </c:layout>
              <c:tx>
                <c:rich>
                  <a:bodyPr/>
                  <a:lstStyle/>
                  <a:p>
                    <a:fld id="{9277C613-0BB5-4C7D-B321-335B4808AD80}"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5005-4C07-9E4C-E647D2CBD2CC}"/>
                </c:ext>
              </c:extLst>
            </c:dLbl>
            <c:dLbl>
              <c:idx val="4"/>
              <c:layout>
                <c:manualLayout>
                  <c:x val="-5.9726717008270487E-2"/>
                  <c:y val="-0.18463531220751436"/>
                </c:manualLayout>
              </c:layout>
              <c:tx>
                <c:rich>
                  <a:bodyPr/>
                  <a:lstStyle/>
                  <a:p>
                    <a:fld id="{B0378B3B-03FC-4A0E-A3CB-DCB1DAB77FEA}"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5005-4C07-9E4C-E647D2CBD2CC}"/>
                </c:ext>
              </c:extLst>
            </c:dLbl>
            <c:dLbl>
              <c:idx val="5"/>
              <c:layout>
                <c:manualLayout>
                  <c:x val="-5.1929162171880622E-2"/>
                  <c:y val="-0.18888053215670553"/>
                </c:manualLayout>
              </c:layout>
              <c:tx>
                <c:rich>
                  <a:bodyPr/>
                  <a:lstStyle/>
                  <a:p>
                    <a:fld id="{F861808A-35C4-4769-8C63-B8162DB3D3FA}"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5005-4C07-9E4C-E647D2CBD2CC}"/>
                </c:ext>
              </c:extLst>
            </c:dLbl>
            <c:dLbl>
              <c:idx val="6"/>
              <c:layout>
                <c:manualLayout>
                  <c:x val="-5.4212513484358148E-2"/>
                  <c:y val="-0.2058614119534698"/>
                </c:manualLayout>
              </c:layout>
              <c:tx>
                <c:rich>
                  <a:bodyPr/>
                  <a:lstStyle/>
                  <a:p>
                    <a:fld id="{E27D1A26-4695-453B-9C26-88B69AB82284}"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5005-4C07-9E4C-E647D2CBD2CC}"/>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solidFill>
                    <a:latin typeface="+mn-lt"/>
                    <a:ea typeface="+mn-ea"/>
                    <a:cs typeface="+mn-cs"/>
                  </a:defRPr>
                </a:pPr>
                <a:endParaRPr lang="es-A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extLst>
                <c:ext xmlns:c15="http://schemas.microsoft.com/office/drawing/2012/chart" uri="{02D57815-91ED-43cb-92C2-25804820EDAC}">
                  <c15:fullRef>
                    <c15:sqref>'Base Graf'!$G$7:$G$14</c15:sqref>
                  </c15:fullRef>
                </c:ext>
              </c:extLst>
              <c:f>'Base Graf'!$G$8:$G$14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Graf'!$B$7:$B$14</c15:sqref>
                  </c15:fullRef>
                </c:ext>
              </c:extLst>
              <c:f>'Base Graf'!$B$8:$B$14</c:f>
              <c:numCache>
                <c:formatCode>#,##0.0</c:formatCode>
                <c:ptCount val="7"/>
                <c:pt idx="0">
                  <c:v>51781.507506252805</c:v>
                </c:pt>
                <c:pt idx="1">
                  <c:v>50305.22820138411</c:v>
                </c:pt>
                <c:pt idx="2">
                  <c:v>20987.031982115805</c:v>
                </c:pt>
                <c:pt idx="3">
                  <c:v>9837.7974685177815</c:v>
                </c:pt>
                <c:pt idx="4">
                  <c:v>1112.8817752573786</c:v>
                </c:pt>
                <c:pt idx="5">
                  <c:v>1070.5287756615126</c:v>
                </c:pt>
                <c:pt idx="6">
                  <c:v>799.0394615071956</c:v>
                </c:pt>
              </c:numCache>
            </c:numRef>
          </c:val>
          <c:smooth val="0"/>
          <c:extLst>
            <c:ext xmlns:c15="http://schemas.microsoft.com/office/drawing/2012/chart" uri="{02D57815-91ED-43cb-92C2-25804820EDAC}">
              <c15:datalabelsRange>
                <c15:f>'Base Graf'!$BH$95:$BH$102</c15:f>
                <c15:dlblRangeCache>
                  <c:ptCount val="8"/>
                  <c:pt idx="0">
                    <c:v>57.379,1</c:v>
                  </c:pt>
                  <c:pt idx="1">
                    <c:v>51.781,5</c:v>
                  </c:pt>
                  <c:pt idx="2">
                    <c:v>50.305,2</c:v>
                  </c:pt>
                  <c:pt idx="3">
                    <c:v>20.987,0</c:v>
                  </c:pt>
                  <c:pt idx="4">
                    <c:v>9.837,8</c:v>
                  </c:pt>
                  <c:pt idx="5">
                    <c:v>1.112,9</c:v>
                  </c:pt>
                  <c:pt idx="6">
                    <c:v>1.070,5</c:v>
                  </c:pt>
                  <c:pt idx="7">
                    <c:v>799,0</c:v>
                  </c:pt>
                </c15:dlblRangeCache>
              </c15:datalabelsRange>
            </c:ext>
            <c:ext xmlns:c16="http://schemas.microsoft.com/office/drawing/2014/chart" uri="{C3380CC4-5D6E-409C-BE32-E72D297353CC}">
              <c16:uniqueId val="{00000010-EC2A-4692-91BA-595E276D28C4}"/>
            </c:ext>
          </c:extLst>
        </c:ser>
        <c:dLbls>
          <c:showLegendKey val="0"/>
          <c:showVal val="0"/>
          <c:showCatName val="0"/>
          <c:showSerName val="0"/>
          <c:showPercent val="0"/>
          <c:showBubbleSize val="0"/>
        </c:dLbls>
        <c:marker val="1"/>
        <c:smooth val="0"/>
        <c:axId val="-303976080"/>
        <c:axId val="-303974448"/>
      </c:lineChart>
      <c:catAx>
        <c:axId val="-30397608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303974448"/>
        <c:crosses val="autoZero"/>
        <c:auto val="1"/>
        <c:lblAlgn val="ctr"/>
        <c:lblOffset val="100"/>
        <c:noMultiLvlLbl val="0"/>
      </c:catAx>
      <c:valAx>
        <c:axId val="-303974448"/>
        <c:scaling>
          <c:orientation val="minMax"/>
        </c:scaling>
        <c:delete val="1"/>
        <c:axPos val="l"/>
        <c:numFmt formatCode="#,##0.0" sourceLinked="1"/>
        <c:majorTickMark val="none"/>
        <c:minorTickMark val="none"/>
        <c:tickLblPos val="nextTo"/>
        <c:crossAx val="-303976080"/>
        <c:crosses val="autoZero"/>
        <c:crossBetween val="between"/>
      </c:valAx>
      <c:spPr>
        <a:noFill/>
        <a:ln w="25400">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90057533261417E-2"/>
          <c:y val="6.6712516516938269E-2"/>
          <c:w val="0.93809951881014875"/>
          <c:h val="0.68753578601594878"/>
        </c:manualLayout>
      </c:layout>
      <c:barChart>
        <c:barDir val="col"/>
        <c:grouping val="stacked"/>
        <c:varyColors val="0"/>
        <c:ser>
          <c:idx val="0"/>
          <c:order val="0"/>
          <c:tx>
            <c:v>Capital</c:v>
          </c:tx>
          <c:spPr>
            <a:solidFill>
              <a:srgbClr val="000F9F"/>
            </a:solidFill>
            <a:ln>
              <a:noFill/>
            </a:ln>
            <a:effectLst>
              <a:outerShdw blurRad="50800" dist="38100" dir="2700000" algn="tl" rotWithShape="0">
                <a:prstClr val="black">
                  <a:alpha val="40000"/>
                </a:prstClr>
              </a:outerShdw>
            </a:effectLst>
          </c:spPr>
          <c:invertIfNegative val="0"/>
          <c:dLbls>
            <c:dLbl>
              <c:idx val="0"/>
              <c:tx>
                <c:rich>
                  <a:bodyPr/>
                  <a:lstStyle/>
                  <a:p>
                    <a:fld id="{168D62A5-97C0-47EF-B9E8-4AB668D47AE6}"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F140-4B30-B6B5-CD5039A72F85}"/>
                </c:ext>
              </c:extLst>
            </c:dLbl>
            <c:dLbl>
              <c:idx val="1"/>
              <c:tx>
                <c:rich>
                  <a:bodyPr/>
                  <a:lstStyle/>
                  <a:p>
                    <a:fld id="{216539FB-A1BA-46B1-A86D-B7CF8D0C15B6}"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F140-4B30-B6B5-CD5039A72F85}"/>
                </c:ext>
              </c:extLst>
            </c:dLbl>
            <c:dLbl>
              <c:idx val="2"/>
              <c:tx>
                <c:rich>
                  <a:bodyPr/>
                  <a:lstStyle/>
                  <a:p>
                    <a:fld id="{C416B503-FE30-4117-B472-7B9F3E591310}"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F140-4B30-B6B5-CD5039A72F85}"/>
                </c:ext>
              </c:extLst>
            </c:dLbl>
            <c:dLbl>
              <c:idx val="3"/>
              <c:tx>
                <c:rich>
                  <a:bodyPr/>
                  <a:lstStyle/>
                  <a:p>
                    <a:fld id="{C11E792F-A29D-4523-A1B2-5E3729F3D630}"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140-4B30-B6B5-CD5039A72F85}"/>
                </c:ext>
              </c:extLst>
            </c:dLbl>
            <c:dLbl>
              <c:idx val="4"/>
              <c:tx>
                <c:rich>
                  <a:bodyPr/>
                  <a:lstStyle/>
                  <a:p>
                    <a:fld id="{309D6B89-97D8-4019-B921-8E3B061BF320}"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140-4B30-B6B5-CD5039A72F85}"/>
                </c:ext>
              </c:extLst>
            </c:dLbl>
            <c:dLbl>
              <c:idx val="5"/>
              <c:tx>
                <c:rich>
                  <a:bodyPr/>
                  <a:lstStyle/>
                  <a:p>
                    <a:fld id="{A6EAB6C1-D386-4EE7-8975-399A789249F9}"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F140-4B30-B6B5-CD5039A72F85}"/>
                </c:ext>
              </c:extLst>
            </c:dLbl>
            <c:dLbl>
              <c:idx val="6"/>
              <c:tx>
                <c:rich>
                  <a:bodyPr/>
                  <a:lstStyle/>
                  <a:p>
                    <a:fld id="{7A13198B-D61F-471F-8BD4-1AEAD2A6A0F7}"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140-4B30-B6B5-CD5039A72F85}"/>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AR"/>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'Base Graf'!$G$7:$G$14</c15:sqref>
                  </c15:fullRef>
                </c:ext>
              </c:extLst>
              <c:f>'Base Graf'!$G$8:$G$14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Graf'!$I$7:$I$14</c15:sqref>
                  </c15:fullRef>
                </c:ext>
              </c:extLst>
              <c:f>'Base Graf'!$I$8:$I$14</c:f>
              <c:numCache>
                <c:formatCode>#,##0.0</c:formatCode>
                <c:ptCount val="7"/>
                <c:pt idx="0">
                  <c:v>96.062215402602646</c:v>
                </c:pt>
                <c:pt idx="1">
                  <c:v>97.587877704085372</c:v>
                </c:pt>
                <c:pt idx="2">
                  <c:v>93.20357223036396</c:v>
                </c:pt>
                <c:pt idx="3">
                  <c:v>93.203904310363953</c:v>
                </c:pt>
                <c:pt idx="4">
                  <c:v>93.204240360363968</c:v>
                </c:pt>
                <c:pt idx="5">
                  <c:v>53.35681118959473</c:v>
                </c:pt>
                <c:pt idx="6">
                  <c:v>12.999447359502593</c:v>
                </c:pt>
              </c:numCache>
            </c:numRef>
          </c:val>
          <c:extLst>
            <c:ext xmlns:c15="http://schemas.microsoft.com/office/drawing/2012/chart" uri="{02D57815-91ED-43cb-92C2-25804820EDAC}">
              <c15:datalabelsRange>
                <c15:f>'Base Graf'!$BP$114:$BP$121</c15:f>
                <c15:dlblRangeCache>
                  <c:ptCount val="8"/>
                  <c:pt idx="0">
                    <c:v>73,8%</c:v>
                  </c:pt>
                  <c:pt idx="1">
                    <c:v>73,0%</c:v>
                  </c:pt>
                  <c:pt idx="2">
                    <c:v>76,5%</c:v>
                  </c:pt>
                  <c:pt idx="3">
                    <c:v>80,4%</c:v>
                  </c:pt>
                  <c:pt idx="4">
                    <c:v>84,6%</c:v>
                  </c:pt>
                  <c:pt idx="5">
                    <c:v>89,1%</c:v>
                  </c:pt>
                  <c:pt idx="6">
                    <c:v>90,4%</c:v>
                  </c:pt>
                  <c:pt idx="7">
                    <c:v>85,9%</c:v>
                  </c:pt>
                </c15:dlblRangeCache>
              </c15:datalabelsRange>
            </c:ext>
            <c:ext xmlns:c16="http://schemas.microsoft.com/office/drawing/2014/chart" uri="{C3380CC4-5D6E-409C-BE32-E72D297353CC}">
              <c16:uniqueId val="{00000007-F070-4C4C-A8F3-25B5D6BC95A0}"/>
            </c:ext>
          </c:extLst>
        </c:ser>
        <c:ser>
          <c:idx val="1"/>
          <c:order val="1"/>
          <c:tx>
            <c:v>Interés</c:v>
          </c:tx>
          <c:spPr>
            <a:solidFill>
              <a:srgbClr val="3CB4E5"/>
            </a:solidFill>
            <a:ln>
              <a:noFill/>
            </a:ln>
            <a:effectLst>
              <a:outerShdw blurRad="50800" dist="38100" dir="2700000" algn="tl" rotWithShape="0">
                <a:prstClr val="black">
                  <a:alpha val="40000"/>
                </a:prstClr>
              </a:outerShdw>
            </a:effectLst>
          </c:spPr>
          <c:invertIfNegative val="0"/>
          <c:dLbls>
            <c:dLbl>
              <c:idx val="0"/>
              <c:tx>
                <c:rich>
                  <a:bodyPr/>
                  <a:lstStyle/>
                  <a:p>
                    <a:fld id="{B512F8BB-4339-4CC4-A62A-4A09CAF7BC1E}"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F140-4B30-B6B5-CD5039A72F85}"/>
                </c:ext>
              </c:extLst>
            </c:dLbl>
            <c:dLbl>
              <c:idx val="1"/>
              <c:tx>
                <c:rich>
                  <a:bodyPr/>
                  <a:lstStyle/>
                  <a:p>
                    <a:fld id="{1332CFCC-858A-45FF-95B1-CC63D1045C69}"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F140-4B30-B6B5-CD5039A72F85}"/>
                </c:ext>
              </c:extLst>
            </c:dLbl>
            <c:dLbl>
              <c:idx val="2"/>
              <c:tx>
                <c:rich>
                  <a:bodyPr/>
                  <a:lstStyle/>
                  <a:p>
                    <a:fld id="{4686F243-7378-4D82-A6F8-A2A7B7088451}"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F140-4B30-B6B5-CD5039A72F85}"/>
                </c:ext>
              </c:extLst>
            </c:dLbl>
            <c:dLbl>
              <c:idx val="3"/>
              <c:tx>
                <c:rich>
                  <a:bodyPr/>
                  <a:lstStyle/>
                  <a:p>
                    <a:fld id="{B7BAA87D-EC5C-4E8F-8F62-7068C379E3BA}"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F140-4B30-B6B5-CD5039A72F85}"/>
                </c:ext>
              </c:extLst>
            </c:dLbl>
            <c:dLbl>
              <c:idx val="4"/>
              <c:tx>
                <c:rich>
                  <a:bodyPr/>
                  <a:lstStyle/>
                  <a:p>
                    <a:fld id="{00FF9271-2742-46EA-BD2E-2898E3B17522}"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F140-4B30-B6B5-CD5039A72F85}"/>
                </c:ext>
              </c:extLst>
            </c:dLbl>
            <c:dLbl>
              <c:idx val="5"/>
              <c:layout>
                <c:manualLayout>
                  <c:x val="-1.6744382858962218E-16"/>
                  <c:y val="-5.9433079288674959E-2"/>
                </c:manualLayout>
              </c:layout>
              <c:tx>
                <c:rich>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fld id="{B2241565-A279-4F37-9750-8636932839D4}" type="CELLRANGE">
                      <a:rPr lang="en-US"/>
                      <a:pPr>
                        <a:defRPr sz="1100" b="1">
                          <a:solidFill>
                            <a:srgbClr val="3CB4E5"/>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endParaRPr lang="es-AR"/>
                </a:p>
              </c:txPr>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F140-4B30-B6B5-CD5039A72F85}"/>
                </c:ext>
              </c:extLst>
            </c:dLbl>
            <c:dLbl>
              <c:idx val="6"/>
              <c:layout>
                <c:manualLayout>
                  <c:x val="0"/>
                  <c:y val="-4.6697419441101673E-2"/>
                </c:manualLayout>
              </c:layout>
              <c:tx>
                <c:rich>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fld id="{8C629862-9949-4A3A-8929-D6F1E53D4325}" type="CELLRANGE">
                      <a:rPr lang="en-US"/>
                      <a:pPr>
                        <a:defRPr sz="1100" b="1">
                          <a:solidFill>
                            <a:srgbClr val="3CB4E5"/>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endParaRPr lang="es-AR"/>
                </a:p>
              </c:txPr>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F140-4B30-B6B5-CD5039A72F85}"/>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AR"/>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extLst>
                <c:ext xmlns:c15="http://schemas.microsoft.com/office/drawing/2012/chart" uri="{02D57815-91ED-43cb-92C2-25804820EDAC}">
                  <c15:fullRef>
                    <c15:sqref>'Base Graf'!$G$7:$G$14</c15:sqref>
                  </c15:fullRef>
                </c:ext>
              </c:extLst>
              <c:f>'Base Graf'!$G$8:$G$14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Graf'!$L$7:$L$14</c15:sqref>
                  </c15:fullRef>
                </c:ext>
              </c:extLst>
              <c:f>'Base Graf'!$L$8:$L$14</c:f>
              <c:numCache>
                <c:formatCode>#,##0.0</c:formatCode>
                <c:ptCount val="7"/>
                <c:pt idx="0">
                  <c:v>35.570343861315287</c:v>
                </c:pt>
                <c:pt idx="1">
                  <c:v>29.94153703290003</c:v>
                </c:pt>
                <c:pt idx="2">
                  <c:v>22.787529874019008</c:v>
                </c:pt>
                <c:pt idx="3">
                  <c:v>16.935499158415816</c:v>
                </c:pt>
                <c:pt idx="4">
                  <c:v>11.427440415316692</c:v>
                </c:pt>
                <c:pt idx="5">
                  <c:v>5.6859333111127057</c:v>
                </c:pt>
                <c:pt idx="6">
                  <c:v>2.1298333859235026</c:v>
                </c:pt>
              </c:numCache>
            </c:numRef>
          </c:val>
          <c:extLst>
            <c:ext xmlns:c15="http://schemas.microsoft.com/office/drawing/2012/chart" uri="{02D57815-91ED-43cb-92C2-25804820EDAC}">
              <c15:datalabelsRange>
                <c15:f>'Base Graf'!$BQ$114:$BQ$121</c15:f>
                <c15:dlblRangeCache>
                  <c:ptCount val="8"/>
                  <c:pt idx="0">
                    <c:v>26,2%</c:v>
                  </c:pt>
                  <c:pt idx="1">
                    <c:v>27,0%</c:v>
                  </c:pt>
                  <c:pt idx="2">
                    <c:v>23,5%</c:v>
                  </c:pt>
                  <c:pt idx="3">
                    <c:v>19,6%</c:v>
                  </c:pt>
                  <c:pt idx="4">
                    <c:v>15,4%</c:v>
                  </c:pt>
                  <c:pt idx="5">
                    <c:v>10,9%</c:v>
                  </c:pt>
                  <c:pt idx="6">
                    <c:v>9,6%</c:v>
                  </c:pt>
                  <c:pt idx="7">
                    <c:v>14,1%</c:v>
                  </c:pt>
                </c15:dlblRangeCache>
              </c15:datalabelsRange>
            </c:ext>
            <c:ext xmlns:c16="http://schemas.microsoft.com/office/drawing/2014/chart" uri="{C3380CC4-5D6E-409C-BE32-E72D297353CC}">
              <c16:uniqueId val="{0000000F-F070-4C4C-A8F3-25B5D6BC95A0}"/>
            </c:ext>
          </c:extLst>
        </c:ser>
        <c:dLbls>
          <c:dLblPos val="ctr"/>
          <c:showLegendKey val="0"/>
          <c:showVal val="1"/>
          <c:showCatName val="0"/>
          <c:showSerName val="0"/>
          <c:showPercent val="0"/>
          <c:showBubbleSize val="0"/>
        </c:dLbls>
        <c:gapWidth val="50"/>
        <c:overlap val="100"/>
        <c:axId val="-303972816"/>
        <c:axId val="-303973904"/>
      </c:barChart>
      <c:lineChart>
        <c:grouping val="standard"/>
        <c:varyColors val="0"/>
        <c:ser>
          <c:idx val="2"/>
          <c:order val="2"/>
          <c:spPr>
            <a:ln w="28575" cap="rnd">
              <a:solidFill>
                <a:schemeClr val="tx1">
                  <a:alpha val="0"/>
                </a:schemeClr>
              </a:solidFill>
              <a:round/>
            </a:ln>
            <a:effectLst/>
          </c:spPr>
          <c:marker>
            <c:symbol val="none"/>
          </c:marker>
          <c:dLbls>
            <c:dLbl>
              <c:idx val="0"/>
              <c:layout>
                <c:manualLayout>
                  <c:x val="-4.8087378640776696E-2"/>
                  <c:y val="-3.8642198154833496E-2"/>
                </c:manualLayout>
              </c:layout>
              <c:tx>
                <c:rich>
                  <a:bodyPr/>
                  <a:lstStyle/>
                  <a:p>
                    <a:fld id="{CF952A75-7208-4C5F-832E-2E5E5CCC5851}"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F140-4B30-B6B5-CD5039A72F85}"/>
                </c:ext>
              </c:extLst>
            </c:dLbl>
            <c:dLbl>
              <c:idx val="1"/>
              <c:layout>
                <c:manualLayout>
                  <c:x val="-4.8087378640776744E-2"/>
                  <c:y val="-4.2887418104024605E-2"/>
                </c:manualLayout>
              </c:layout>
              <c:tx>
                <c:rich>
                  <a:bodyPr/>
                  <a:lstStyle/>
                  <a:p>
                    <a:fld id="{F6C0E334-5B51-4153-8294-325621839D5C}"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F140-4B30-B6B5-CD5039A72F85}"/>
                </c:ext>
              </c:extLst>
            </c:dLbl>
            <c:dLbl>
              <c:idx val="2"/>
              <c:layout>
                <c:manualLayout>
                  <c:x val="-4.8087378640776696E-2"/>
                  <c:y val="-4.2887418104024605E-2"/>
                </c:manualLayout>
              </c:layout>
              <c:tx>
                <c:rich>
                  <a:bodyPr/>
                  <a:lstStyle/>
                  <a:p>
                    <a:fld id="{3CD4A76B-D80F-4B9D-AFC7-2CA2A96CDC7A}"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F140-4B30-B6B5-CD5039A72F85}"/>
                </c:ext>
              </c:extLst>
            </c:dLbl>
            <c:dLbl>
              <c:idx val="3"/>
              <c:tx>
                <c:rich>
                  <a:bodyPr/>
                  <a:lstStyle/>
                  <a:p>
                    <a:fld id="{036C684D-8F72-426A-8571-E7B95F5E4FA3}"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F140-4B30-B6B5-CD5039A72F85}"/>
                </c:ext>
              </c:extLst>
            </c:dLbl>
            <c:dLbl>
              <c:idx val="4"/>
              <c:tx>
                <c:rich>
                  <a:bodyPr/>
                  <a:lstStyle/>
                  <a:p>
                    <a:fld id="{1C37E3D1-1CA6-4749-BB6C-B55C8EA7DFE0}"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F140-4B30-B6B5-CD5039A72F85}"/>
                </c:ext>
              </c:extLst>
            </c:dLbl>
            <c:dLbl>
              <c:idx val="5"/>
              <c:layout>
                <c:manualLayout>
                  <c:x val="-4.6865875584322189E-2"/>
                  <c:y val="-0.11088882537867963"/>
                </c:manualLayout>
              </c:layout>
              <c:tx>
                <c:rich>
                  <a:bodyPr/>
                  <a:lstStyle/>
                  <a:p>
                    <a:fld id="{54F0417F-E768-4EA4-A2A3-1F20F167D926}"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F140-4B30-B6B5-CD5039A72F85}"/>
                </c:ext>
              </c:extLst>
            </c:dLbl>
            <c:dLbl>
              <c:idx val="6"/>
              <c:layout>
                <c:manualLayout>
                  <c:x val="-4.6865875584322189E-2"/>
                  <c:y val="-9.8075257847986166E-2"/>
                </c:manualLayout>
              </c:layout>
              <c:tx>
                <c:rich>
                  <a:bodyPr/>
                  <a:lstStyle/>
                  <a:p>
                    <a:fld id="{080CD957-F8E4-4BB5-BD0F-52B05A8BE552}"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F140-4B30-B6B5-CD5039A72F85}"/>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s-A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extLst>
                <c:ext xmlns:c15="http://schemas.microsoft.com/office/drawing/2012/chart" uri="{02D57815-91ED-43cb-92C2-25804820EDAC}">
                  <c15:fullRef>
                    <c15:sqref>'Base Graf'!$G$7:$G$14</c15:sqref>
                  </c15:fullRef>
                </c:ext>
              </c:extLst>
              <c:f>'Base Graf'!$G$8:$G$14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Graf'!$C$7:$C$14</c15:sqref>
                  </c15:fullRef>
                </c:ext>
              </c:extLst>
              <c:f>'Base Graf'!$C$8:$C$14</c:f>
              <c:numCache>
                <c:formatCode>#,##0.0</c:formatCode>
                <c:ptCount val="7"/>
                <c:pt idx="0">
                  <c:v>131.63255926391793</c:v>
                </c:pt>
                <c:pt idx="1">
                  <c:v>127.52941473698539</c:v>
                </c:pt>
                <c:pt idx="2">
                  <c:v>115.99110210438297</c:v>
                </c:pt>
                <c:pt idx="3">
                  <c:v>110.13940346877978</c:v>
                </c:pt>
                <c:pt idx="4">
                  <c:v>104.63168077568065</c:v>
                </c:pt>
                <c:pt idx="5">
                  <c:v>59.042744500707443</c:v>
                </c:pt>
                <c:pt idx="6">
                  <c:v>15.129280745426094</c:v>
                </c:pt>
              </c:numCache>
            </c:numRef>
          </c:val>
          <c:smooth val="0"/>
          <c:extLst>
            <c:ext xmlns:c15="http://schemas.microsoft.com/office/drawing/2012/chart" uri="{02D57815-91ED-43cb-92C2-25804820EDAC}">
              <c15:datalabelsRange>
                <c15:f>'Base Graf'!$BO$114:$BO$121</c15:f>
                <c15:dlblRangeCache>
                  <c:ptCount val="8"/>
                  <c:pt idx="0">
                    <c:v> 130,1 </c:v>
                  </c:pt>
                  <c:pt idx="1">
                    <c:v> 131,6 </c:v>
                  </c:pt>
                  <c:pt idx="2">
                    <c:v> 127,5 </c:v>
                  </c:pt>
                  <c:pt idx="3">
                    <c:v> 116,0 </c:v>
                  </c:pt>
                  <c:pt idx="4">
                    <c:v> 110,1 </c:v>
                  </c:pt>
                  <c:pt idx="5">
                    <c:v> 104,6 </c:v>
                  </c:pt>
                  <c:pt idx="6">
                    <c:v> 59,0 </c:v>
                  </c:pt>
                  <c:pt idx="7">
                    <c:v> 15,1 </c:v>
                  </c:pt>
                </c15:dlblRangeCache>
              </c15:datalabelsRange>
            </c:ext>
            <c:ext xmlns:c15="http://schemas.microsoft.com/office/drawing/2012/chart" uri="{02D57815-91ED-43cb-92C2-25804820EDAC}">
              <c15:categoryFilterExceptions>
                <c15:categoryFilterException>
                  <c15:sqref>'Base Graf'!$C$7</c15:sqref>
                  <c15:dLbl>
                    <c:idx val="-1"/>
                    <c:layout>
                      <c:manualLayout>
                        <c:x val="-4.808737864077671E-2"/>
                        <c:y val="-4.7132638053215672E-2"/>
                      </c:manualLayout>
                    </c:layout>
                    <c:dLblPos val="r"/>
                    <c:showLegendKey val="0"/>
                    <c:showVal val="0"/>
                    <c:showCatName val="0"/>
                    <c:showSerName val="0"/>
                    <c:showPercent val="0"/>
                    <c:showBubbleSize val="0"/>
                    <c:extLst>
                      <c:ext uri="{CE6537A1-D6FC-4f65-9D91-7224C49458BB}">
                        <c15:showDataLabelsRange val="1"/>
                      </c:ext>
                      <c:ext xmlns:c16="http://schemas.microsoft.com/office/drawing/2014/chart" uri="{C3380CC4-5D6E-409C-BE32-E72D297353CC}">
                        <c16:uniqueId val="{00000000-9C86-4875-9B66-01BA7CD4766C}"/>
                      </c:ext>
                    </c:extLst>
                  </c15:dLbl>
                </c15:categoryFilterException>
              </c15:categoryFilterExceptions>
            </c:ext>
            <c:ext xmlns:c16="http://schemas.microsoft.com/office/drawing/2014/chart" uri="{C3380CC4-5D6E-409C-BE32-E72D297353CC}">
              <c16:uniqueId val="{00000017-F070-4C4C-A8F3-25B5D6BC95A0}"/>
            </c:ext>
          </c:extLst>
        </c:ser>
        <c:dLbls>
          <c:showLegendKey val="0"/>
          <c:showVal val="0"/>
          <c:showCatName val="0"/>
          <c:showSerName val="0"/>
          <c:showPercent val="0"/>
          <c:showBubbleSize val="0"/>
        </c:dLbls>
        <c:marker val="1"/>
        <c:smooth val="0"/>
        <c:axId val="-303972816"/>
        <c:axId val="-303973904"/>
      </c:lineChart>
      <c:catAx>
        <c:axId val="-30397281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303973904"/>
        <c:crosses val="autoZero"/>
        <c:auto val="1"/>
        <c:lblAlgn val="ctr"/>
        <c:lblOffset val="100"/>
        <c:noMultiLvlLbl val="0"/>
      </c:catAx>
      <c:valAx>
        <c:axId val="-303973904"/>
        <c:scaling>
          <c:orientation val="minMax"/>
        </c:scaling>
        <c:delete val="1"/>
        <c:axPos val="l"/>
        <c:numFmt formatCode="#,##0.0" sourceLinked="1"/>
        <c:majorTickMark val="none"/>
        <c:minorTickMark val="none"/>
        <c:tickLblPos val="nextTo"/>
        <c:crossAx val="-303972816"/>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551959726717E-2"/>
          <c:y val="6.3374819121743808E-2"/>
          <c:w val="0.88282793959007555"/>
          <c:h val="0.6923258400790121"/>
        </c:manualLayout>
      </c:layout>
      <c:barChart>
        <c:barDir val="col"/>
        <c:grouping val="stacked"/>
        <c:varyColors val="0"/>
        <c:ser>
          <c:idx val="0"/>
          <c:order val="0"/>
          <c:tx>
            <c:strRef>
              <c:f>'Base Graf'!$AC$2</c:f>
              <c:strCache>
                <c:ptCount val="1"/>
                <c:pt idx="0">
                  <c:v>Gobierno Federal</c:v>
                </c:pt>
              </c:strCache>
            </c:strRef>
          </c:tx>
          <c:spPr>
            <a:solidFill>
              <a:srgbClr val="3CB4E5"/>
            </a:solidFill>
            <a:ln>
              <a:no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'Base Graf'!$AB$7:$AB$14</c15:sqref>
                  </c15:fullRef>
                </c:ext>
              </c:extLst>
              <c:f>'Base Graf'!$AB$8:$AB$14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Graf'!$AC$7:$AC$14</c15:sqref>
                  </c15:fullRef>
                </c:ext>
              </c:extLst>
              <c:f>'Base Graf'!$AC$8:$AC$14</c:f>
              <c:numCache>
                <c:formatCode>#,##0.0</c:formatCode>
                <c:ptCount val="7"/>
                <c:pt idx="0">
                  <c:v>1767.7678575370269</c:v>
                </c:pt>
                <c:pt idx="1">
                  <c:v>404.04629632614365</c:v>
                </c:pt>
                <c:pt idx="2">
                  <c:v>232.78985169344546</c:v>
                </c:pt>
                <c:pt idx="3">
                  <c:v>181.46057828959104</c:v>
                </c:pt>
                <c:pt idx="4">
                  <c:v>180.19195975922148</c:v>
                </c:pt>
                <c:pt idx="5">
                  <c:v>177.97150938738787</c:v>
                </c:pt>
                <c:pt idx="6">
                  <c:v>166.9088429836321</c:v>
                </c:pt>
              </c:numCache>
            </c:numRef>
          </c:val>
          <c:extLst>
            <c:ext xmlns:c16="http://schemas.microsoft.com/office/drawing/2014/chart" uri="{C3380CC4-5D6E-409C-BE32-E72D297353CC}">
              <c16:uniqueId val="{00000000-5505-4797-A7FA-4210E1348C1E}"/>
            </c:ext>
          </c:extLst>
        </c:ser>
        <c:ser>
          <c:idx val="1"/>
          <c:order val="1"/>
          <c:tx>
            <c:strRef>
              <c:f>'Base Graf'!$AO$2</c:f>
              <c:strCache>
                <c:ptCount val="1"/>
                <c:pt idx="0">
                  <c:v>Tenedores de Bonos</c:v>
                </c:pt>
              </c:strCache>
            </c:strRef>
          </c:tx>
          <c:spPr>
            <a:solidFill>
              <a:srgbClr val="000F9F"/>
            </a:solidFill>
            <a:ln>
              <a:no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'Base Graf'!$AB$7:$AB$14</c15:sqref>
                  </c15:fullRef>
                </c:ext>
              </c:extLst>
              <c:f>'Base Graf'!$AB$8:$AB$14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Graf'!$AO$7:$AO$14</c15:sqref>
                  </c15:fullRef>
                </c:ext>
              </c:extLst>
              <c:f>'Base Graf'!$AO$8:$AO$14</c:f>
              <c:numCache>
                <c:formatCode>#,##0.0</c:formatCode>
                <c:ptCount val="7"/>
                <c:pt idx="0">
                  <c:v>36372.493605538381</c:v>
                </c:pt>
                <c:pt idx="1">
                  <c:v>42249.283042679315</c:v>
                </c:pt>
                <c:pt idx="2">
                  <c:v>15341.384399418186</c:v>
                </c:pt>
                <c:pt idx="3">
                  <c:v>7818.0819321401714</c:v>
                </c:pt>
                <c:pt idx="4">
                  <c:v>932.68981549815715</c:v>
                </c:pt>
                <c:pt idx="5">
                  <c:v>892.55726627412469</c:v>
                </c:pt>
                <c:pt idx="6">
                  <c:v>632.1306185235635</c:v>
                </c:pt>
              </c:numCache>
            </c:numRef>
          </c:val>
          <c:extLst>
            <c:ext xmlns:c16="http://schemas.microsoft.com/office/drawing/2014/chart" uri="{C3380CC4-5D6E-409C-BE32-E72D297353CC}">
              <c16:uniqueId val="{00000001-5505-4797-A7FA-4210E1348C1E}"/>
            </c:ext>
          </c:extLst>
        </c:ser>
        <c:ser>
          <c:idx val="3"/>
          <c:order val="2"/>
          <c:tx>
            <c:strRef>
              <c:f>'Base Graf'!$AF$2</c:f>
              <c:strCache>
                <c:ptCount val="1"/>
                <c:pt idx="0">
                  <c:v>Banco de la Nación Argentina</c:v>
                </c:pt>
              </c:strCache>
            </c:strRef>
          </c:tx>
          <c:spPr>
            <a:solidFill>
              <a:srgbClr val="C8A977"/>
            </a:solidFill>
            <a:ln>
              <a:noFill/>
            </a:ln>
            <a:effectLst/>
          </c:spPr>
          <c:invertIfNegative val="0"/>
          <c:cat>
            <c:strRef>
              <c:extLst>
                <c:ext xmlns:c15="http://schemas.microsoft.com/office/drawing/2012/chart" uri="{02D57815-91ED-43cb-92C2-25804820EDAC}">
                  <c15:fullRef>
                    <c15:sqref>'Base Graf'!$AB$7:$AB$14</c15:sqref>
                  </c15:fullRef>
                </c:ext>
              </c:extLst>
              <c:f>'Base Graf'!$AB$8:$AB$14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Graf'!$AF$7:$AF$14</c15:sqref>
                  </c15:fullRef>
                </c:ext>
              </c:extLst>
              <c:f>'Base Graf'!$AF$8:$AF$14</c:f>
              <c:numCache>
                <c:formatCode>#,##0.0</c:formatCode>
                <c:ptCount val="7"/>
                <c:pt idx="0">
                  <c:v>13641.246043177394</c:v>
                </c:pt>
                <c:pt idx="1">
                  <c:v>7651.898862378649</c:v>
                </c:pt>
                <c:pt idx="2">
                  <c:v>5412.8577310041737</c:v>
                </c:pt>
                <c:pt idx="3">
                  <c:v>1838.2549580880193</c:v>
                </c:pt>
                <c:pt idx="4">
                  <c:v>0</c:v>
                </c:pt>
                <c:pt idx="5">
                  <c:v>0</c:v>
                </c:pt>
                <c:pt idx="6">
                  <c:v>0</c:v>
                </c:pt>
              </c:numCache>
            </c:numRef>
          </c:val>
          <c:extLst>
            <c:ext xmlns:c16="http://schemas.microsoft.com/office/drawing/2014/chart" uri="{C3380CC4-5D6E-409C-BE32-E72D297353CC}">
              <c16:uniqueId val="{00000004-E4F1-45B2-9D23-8998C5758ED0}"/>
            </c:ext>
          </c:extLst>
        </c:ser>
        <c:dLbls>
          <c:showLegendKey val="0"/>
          <c:showVal val="0"/>
          <c:showCatName val="0"/>
          <c:showSerName val="0"/>
          <c:showPercent val="0"/>
          <c:showBubbleSize val="0"/>
        </c:dLbls>
        <c:gapWidth val="50"/>
        <c:overlap val="100"/>
        <c:axId val="-303973360"/>
        <c:axId val="-303971728"/>
      </c:barChart>
      <c:lineChart>
        <c:grouping val="standard"/>
        <c:varyColors val="0"/>
        <c:ser>
          <c:idx val="2"/>
          <c:order val="3"/>
          <c:spPr>
            <a:ln w="28575" cap="rnd">
              <a:solidFill>
                <a:schemeClr val="bg1">
                  <a:lumMod val="85000"/>
                  <a:alpha val="0"/>
                </a:schemeClr>
              </a:solidFill>
              <a:round/>
            </a:ln>
            <a:effectLst/>
          </c:spPr>
          <c:marker>
            <c:symbol val="none"/>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s-A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'Base Graf'!$AB$7:$AB$14</c15:sqref>
                  </c15:fullRef>
                </c:ext>
              </c:extLst>
              <c:f>'Base Graf'!$AB$8:$AB$14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Graf'!$B$7:$B$14</c15:sqref>
                  </c15:fullRef>
                </c:ext>
              </c:extLst>
              <c:f>'Base Graf'!$B$8:$B$14</c:f>
              <c:numCache>
                <c:formatCode>#,##0.0</c:formatCode>
                <c:ptCount val="7"/>
                <c:pt idx="0">
                  <c:v>51781.507506252805</c:v>
                </c:pt>
                <c:pt idx="1">
                  <c:v>50305.22820138411</c:v>
                </c:pt>
                <c:pt idx="2">
                  <c:v>20987.031982115805</c:v>
                </c:pt>
                <c:pt idx="3">
                  <c:v>9837.7974685177815</c:v>
                </c:pt>
                <c:pt idx="4">
                  <c:v>1112.8817752573786</c:v>
                </c:pt>
                <c:pt idx="5">
                  <c:v>1070.5287756615126</c:v>
                </c:pt>
                <c:pt idx="6">
                  <c:v>799.0394615071956</c:v>
                </c:pt>
              </c:numCache>
            </c:numRef>
          </c:val>
          <c:smooth val="0"/>
          <c:extLst>
            <c:ext xmlns:c15="http://schemas.microsoft.com/office/drawing/2012/chart" uri="{02D57815-91ED-43cb-92C2-25804820EDAC}">
              <c15:categoryFilterExceptions>
                <c15:categoryFilterException>
                  <c15:sqref>'Base Graf'!$B$7</c15:sqref>
                  <c15:dLbl>
                    <c:idx val="-1"/>
                    <c:layout>
                      <c:manualLayout>
                        <c:x val="-6.5920352391226178E-2"/>
                        <c:y val="-3.4396978205642463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0-1053-4291-8E3D-36D0CD8BB67A}"/>
                      </c:ext>
                    </c:extLst>
                  </c15:dLbl>
                </c15:categoryFilterException>
              </c15:categoryFilterExceptions>
            </c:ext>
            <c:ext xmlns:c16="http://schemas.microsoft.com/office/drawing/2014/chart" uri="{C3380CC4-5D6E-409C-BE32-E72D297353CC}">
              <c16:uniqueId val="{00000002-5505-4797-A7FA-4210E1348C1E}"/>
            </c:ext>
          </c:extLst>
        </c:ser>
        <c:dLbls>
          <c:showLegendKey val="0"/>
          <c:showVal val="0"/>
          <c:showCatName val="0"/>
          <c:showSerName val="0"/>
          <c:showPercent val="0"/>
          <c:showBubbleSize val="0"/>
        </c:dLbls>
        <c:marker val="1"/>
        <c:smooth val="0"/>
        <c:axId val="-303973360"/>
        <c:axId val="-303971728"/>
      </c:lineChart>
      <c:catAx>
        <c:axId val="-3039733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303971728"/>
        <c:crosses val="autoZero"/>
        <c:auto val="1"/>
        <c:lblAlgn val="ctr"/>
        <c:lblOffset val="100"/>
        <c:noMultiLvlLbl val="0"/>
      </c:catAx>
      <c:valAx>
        <c:axId val="-303971728"/>
        <c:scaling>
          <c:orientation val="minMax"/>
          <c:max val="60000"/>
          <c:min val="0"/>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303973360"/>
        <c:crosses val="autoZero"/>
        <c:crossBetween val="between"/>
        <c:majorUnit val="8000"/>
      </c:valAx>
      <c:spPr>
        <a:noFill/>
        <a:ln w="25400">
          <a:noFill/>
        </a:ln>
        <a:effectLst/>
      </c:spPr>
    </c:plotArea>
    <c:legend>
      <c:legendPos val="b"/>
      <c:legendEntry>
        <c:idx val="3"/>
        <c:delete val="1"/>
      </c:legendEntry>
      <c:layout>
        <c:manualLayout>
          <c:xMode val="edge"/>
          <c:yMode val="edge"/>
          <c:x val="2.8705861201006832E-2"/>
          <c:y val="0.89721587110576284"/>
          <c:w val="0.92660463861920173"/>
          <c:h val="7.30675892498997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551959726717E-2"/>
          <c:y val="6.2984700565587221E-2"/>
          <c:w val="0.88282793959007555"/>
          <c:h val="0.70969727614483258"/>
        </c:manualLayout>
      </c:layout>
      <c:barChart>
        <c:barDir val="col"/>
        <c:grouping val="stacked"/>
        <c:varyColors val="0"/>
        <c:ser>
          <c:idx val="0"/>
          <c:order val="0"/>
          <c:tx>
            <c:strRef>
              <c:f>'Base Graf'!$AP$2</c:f>
              <c:strCache>
                <c:ptCount val="1"/>
                <c:pt idx="0">
                  <c:v>Tenedores de Bonos</c:v>
                </c:pt>
              </c:strCache>
            </c:strRef>
          </c:tx>
          <c:spPr>
            <a:solidFill>
              <a:srgbClr val="000F9F"/>
            </a:solidFill>
            <a:ln>
              <a:no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'Base Graf'!$AB$7:$AB$14</c15:sqref>
                  </c15:fullRef>
                </c:ext>
              </c:extLst>
              <c:f>'Base Graf'!$AB$8:$AB$14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Graf'!$AP$7:$AP$14</c15:sqref>
                  </c15:fullRef>
                </c:ext>
              </c:extLst>
              <c:f>'Base Graf'!$AP$8:$AP$14</c:f>
              <c:numCache>
                <c:formatCode>#,##0.0</c:formatCode>
                <c:ptCount val="7"/>
                <c:pt idx="0">
                  <c:v>103.75362912999999</c:v>
                </c:pt>
                <c:pt idx="1">
                  <c:v>99.171135673076932</c:v>
                </c:pt>
                <c:pt idx="2">
                  <c:v>94.58864221153847</c:v>
                </c:pt>
                <c:pt idx="3">
                  <c:v>90.006148750000008</c:v>
                </c:pt>
                <c:pt idx="4">
                  <c:v>85.423655288461546</c:v>
                </c:pt>
                <c:pt idx="5">
                  <c:v>40.993392596153853</c:v>
                </c:pt>
                <c:pt idx="6">
                  <c:v>0</c:v>
                </c:pt>
              </c:numCache>
            </c:numRef>
          </c:val>
          <c:extLst>
            <c:ext xmlns:c16="http://schemas.microsoft.com/office/drawing/2014/chart" uri="{C3380CC4-5D6E-409C-BE32-E72D297353CC}">
              <c16:uniqueId val="{00000000-608F-4513-AFD1-F65A68313CF8}"/>
            </c:ext>
          </c:extLst>
        </c:ser>
        <c:ser>
          <c:idx val="1"/>
          <c:order val="1"/>
          <c:tx>
            <c:strRef>
              <c:f>'Base Graf'!$AM$2</c:f>
              <c:strCache>
                <c:ptCount val="1"/>
                <c:pt idx="0">
                  <c:v>Organismos Multilaterales</c:v>
                </c:pt>
              </c:strCache>
            </c:strRef>
          </c:tx>
          <c:spPr>
            <a:solidFill>
              <a:srgbClr val="C8A977"/>
            </a:solidFill>
            <a:ln>
              <a:no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'Base Graf'!$AB$7:$AB$14</c15:sqref>
                  </c15:fullRef>
                </c:ext>
              </c:extLst>
              <c:f>'Base Graf'!$AB$8:$AB$14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Graf'!$AM$7:$AM$14</c15:sqref>
                  </c15:fullRef>
                </c:ext>
              </c:extLst>
              <c:f>'Base Graf'!$AM$8:$AM$14</c:f>
              <c:numCache>
                <c:formatCode>#,##0.0</c:formatCode>
                <c:ptCount val="7"/>
                <c:pt idx="0">
                  <c:v>27.87893013391794</c:v>
                </c:pt>
                <c:pt idx="1">
                  <c:v>28.358279063908462</c:v>
                </c:pt>
                <c:pt idx="2">
                  <c:v>21.402459892844501</c:v>
                </c:pt>
                <c:pt idx="3">
                  <c:v>20.133254718779767</c:v>
                </c:pt>
                <c:pt idx="4">
                  <c:v>19.208025487219103</c:v>
                </c:pt>
                <c:pt idx="5">
                  <c:v>18.049351904553586</c:v>
                </c:pt>
                <c:pt idx="6">
                  <c:v>15.129280745426094</c:v>
                </c:pt>
              </c:numCache>
            </c:numRef>
          </c:val>
          <c:extLst>
            <c:ext xmlns:c16="http://schemas.microsoft.com/office/drawing/2014/chart" uri="{C3380CC4-5D6E-409C-BE32-E72D297353CC}">
              <c16:uniqueId val="{00000001-608F-4513-AFD1-F65A68313CF8}"/>
            </c:ext>
          </c:extLst>
        </c:ser>
        <c:ser>
          <c:idx val="2"/>
          <c:order val="2"/>
          <c:tx>
            <c:strRef>
              <c:f>'Base Graf'!$AJ$2</c:f>
              <c:strCache>
                <c:ptCount val="1"/>
                <c:pt idx="0">
                  <c:v>Bancos Nacionales e Internacionales</c:v>
                </c:pt>
              </c:strCache>
            </c:strRef>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'Base Graf'!$AB$7:$AB$14</c15:sqref>
                  </c15:fullRef>
                </c:ext>
              </c:extLst>
              <c:f>'Base Graf'!$AB$8:$AB$14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Graf'!$AJ$6:$AJ$14</c15:sqref>
                  </c15:fullRef>
                </c:ext>
              </c:extLst>
              <c:f>'Base Graf'!$AJ$7:$AJ$13</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9-608F-4513-AFD1-F65A68313CF8}"/>
            </c:ext>
          </c:extLst>
        </c:ser>
        <c:dLbls>
          <c:showLegendKey val="0"/>
          <c:showVal val="0"/>
          <c:showCatName val="0"/>
          <c:showSerName val="0"/>
          <c:showPercent val="0"/>
          <c:showBubbleSize val="0"/>
        </c:dLbls>
        <c:gapWidth val="50"/>
        <c:overlap val="100"/>
        <c:axId val="-303971184"/>
        <c:axId val="-533886400"/>
      </c:barChart>
      <c:lineChart>
        <c:grouping val="standard"/>
        <c:varyColors val="0"/>
        <c:ser>
          <c:idx val="3"/>
          <c:order val="3"/>
          <c:spPr>
            <a:ln w="28575" cap="rnd">
              <a:solidFill>
                <a:schemeClr val="tx1">
                  <a:alpha val="0"/>
                </a:schemeClr>
              </a:solidFill>
              <a:round/>
            </a:ln>
            <a:effectLst/>
          </c:spPr>
          <c:marker>
            <c:symbol val="none"/>
          </c:marker>
          <c:dLbls>
            <c:dLbl>
              <c:idx val="0"/>
              <c:tx>
                <c:rich>
                  <a:bodyPr/>
                  <a:lstStyle/>
                  <a:p>
                    <a:fld id="{4C7C44A4-67D2-42F7-A520-47FE1379FA48}"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1DF0-4377-ADCD-7137CEFFECCD}"/>
                </c:ext>
              </c:extLst>
            </c:dLbl>
            <c:dLbl>
              <c:idx val="1"/>
              <c:tx>
                <c:rich>
                  <a:bodyPr/>
                  <a:lstStyle/>
                  <a:p>
                    <a:fld id="{795A2568-63A5-4E4A-8B37-49680813DBBC}"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DF0-4377-ADCD-7137CEFFECCD}"/>
                </c:ext>
              </c:extLst>
            </c:dLbl>
            <c:dLbl>
              <c:idx val="2"/>
              <c:tx>
                <c:rich>
                  <a:bodyPr/>
                  <a:lstStyle/>
                  <a:p>
                    <a:fld id="{3027F8CB-035D-4BAE-AA4A-DF77F79E209F}"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DF0-4377-ADCD-7137CEFFECCD}"/>
                </c:ext>
              </c:extLst>
            </c:dLbl>
            <c:dLbl>
              <c:idx val="3"/>
              <c:tx>
                <c:rich>
                  <a:bodyPr/>
                  <a:lstStyle/>
                  <a:p>
                    <a:fld id="{BB17B484-B37F-42B0-970B-922FFF451B9F}"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DF0-4377-ADCD-7137CEFFECCD}"/>
                </c:ext>
              </c:extLst>
            </c:dLbl>
            <c:dLbl>
              <c:idx val="4"/>
              <c:tx>
                <c:rich>
                  <a:bodyPr/>
                  <a:lstStyle/>
                  <a:p>
                    <a:fld id="{F511049A-0231-4933-9DDD-A4EBB79FEF2A}"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DF0-4377-ADCD-7137CEFFECCD}"/>
                </c:ext>
              </c:extLst>
            </c:dLbl>
            <c:dLbl>
              <c:idx val="5"/>
              <c:tx>
                <c:rich>
                  <a:bodyPr/>
                  <a:lstStyle/>
                  <a:p>
                    <a:fld id="{4A5124FA-9355-4935-9878-CB7E72242D04}"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DF0-4377-ADCD-7137CEFFECCD}"/>
                </c:ext>
              </c:extLst>
            </c:dLbl>
            <c:dLbl>
              <c:idx val="6"/>
              <c:tx>
                <c:rich>
                  <a:bodyPr/>
                  <a:lstStyle/>
                  <a:p>
                    <a:fld id="{44EC7121-103B-486C-8EDD-EC91A3822C93}"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DF0-4377-ADCD-7137CEFFECCD}"/>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s-A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'Base Graf'!$AB$7:$AB$14</c15:sqref>
                  </c15:fullRef>
                </c:ext>
              </c:extLst>
              <c:f>'Base Graf'!$AB$8:$AB$14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Graf'!$C$7:$C$14</c15:sqref>
                  </c15:fullRef>
                </c:ext>
              </c:extLst>
              <c:f>'Base Graf'!$C$8:$C$14</c:f>
              <c:numCache>
                <c:formatCode>#,##0.0</c:formatCode>
                <c:ptCount val="7"/>
                <c:pt idx="0">
                  <c:v>131.63255926391793</c:v>
                </c:pt>
                <c:pt idx="1">
                  <c:v>127.52941473698539</c:v>
                </c:pt>
                <c:pt idx="2">
                  <c:v>115.99110210438297</c:v>
                </c:pt>
                <c:pt idx="3">
                  <c:v>110.13940346877978</c:v>
                </c:pt>
                <c:pt idx="4">
                  <c:v>104.63168077568065</c:v>
                </c:pt>
                <c:pt idx="5">
                  <c:v>59.042744500707443</c:v>
                </c:pt>
                <c:pt idx="6">
                  <c:v>15.129280745426094</c:v>
                </c:pt>
              </c:numCache>
            </c:numRef>
          </c:val>
          <c:smooth val="0"/>
          <c:extLst>
            <c:ext xmlns:c15="http://schemas.microsoft.com/office/drawing/2012/chart" uri="{02D57815-91ED-43cb-92C2-25804820EDAC}">
              <c15:datalabelsRange>
                <c15:f>'Base Graf'!$BO$167:$BO$174</c15:f>
                <c15:dlblRangeCache>
                  <c:ptCount val="8"/>
                  <c:pt idx="0">
                    <c:v> 130,1 </c:v>
                  </c:pt>
                  <c:pt idx="1">
                    <c:v> 131,6 </c:v>
                  </c:pt>
                  <c:pt idx="2">
                    <c:v> 127,5 </c:v>
                  </c:pt>
                  <c:pt idx="3">
                    <c:v> 116,0 </c:v>
                  </c:pt>
                  <c:pt idx="4">
                    <c:v> 110,1 </c:v>
                  </c:pt>
                  <c:pt idx="5">
                    <c:v> 104,6 </c:v>
                  </c:pt>
                  <c:pt idx="6">
                    <c:v> 59,0 </c:v>
                  </c:pt>
                  <c:pt idx="7">
                    <c:v> 15,1 </c:v>
                  </c:pt>
                </c15:dlblRangeCache>
              </c15:datalabelsRange>
            </c:ext>
            <c:ext xmlns:c16="http://schemas.microsoft.com/office/drawing/2014/chart" uri="{C3380CC4-5D6E-409C-BE32-E72D297353CC}">
              <c16:uniqueId val="{0000000C-608F-4513-AFD1-F65A68313CF8}"/>
            </c:ext>
          </c:extLst>
        </c:ser>
        <c:dLbls>
          <c:showLegendKey val="0"/>
          <c:showVal val="0"/>
          <c:showCatName val="0"/>
          <c:showSerName val="0"/>
          <c:showPercent val="0"/>
          <c:showBubbleSize val="0"/>
        </c:dLbls>
        <c:marker val="1"/>
        <c:smooth val="0"/>
        <c:axId val="-303971184"/>
        <c:axId val="-533886400"/>
      </c:lineChart>
      <c:catAx>
        <c:axId val="-3039711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s-AR"/>
          </a:p>
        </c:txPr>
        <c:crossAx val="-533886400"/>
        <c:crosses val="autoZero"/>
        <c:auto val="1"/>
        <c:lblAlgn val="ctr"/>
        <c:lblOffset val="100"/>
        <c:noMultiLvlLbl val="0"/>
      </c:catAx>
      <c:valAx>
        <c:axId val="-533886400"/>
        <c:scaling>
          <c:orientation val="minMax"/>
          <c:max val="150"/>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303971184"/>
        <c:crosses val="autoZero"/>
        <c:crossBetween val="between"/>
        <c:majorUnit val="50"/>
      </c:valAx>
      <c:spPr>
        <a:noFill/>
        <a:ln>
          <a:noFill/>
        </a:ln>
        <a:effectLst/>
      </c:spPr>
    </c:plotArea>
    <c:legend>
      <c:legendPos val="b"/>
      <c:legendEntry>
        <c:idx val="2"/>
        <c:delete val="1"/>
      </c:legendEntry>
      <c:legendEntry>
        <c:idx val="3"/>
        <c:delete val="1"/>
      </c:legendEntry>
      <c:layout>
        <c:manualLayout>
          <c:xMode val="edge"/>
          <c:yMode val="edge"/>
          <c:x val="4.9999999999999989E-2"/>
          <c:y val="0.92268719080090922"/>
          <c:w val="0.92373894282632152"/>
          <c:h val="7.30675892498997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3CB4E5"/>
              </a:solidFill>
              <a:ln w="19050">
                <a:solidFill>
                  <a:schemeClr val="lt1"/>
                </a:solidFill>
              </a:ln>
              <a:effectLst/>
            </c:spPr>
            <c:extLst>
              <c:ext xmlns:c16="http://schemas.microsoft.com/office/drawing/2014/chart" uri="{C3380CC4-5D6E-409C-BE32-E72D297353CC}">
                <c16:uniqueId val="{00000002-35F0-4D06-A091-6FBFBCBFF391}"/>
              </c:ext>
            </c:extLst>
          </c:dPt>
          <c:dPt>
            <c:idx val="1"/>
            <c:bubble3D val="0"/>
            <c:spPr>
              <a:solidFill>
                <a:srgbClr val="000F9F"/>
              </a:solidFill>
              <a:ln w="19050">
                <a:solidFill>
                  <a:schemeClr val="lt1"/>
                </a:solidFill>
              </a:ln>
              <a:effectLst/>
            </c:spPr>
            <c:extLst>
              <c:ext xmlns:c16="http://schemas.microsoft.com/office/drawing/2014/chart" uri="{C3380CC4-5D6E-409C-BE32-E72D297353CC}">
                <c16:uniqueId val="{00000001-35F0-4D06-A091-6FBFBCBFF391}"/>
              </c:ext>
            </c:extLst>
          </c:dPt>
          <c:dPt>
            <c:idx val="2"/>
            <c:bubble3D val="0"/>
            <c:spPr>
              <a:solidFill>
                <a:schemeClr val="tx1">
                  <a:lumMod val="50000"/>
                  <a:lumOff val="50000"/>
                </a:schemeClr>
              </a:solidFill>
              <a:ln w="19050">
                <a:solidFill>
                  <a:schemeClr val="lt1"/>
                </a:solidFill>
              </a:ln>
              <a:effectLst/>
            </c:spPr>
            <c:extLst>
              <c:ext xmlns:c16="http://schemas.microsoft.com/office/drawing/2014/chart" uri="{C3380CC4-5D6E-409C-BE32-E72D297353CC}">
                <c16:uniqueId val="{00000004-35F0-4D06-A091-6FBFBCBFF391}"/>
              </c:ext>
            </c:extLst>
          </c:dPt>
          <c:dPt>
            <c:idx val="3"/>
            <c:bubble3D val="0"/>
            <c:spPr>
              <a:solidFill>
                <a:srgbClr val="C8A977"/>
              </a:solidFill>
              <a:ln w="19050">
                <a:solidFill>
                  <a:schemeClr val="lt1"/>
                </a:solidFill>
              </a:ln>
              <a:effectLst/>
            </c:spPr>
            <c:extLst>
              <c:ext xmlns:c16="http://schemas.microsoft.com/office/drawing/2014/chart" uri="{C3380CC4-5D6E-409C-BE32-E72D297353CC}">
                <c16:uniqueId val="{00000003-35F0-4D06-A091-6FBFBCBFF391}"/>
              </c:ext>
            </c:extLst>
          </c:dPt>
          <c:dLbls>
            <c:dLbl>
              <c:idx val="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3CB4E5"/>
                      </a:solidFill>
                      <a:latin typeface="+mn-lt"/>
                      <a:ea typeface="+mn-ea"/>
                      <a:cs typeface="+mn-cs"/>
                    </a:defRPr>
                  </a:pPr>
                  <a:endParaRPr lang="es-AR"/>
                </a:p>
              </c:txPr>
              <c:dLblPos val="outEnd"/>
              <c:showLegendKey val="0"/>
              <c:showVal val="0"/>
              <c:showCatName val="0"/>
              <c:showSerName val="0"/>
              <c:showPercent val="1"/>
              <c:showBubbleSize val="0"/>
              <c:extLst>
                <c:ext xmlns:c16="http://schemas.microsoft.com/office/drawing/2014/chart" uri="{C3380CC4-5D6E-409C-BE32-E72D297353CC}">
                  <c16:uniqueId val="{00000002-35F0-4D06-A091-6FBFBCBFF391}"/>
                </c:ext>
              </c:extLst>
            </c:dLbl>
            <c:dLbl>
              <c:idx val="1"/>
              <c:tx>
                <c:rich>
                  <a:bodyPr/>
                  <a:lstStyle/>
                  <a:p>
                    <a:fld id="{DC9A279B-B81F-4996-91C9-DBDB1969D33F}" type="PERCENTAGE">
                      <a:rPr lang="en-US" b="1">
                        <a:solidFill>
                          <a:srgbClr val="000F9F"/>
                        </a:solidFill>
                      </a:rPr>
                      <a:pPr/>
                      <a:t>[PORCENTAJE]</a:t>
                    </a:fld>
                    <a:endParaRPr lang="es-AR"/>
                  </a:p>
                </c:rich>
              </c:tx>
              <c:dLblPos val="outEnd"/>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35F0-4D06-A091-6FBFBCBFF391}"/>
                </c:ext>
              </c:extLst>
            </c:dLbl>
            <c:dLbl>
              <c:idx val="2"/>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50000"/>
                          <a:lumOff val="50000"/>
                        </a:schemeClr>
                      </a:solidFill>
                      <a:latin typeface="+mn-lt"/>
                      <a:ea typeface="+mn-ea"/>
                      <a:cs typeface="+mn-cs"/>
                    </a:defRPr>
                  </a:pPr>
                  <a:endParaRPr lang="es-AR"/>
                </a:p>
              </c:txPr>
              <c:dLblPos val="outEnd"/>
              <c:showLegendKey val="0"/>
              <c:showVal val="0"/>
              <c:showCatName val="0"/>
              <c:showSerName val="0"/>
              <c:showPercent val="1"/>
              <c:showBubbleSize val="0"/>
              <c:extLst>
                <c:ext xmlns:c16="http://schemas.microsoft.com/office/drawing/2014/chart" uri="{C3380CC4-5D6E-409C-BE32-E72D297353CC}">
                  <c16:uniqueId val="{00000004-35F0-4D06-A091-6FBFBCBFF391}"/>
                </c:ext>
              </c:extLst>
            </c:dLbl>
            <c:dLbl>
              <c:idx val="3"/>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C8A977"/>
                      </a:solidFill>
                      <a:latin typeface="+mn-lt"/>
                      <a:ea typeface="+mn-ea"/>
                      <a:cs typeface="+mn-cs"/>
                    </a:defRPr>
                  </a:pPr>
                  <a:endParaRPr lang="es-AR"/>
                </a:p>
              </c:txPr>
              <c:dLblPos val="outEnd"/>
              <c:showLegendKey val="0"/>
              <c:showVal val="0"/>
              <c:showCatName val="0"/>
              <c:showSerName val="0"/>
              <c:showPercent val="1"/>
              <c:showBubbleSize val="0"/>
              <c:extLst>
                <c:ext xmlns:c16="http://schemas.microsoft.com/office/drawing/2014/chart" uri="{C3380CC4-5D6E-409C-BE32-E72D297353CC}">
                  <c16:uniqueId val="{00000003-35F0-4D06-A091-6FBFBCBFF391}"/>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'Base Graf'!$BE$3:$BJ$3</c15:sqref>
                  </c15:fullRef>
                </c:ext>
              </c:extLst>
              <c:f>('Base Graf'!$BE$3,'Base Graf'!$BG$3:$BI$3)</c:f>
              <c:strCache>
                <c:ptCount val="4"/>
                <c:pt idx="0">
                  <c:v>FIJA $</c:v>
                </c:pt>
                <c:pt idx="1">
                  <c:v>FIJA USD</c:v>
                </c:pt>
                <c:pt idx="2">
                  <c:v>BADLAR</c:v>
                </c:pt>
                <c:pt idx="3">
                  <c:v>LIBOR</c:v>
                </c:pt>
              </c:strCache>
            </c:strRef>
          </c:cat>
          <c:val>
            <c:numRef>
              <c:extLst>
                <c:ext xmlns:c15="http://schemas.microsoft.com/office/drawing/2012/chart" uri="{02D57815-91ED-43cb-92C2-25804820EDAC}">
                  <c15:fullRef>
                    <c15:sqref>'Base Graf'!$BE$5:$BJ$5</c15:sqref>
                  </c15:fullRef>
                </c:ext>
              </c:extLst>
              <c:f>('Base Graf'!$BE$5,'Base Graf'!$BG$5:$BI$5)</c:f>
              <c:numCache>
                <c:formatCode>#,##0.0_ ;\-#,##0.0\ </c:formatCode>
                <c:ptCount val="4"/>
                <c:pt idx="0">
                  <c:v>70.474763620411522</c:v>
                </c:pt>
                <c:pt idx="1">
                  <c:v>358.62992308000003</c:v>
                </c:pt>
                <c:pt idx="2">
                  <c:v>21.10487636500639</c:v>
                </c:pt>
                <c:pt idx="3">
                  <c:v>189.01912778988202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35F0-4D06-A091-6FBFBCBFF391}"/>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50" b="0" i="0" u="none" strike="noStrike" kern="1200" baseline="0">
              <a:solidFill>
                <a:schemeClr val="tx1"/>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3CB4E5"/>
              </a:solidFill>
              <a:ln w="19050">
                <a:solidFill>
                  <a:schemeClr val="lt1"/>
                </a:solidFill>
              </a:ln>
              <a:effectLst/>
            </c:spPr>
            <c:extLst>
              <c:ext xmlns:c16="http://schemas.microsoft.com/office/drawing/2014/chart" uri="{C3380CC4-5D6E-409C-BE32-E72D297353CC}">
                <c16:uniqueId val="{0000000B-20D2-485C-A575-426FF507F10E}"/>
              </c:ext>
            </c:extLst>
          </c:dPt>
          <c:dPt>
            <c:idx val="1"/>
            <c:bubble3D val="0"/>
            <c:spPr>
              <a:solidFill>
                <a:srgbClr val="000F9F"/>
              </a:solidFill>
              <a:ln w="19050">
                <a:solidFill>
                  <a:schemeClr val="lt1"/>
                </a:solidFill>
              </a:ln>
              <a:effectLst/>
            </c:spPr>
            <c:extLst>
              <c:ext xmlns:c16="http://schemas.microsoft.com/office/drawing/2014/chart" uri="{C3380CC4-5D6E-409C-BE32-E72D297353CC}">
                <c16:uniqueId val="{0000000D-20D2-485C-A575-426FF507F10E}"/>
              </c:ext>
            </c:extLst>
          </c:dPt>
          <c:dPt>
            <c:idx val="2"/>
            <c:bubble3D val="0"/>
            <c:spPr>
              <a:solidFill>
                <a:srgbClr val="C8A977"/>
              </a:solidFill>
              <a:ln w="19050">
                <a:solidFill>
                  <a:schemeClr val="lt1"/>
                </a:solidFill>
              </a:ln>
              <a:effectLst/>
            </c:spPr>
            <c:extLst>
              <c:ext xmlns:c16="http://schemas.microsoft.com/office/drawing/2014/chart" uri="{C3380CC4-5D6E-409C-BE32-E72D297353CC}">
                <c16:uniqueId val="{00000011-20D2-485C-A575-426FF507F10E}"/>
              </c:ext>
            </c:extLst>
          </c:dPt>
          <c:dLbls>
            <c:dLbl>
              <c:idx val="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3CB4E5"/>
                      </a:solidFill>
                      <a:latin typeface="+mn-lt"/>
                      <a:ea typeface="+mn-ea"/>
                      <a:cs typeface="+mn-cs"/>
                    </a:defRPr>
                  </a:pPr>
                  <a:endParaRPr lang="es-AR"/>
                </a:p>
              </c:txPr>
              <c:dLblPos val="outEnd"/>
              <c:showLegendKey val="0"/>
              <c:showVal val="0"/>
              <c:showCatName val="0"/>
              <c:showSerName val="0"/>
              <c:showPercent val="1"/>
              <c:showBubbleSize val="0"/>
              <c:extLst>
                <c:ext xmlns:c16="http://schemas.microsoft.com/office/drawing/2014/chart" uri="{C3380CC4-5D6E-409C-BE32-E72D297353CC}">
                  <c16:uniqueId val="{0000000B-20D2-485C-A575-426FF507F10E}"/>
                </c:ext>
              </c:extLst>
            </c:dLbl>
            <c:dLbl>
              <c:idx val="1"/>
              <c:tx>
                <c:rich>
                  <a:bodyPr/>
                  <a:lstStyle/>
                  <a:p>
                    <a:fld id="{DC9A279B-B81F-4996-91C9-DBDB1969D33F}" type="PERCENTAGE">
                      <a:rPr lang="en-US" b="1">
                        <a:solidFill>
                          <a:srgbClr val="000F9F"/>
                        </a:solidFill>
                      </a:rPr>
                      <a:pPr/>
                      <a:t>[PORCENTAJE]</a:t>
                    </a:fld>
                    <a:endParaRPr lang="es-AR"/>
                  </a:p>
                </c:rich>
              </c:tx>
              <c:dLblPos val="outEnd"/>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20D2-485C-A575-426FF507F10E}"/>
                </c:ext>
              </c:extLst>
            </c:dLbl>
            <c:dLbl>
              <c:idx val="2"/>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C8A977"/>
                      </a:solidFill>
                      <a:latin typeface="+mn-lt"/>
                      <a:ea typeface="+mn-ea"/>
                      <a:cs typeface="+mn-cs"/>
                    </a:defRPr>
                  </a:pPr>
                  <a:endParaRPr lang="es-AR"/>
                </a:p>
              </c:txPr>
              <c:dLblPos val="outEnd"/>
              <c:showLegendKey val="0"/>
              <c:showVal val="0"/>
              <c:showCatName val="0"/>
              <c:showSerName val="0"/>
              <c:showPercent val="1"/>
              <c:showBubbleSize val="0"/>
              <c:extLst>
                <c:ext xmlns:c16="http://schemas.microsoft.com/office/drawing/2014/chart" uri="{C3380CC4-5D6E-409C-BE32-E72D297353CC}">
                  <c16:uniqueId val="{00000011-20D2-485C-A575-426FF507F10E}"/>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'Base Graf'!$AX$3:$AZ$3</c15:sqref>
                  </c15:fullRef>
                </c:ext>
              </c:extLst>
              <c:f>'Base Graf'!$AX$3:$AY$3</c:f>
              <c:strCache>
                <c:ptCount val="2"/>
                <c:pt idx="0">
                  <c:v>Pesos</c:v>
                </c:pt>
                <c:pt idx="1">
                  <c:v>USD</c:v>
                </c:pt>
              </c:strCache>
            </c:strRef>
          </c:cat>
          <c:val>
            <c:numRef>
              <c:extLst>
                <c:ext xmlns:c15="http://schemas.microsoft.com/office/drawing/2012/chart" uri="{02D57815-91ED-43cb-92C2-25804820EDAC}">
                  <c15:fullRef>
                    <c15:sqref>'Base Graf'!$AX$5:$AZ$5</c15:sqref>
                  </c15:fullRef>
                </c:ext>
              </c:extLst>
              <c:f>'Base Graf'!$AX$5:$AY$5</c:f>
              <c:numCache>
                <c:formatCode>#,##0.00</c:formatCode>
                <c:ptCount val="2"/>
                <c:pt idx="0">
                  <c:v>92.906001275299843</c:v>
                </c:pt>
                <c:pt idx="1">
                  <c:v>546.32268958000009</c:v>
                </c:pt>
              </c:numCache>
            </c:numRef>
          </c:val>
          <c:extLst>
            <c:ext xmlns:c15="http://schemas.microsoft.com/office/drawing/2012/chart" uri="{02D57815-91ED-43cb-92C2-25804820EDAC}">
              <c15:categoryFilterExceptions>
                <c15:categoryFilterException>
                  <c15:sqref>'Base Graf'!$AZ$5</c15:sqref>
                  <c15:spPr xmlns:c15="http://schemas.microsoft.com/office/drawing/2012/chart">
                    <a:solidFill>
                      <a:schemeClr val="tx1">
                        <a:lumMod val="50000"/>
                        <a:lumOff val="50000"/>
                      </a:schemeClr>
                    </a:solidFill>
                    <a:ln w="19050">
                      <a:solidFill>
                        <a:schemeClr val="lt1"/>
                      </a:solidFill>
                    </a:ln>
                    <a:effectLst/>
                  </c15:spPr>
                  <c15:bubble3D val="0"/>
                  <c15:dLbl>
                    <c:idx val="1"/>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50000"/>
                                <a:lumOff val="50000"/>
                              </a:schemeClr>
                            </a:solidFill>
                            <a:latin typeface="+mn-lt"/>
                            <a:ea typeface="+mn-ea"/>
                            <a:cs typeface="+mn-cs"/>
                          </a:defRPr>
                        </a:pPr>
                        <a:endParaRPr lang="es-AR"/>
                      </a:p>
                    </c:txPr>
                    <c:dLblPos val="outEnd"/>
                    <c:showLegendKey val="0"/>
                    <c:showVal val="0"/>
                    <c:showCatName val="0"/>
                    <c:showSerName val="0"/>
                    <c:showPercent val="1"/>
                    <c:showBubbleSize val="0"/>
                    <c:extLst>
                      <c:ext xmlns:c16="http://schemas.microsoft.com/office/drawing/2014/chart" uri="{C3380CC4-5D6E-409C-BE32-E72D297353CC}">
                        <c16:uniqueId val="{00000007-28B8-4C87-9F9A-D9D6CF4EBA64}"/>
                      </c:ext>
                    </c:extLst>
                  </c15:dLbl>
                </c15:categoryFilterException>
              </c15:categoryFilterExceptions>
            </c:ext>
            <c:ext xmlns:c16="http://schemas.microsoft.com/office/drawing/2014/chart" uri="{C3380CC4-5D6E-409C-BE32-E72D297353CC}">
              <c16:uniqueId val="{00000012-20D2-485C-A575-426FF507F10E}"/>
            </c:ext>
          </c:extLst>
        </c:ser>
        <c:dLbls>
          <c:showLegendKey val="0"/>
          <c:showVal val="0"/>
          <c:showCatName val="0"/>
          <c:showSerName val="0"/>
          <c:showPercent val="0"/>
          <c:showBubbleSize val="0"/>
          <c:showLeaderLines val="1"/>
        </c:dLbls>
        <c:firstSliceAng val="0"/>
      </c:pieChart>
    </c:plotArea>
    <c:legend>
      <c:legendPos val="b"/>
      <c:overlay val="0"/>
      <c:spPr>
        <a:noFill/>
        <a:ln>
          <a:noFill/>
        </a:ln>
        <a:effectLst/>
      </c:spPr>
      <c:txPr>
        <a:bodyPr rot="0" spcFirstLastPara="1" vertOverflow="ellipsis" vert="horz" wrap="square" anchor="ctr" anchorCtr="1"/>
        <a:lstStyle/>
        <a:p>
          <a:pPr rtl="0">
            <a:defRPr sz="1050" b="0" i="0" u="none" strike="noStrike" kern="1200" baseline="0">
              <a:solidFill>
                <a:schemeClr val="tx1"/>
              </a:solidFill>
              <a:latin typeface="+mn-lt"/>
              <a:ea typeface="+mn-ea"/>
              <a:cs typeface="+mn-cs"/>
            </a:defRPr>
          </a:pPr>
          <a:endParaRPr lang="es-AR"/>
        </a:p>
      </c:txPr>
    </c:legend>
    <c:plotVisOnly val="1"/>
    <c:dispBlanksAs val="gap"/>
    <c:showDLblsOverMax val="0"/>
    <c:extLst/>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DEUDA TOTAL ADMINISTRACIÓN CENTRAL MEDIDA EN TÉRMINOS REALES Y EN DÓLARES</a:t>
            </a:r>
            <a:endParaRPr lang="es-AR" sz="1400">
              <a:solidFill>
                <a:schemeClr val="tx1"/>
              </a:solidFill>
              <a:effectLst/>
              <a:latin typeface="Arial Narrow" panose="020B0606020202030204" pitchFamily="34" charset="0"/>
            </a:endParaRPr>
          </a:p>
          <a:p>
            <a:pPr algn="l">
              <a:defRPr/>
            </a:pPr>
            <a:r>
              <a:rPr lang="es-AR" sz="1200" b="0" i="0" baseline="0">
                <a:solidFill>
                  <a:srgbClr val="000F9F"/>
                </a:solidFill>
                <a:effectLst/>
                <a:latin typeface="Arial Narrow" panose="020B0606020202030204" pitchFamily="34" charset="0"/>
              </a:rPr>
              <a:t>Deuda en Millones de $ de Sep-24 (Eje Izq.) y en Millones de USD (Eje Der.)</a:t>
            </a:r>
            <a:endParaRPr lang="es-AR" sz="1200">
              <a:solidFill>
                <a:srgbClr val="000F9F"/>
              </a:solidFill>
              <a:effectLst/>
              <a:latin typeface="Arial Narrow" panose="020B0606020202030204" pitchFamily="34" charset="0"/>
            </a:endParaRPr>
          </a:p>
          <a:p>
            <a:pPr algn="l">
              <a:defRPr/>
            </a:pPr>
            <a:r>
              <a:rPr lang="es-AR" sz="1200" b="0" i="0" baseline="0">
                <a:solidFill>
                  <a:srgbClr val="000F9F"/>
                </a:solidFill>
                <a:effectLst/>
                <a:latin typeface="Arial Narrow" panose="020B0606020202030204" pitchFamily="34" charset="0"/>
              </a:rPr>
              <a:t>Fuente: DGDP, BCRA, DEIE</a:t>
            </a:r>
            <a:endParaRPr lang="es-AR" sz="1200">
              <a:solidFill>
                <a:srgbClr val="000F9F"/>
              </a:solidFill>
              <a:effectLst/>
              <a:latin typeface="Arial Narrow" panose="020B0606020202030204" pitchFamily="34" charset="0"/>
            </a:endParaRPr>
          </a:p>
        </c:rich>
      </c:tx>
      <c:layout>
        <c:manualLayout>
          <c:xMode val="edge"/>
          <c:yMode val="edge"/>
          <c:x val="1.2628787878787859E-2"/>
          <c:y val="2.565656565656565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8462062978785916E-2"/>
          <c:y val="0.22714873737373736"/>
          <c:w val="0.82580079359459535"/>
          <c:h val="0.56070151515151512"/>
        </c:manualLayout>
      </c:layout>
      <c:lineChart>
        <c:grouping val="standard"/>
        <c:varyColors val="0"/>
        <c:ser>
          <c:idx val="0"/>
          <c:order val="0"/>
          <c:tx>
            <c:v>Deuda Total Adm Central en $ Sep-24</c:v>
          </c:tx>
          <c:spPr>
            <a:ln w="19050" cap="rnd">
              <a:solidFill>
                <a:srgbClr val="000F9F"/>
              </a:solidFill>
              <a:round/>
            </a:ln>
            <a:effectLst/>
          </c:spPr>
          <c:marker>
            <c:symbol val="none"/>
          </c:marker>
          <c:cat>
            <c:numRef>
              <c:f>'Evolución Deuda Total'!$B$4:$AR$4</c:f>
              <c:numCache>
                <c:formatCode>mmm\-yy</c:formatCode>
                <c:ptCount val="43"/>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pt idx="40">
                  <c:v>45382</c:v>
                </c:pt>
                <c:pt idx="41">
                  <c:v>45473</c:v>
                </c:pt>
                <c:pt idx="42">
                  <c:v>45565</c:v>
                </c:pt>
              </c:numCache>
            </c:numRef>
          </c:cat>
          <c:val>
            <c:numRef>
              <c:f>'Evolución Deuda Total'!$B$9:$AR$9</c:f>
              <c:numCache>
                <c:formatCode>#,##0.00</c:formatCode>
                <c:ptCount val="43"/>
                <c:pt idx="0">
                  <c:v>1456102.8021140918</c:v>
                </c:pt>
                <c:pt idx="1">
                  <c:v>1401650.6348697171</c:v>
                </c:pt>
                <c:pt idx="2">
                  <c:v>1346424.1769107911</c:v>
                </c:pt>
                <c:pt idx="3">
                  <c:v>1399062.6473075997</c:v>
                </c:pt>
                <c:pt idx="4">
                  <c:v>1205902.6373749624</c:v>
                </c:pt>
                <c:pt idx="5">
                  <c:v>1296712.001070678</c:v>
                </c:pt>
                <c:pt idx="6">
                  <c:v>1287394.6863769367</c:v>
                </c:pt>
                <c:pt idx="7">
                  <c:v>1908000.2329635697</c:v>
                </c:pt>
                <c:pt idx="8">
                  <c:v>1497684.9090012291</c:v>
                </c:pt>
                <c:pt idx="9">
                  <c:v>1963642.6521330858</c:v>
                </c:pt>
                <c:pt idx="10">
                  <c:v>2015807.4605892552</c:v>
                </c:pt>
                <c:pt idx="11">
                  <c:v>2051429.1342157605</c:v>
                </c:pt>
                <c:pt idx="12">
                  <c:v>1861412.08169285</c:v>
                </c:pt>
                <c:pt idx="13">
                  <c:v>2204996.4072926394</c:v>
                </c:pt>
                <c:pt idx="14">
                  <c:v>2123844.7906247131</c:v>
                </c:pt>
                <c:pt idx="15">
                  <c:v>2057000.1167368847</c:v>
                </c:pt>
                <c:pt idx="16">
                  <c:v>2051358.8839389007</c:v>
                </c:pt>
                <c:pt idx="17">
                  <c:v>2213998.2610817398</c:v>
                </c:pt>
                <c:pt idx="18">
                  <c:v>2245483.8652357277</c:v>
                </c:pt>
                <c:pt idx="19">
                  <c:v>2081926.8091156422</c:v>
                </c:pt>
                <c:pt idx="20">
                  <c:v>1981283.3729839537</c:v>
                </c:pt>
                <c:pt idx="21">
                  <c:v>1947385.0246738035</c:v>
                </c:pt>
                <c:pt idx="22">
                  <c:v>2092513.4468295914</c:v>
                </c:pt>
                <c:pt idx="23">
                  <c:v>2067229.6734494634</c:v>
                </c:pt>
                <c:pt idx="24">
                  <c:v>1872642.0969425179</c:v>
                </c:pt>
                <c:pt idx="25">
                  <c:v>1945159.3192543774</c:v>
                </c:pt>
                <c:pt idx="26">
                  <c:v>1946836.5531067897</c:v>
                </c:pt>
                <c:pt idx="27">
                  <c:v>2097118.3216062856</c:v>
                </c:pt>
                <c:pt idx="28">
                  <c:v>1797790.3180754774</c:v>
                </c:pt>
                <c:pt idx="29">
                  <c:v>1651010.0840526163</c:v>
                </c:pt>
                <c:pt idx="30">
                  <c:v>1641928.7653606406</c:v>
                </c:pt>
                <c:pt idx="31">
                  <c:v>1767962.1893256356</c:v>
                </c:pt>
                <c:pt idx="32">
                  <c:v>1392200.6200686735</c:v>
                </c:pt>
                <c:pt idx="33">
                  <c:v>1334981.7956881849</c:v>
                </c:pt>
                <c:pt idx="34">
                  <c:v>1227199.1573579356</c:v>
                </c:pt>
                <c:pt idx="35">
                  <c:v>1409172.626002226</c:v>
                </c:pt>
                <c:pt idx="36">
                  <c:v>1031546.2597912552</c:v>
                </c:pt>
                <c:pt idx="37">
                  <c:v>1015163.689654148</c:v>
                </c:pt>
                <c:pt idx="38">
                  <c:v>1016201.253406889</c:v>
                </c:pt>
                <c:pt idx="39">
                  <c:v>1258329.8588527297</c:v>
                </c:pt>
                <c:pt idx="40">
                  <c:v>845656.76130645233</c:v>
                </c:pt>
                <c:pt idx="41">
                  <c:v>764483.11131482408</c:v>
                </c:pt>
                <c:pt idx="42">
                  <c:v>693544.19836828788</c:v>
                </c:pt>
              </c:numCache>
            </c:numRef>
          </c:val>
          <c:smooth val="0"/>
          <c:extLst>
            <c:ext xmlns:c16="http://schemas.microsoft.com/office/drawing/2014/chart" uri="{C3380CC4-5D6E-409C-BE32-E72D297353CC}">
              <c16:uniqueId val="{00000000-E0DF-4B4F-8EAA-1F218C763922}"/>
            </c:ext>
          </c:extLst>
        </c:ser>
        <c:dLbls>
          <c:showLegendKey val="0"/>
          <c:showVal val="0"/>
          <c:showCatName val="0"/>
          <c:showSerName val="0"/>
          <c:showPercent val="0"/>
          <c:showBubbleSize val="0"/>
        </c:dLbls>
        <c:marker val="1"/>
        <c:smooth val="0"/>
        <c:axId val="-303967920"/>
        <c:axId val="-303969008"/>
      </c:lineChart>
      <c:lineChart>
        <c:grouping val="standard"/>
        <c:varyColors val="0"/>
        <c:ser>
          <c:idx val="1"/>
          <c:order val="1"/>
          <c:tx>
            <c:v>Deuda Total Adm Central en USD (Eje Der)</c:v>
          </c:tx>
          <c:spPr>
            <a:ln w="19050" cap="rnd">
              <a:solidFill>
                <a:srgbClr val="3CB4E5"/>
              </a:solidFill>
              <a:round/>
            </a:ln>
            <a:effectLst/>
          </c:spPr>
          <c:marker>
            <c:symbol val="none"/>
          </c:marker>
          <c:cat>
            <c:numRef>
              <c:f>'Evolución Deuda Total'!$B$4:$AR$4</c:f>
              <c:numCache>
                <c:formatCode>mmm\-yy</c:formatCode>
                <c:ptCount val="43"/>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pt idx="40">
                  <c:v>45382</c:v>
                </c:pt>
                <c:pt idx="41">
                  <c:v>45473</c:v>
                </c:pt>
                <c:pt idx="42">
                  <c:v>45565</c:v>
                </c:pt>
              </c:numCache>
            </c:numRef>
          </c:cat>
          <c:val>
            <c:numRef>
              <c:f>'Evolución Deuda Total'!$B$11:$AR$11</c:f>
              <c:numCache>
                <c:formatCode>#,##0.00</c:formatCode>
                <c:ptCount val="43"/>
                <c:pt idx="0">
                  <c:v>1198.0060980561311</c:v>
                </c:pt>
                <c:pt idx="1">
                  <c:v>1236.2989741438882</c:v>
                </c:pt>
                <c:pt idx="2">
                  <c:v>1214.2376852143709</c:v>
                </c:pt>
                <c:pt idx="3">
                  <c:v>1322.6856137114128</c:v>
                </c:pt>
                <c:pt idx="4">
                  <c:v>1161.440776354071</c:v>
                </c:pt>
                <c:pt idx="5">
                  <c:v>1284.3857329323723</c:v>
                </c:pt>
                <c:pt idx="6">
                  <c:v>1296.7956207809582</c:v>
                </c:pt>
                <c:pt idx="7">
                  <c:v>1487.2257882157555</c:v>
                </c:pt>
                <c:pt idx="8">
                  <c:v>1186.5068563914328</c:v>
                </c:pt>
                <c:pt idx="9">
                  <c:v>1686.5652731506366</c:v>
                </c:pt>
                <c:pt idx="10">
                  <c:v>1767.2638008660335</c:v>
                </c:pt>
                <c:pt idx="11">
                  <c:v>1820.5741236959532</c:v>
                </c:pt>
                <c:pt idx="12">
                  <c:v>1808.1787795455841</c:v>
                </c:pt>
                <c:pt idx="13">
                  <c:v>2091.8664489172725</c:v>
                </c:pt>
                <c:pt idx="14">
                  <c:v>2029.2965637817033</c:v>
                </c:pt>
                <c:pt idx="15">
                  <c:v>1923.8160416107323</c:v>
                </c:pt>
                <c:pt idx="16">
                  <c:v>1906.8874457626976</c:v>
                </c:pt>
                <c:pt idx="17">
                  <c:v>1561.8680580314178</c:v>
                </c:pt>
                <c:pt idx="18">
                  <c:v>1275.3649271383476</c:v>
                </c:pt>
                <c:pt idx="19">
                  <c:v>1427.4429920198836</c:v>
                </c:pt>
                <c:pt idx="20">
                  <c:v>1324.8426762725608</c:v>
                </c:pt>
                <c:pt idx="21">
                  <c:v>1456.06595329073</c:v>
                </c:pt>
                <c:pt idx="22">
                  <c:v>1298.7633279145018</c:v>
                </c:pt>
                <c:pt idx="23">
                  <c:v>1377.625793813218</c:v>
                </c:pt>
                <c:pt idx="24">
                  <c:v>1249.7074659407217</c:v>
                </c:pt>
                <c:pt idx="25">
                  <c:v>1250.6493763069705</c:v>
                </c:pt>
                <c:pt idx="26">
                  <c:v>1245.5093239823298</c:v>
                </c:pt>
                <c:pt idx="27">
                  <c:v>1353.1157961328599</c:v>
                </c:pt>
                <c:pt idx="28">
                  <c:v>1198.165322817955</c:v>
                </c:pt>
                <c:pt idx="29">
                  <c:v>1173.3892580683216</c:v>
                </c:pt>
                <c:pt idx="30">
                  <c:v>1236.2607775559195</c:v>
                </c:pt>
                <c:pt idx="31">
                  <c:v>1408.5738472361979</c:v>
                </c:pt>
                <c:pt idx="32">
                  <c:v>1192.0072095918158</c:v>
                </c:pt>
                <c:pt idx="33">
                  <c:v>1188.423046679211</c:v>
                </c:pt>
                <c:pt idx="34">
                  <c:v>1133.2682816595877</c:v>
                </c:pt>
                <c:pt idx="35">
                  <c:v>1268.388710513058</c:v>
                </c:pt>
                <c:pt idx="36">
                  <c:v>957.68267949680569</c:v>
                </c:pt>
                <c:pt idx="37">
                  <c:v>950.52011217489417</c:v>
                </c:pt>
                <c:pt idx="38">
                  <c:v>939.57982004744997</c:v>
                </c:pt>
                <c:pt idx="39">
                  <c:v>772.21285700382805</c:v>
                </c:pt>
                <c:pt idx="40">
                  <c:v>741.53641085319362</c:v>
                </c:pt>
                <c:pt idx="41">
                  <c:v>747.56802170814649</c:v>
                </c:pt>
                <c:pt idx="42">
                  <c:v>714.31895070739631</c:v>
                </c:pt>
              </c:numCache>
            </c:numRef>
          </c:val>
          <c:smooth val="0"/>
          <c:extLst>
            <c:ext xmlns:c16="http://schemas.microsoft.com/office/drawing/2014/chart" uri="{C3380CC4-5D6E-409C-BE32-E72D297353CC}">
              <c16:uniqueId val="{00000001-E0DF-4B4F-8EAA-1F218C763922}"/>
            </c:ext>
          </c:extLst>
        </c:ser>
        <c:dLbls>
          <c:showLegendKey val="0"/>
          <c:showVal val="0"/>
          <c:showCatName val="0"/>
          <c:showSerName val="0"/>
          <c:showPercent val="0"/>
          <c:showBubbleSize val="0"/>
        </c:dLbls>
        <c:marker val="1"/>
        <c:smooth val="0"/>
        <c:axId val="-303978800"/>
        <c:axId val="-303979888"/>
      </c:lineChart>
      <c:dateAx>
        <c:axId val="-303967920"/>
        <c:scaling>
          <c:orientation val="minMax"/>
        </c:scaling>
        <c:delete val="0"/>
        <c:axPos val="b"/>
        <c:numFmt formatCode="mmm\-yy" sourceLinked="1"/>
        <c:majorTickMark val="in"/>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303969008"/>
        <c:crosses val="autoZero"/>
        <c:auto val="1"/>
        <c:lblOffset val="100"/>
        <c:baseTimeUnit val="months"/>
        <c:majorUnit val="3"/>
        <c:majorTimeUnit val="months"/>
      </c:dateAx>
      <c:valAx>
        <c:axId val="-303969008"/>
        <c:scaling>
          <c:orientation val="minMax"/>
          <c:max val="2500000"/>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Pesos</a:t>
                </a:r>
                <a:r>
                  <a:rPr lang="es-AR" sz="1100" b="0" baseline="0">
                    <a:solidFill>
                      <a:schemeClr val="tx1"/>
                    </a:solidFill>
                    <a:latin typeface="Arial Narrow" panose="020B0606020202030204" pitchFamily="34" charset="0"/>
                  </a:rPr>
                  <a:t> Sep 24</a:t>
                </a:r>
                <a:endParaRPr lang="es-AR" sz="1100" b="0">
                  <a:solidFill>
                    <a:schemeClr val="tx1"/>
                  </a:solidFill>
                  <a:latin typeface="Arial Narrow" panose="020B0606020202030204" pitchFamily="34" charset="0"/>
                </a:endParaRPr>
              </a:p>
            </c:rich>
          </c:tx>
          <c:layout>
            <c:manualLayout>
              <c:xMode val="edge"/>
              <c:yMode val="edge"/>
              <c:x val="7.1891835016835021E-3"/>
              <c:y val="0.3114351010101010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303967920"/>
        <c:crosses val="autoZero"/>
        <c:crossBetween val="between"/>
        <c:majorUnit val="500000"/>
        <c:minorUnit val="25000"/>
      </c:valAx>
      <c:valAx>
        <c:axId val="-303979888"/>
        <c:scaling>
          <c:orientation val="minMax"/>
          <c:max val="25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USD</a:t>
                </a:r>
              </a:p>
            </c:rich>
          </c:tx>
          <c:layout>
            <c:manualLayout>
              <c:xMode val="edge"/>
              <c:yMode val="edge"/>
              <c:x val="0.96926557239057243"/>
              <c:y val="0.3420626262626262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303978800"/>
        <c:crosses val="max"/>
        <c:crossBetween val="between"/>
      </c:valAx>
      <c:dateAx>
        <c:axId val="-303978800"/>
        <c:scaling>
          <c:orientation val="minMax"/>
        </c:scaling>
        <c:delete val="1"/>
        <c:axPos val="b"/>
        <c:numFmt formatCode="mmm\-yy" sourceLinked="1"/>
        <c:majorTickMark val="out"/>
        <c:minorTickMark val="none"/>
        <c:tickLblPos val="nextTo"/>
        <c:crossAx val="-303979888"/>
        <c:crosses val="autoZero"/>
        <c:auto val="1"/>
        <c:lblOffset val="100"/>
        <c:baseTimeUnit val="months"/>
      </c:dateAx>
      <c:spPr>
        <a:noFill/>
        <a:ln>
          <a:noFill/>
        </a:ln>
        <a:effectLst/>
      </c:spPr>
    </c:plotArea>
    <c:legend>
      <c:legendPos val="b"/>
      <c:layout>
        <c:manualLayout>
          <c:xMode val="edge"/>
          <c:yMode val="edge"/>
          <c:x val="0.19972327441077445"/>
          <c:y val="0.92197045454545457"/>
          <c:w val="0.60589846380471379"/>
          <c:h val="5.87871212121212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Style="combo" dx="22" fmlaLink="$K$6" fmlaRange="'Base Graf'!$BT$4:$BT$5" noThreeD="1" sel="1" val="0"/>
</file>

<file path=xl/ctrlProps/ctrlProp2.xml><?xml version="1.0" encoding="utf-8"?>
<formControlPr xmlns="http://schemas.microsoft.com/office/spreadsheetml/2009/9/main" objectType="Drop" dropStyle="combo" dx="22" fmlaLink="$K$25" fmlaRange="'Base Graf'!$BT$6:$BT$7" noThreeD="1" sel="1" val="0"/>
</file>

<file path=xl/ctrlProps/ctrlProp3.xml><?xml version="1.0" encoding="utf-8"?>
<formControlPr xmlns="http://schemas.microsoft.com/office/spreadsheetml/2009/9/main" objectType="Drop" dropStyle="combo" dx="22" fmlaLink="$K$44" fmlaRange="'Base Graf'!$BT$8:$BT$9" noThreeD="1" sel="2" val="0"/>
</file>

<file path=xl/ctrlProps/ctrlProp4.xml><?xml version="1.0" encoding="utf-8"?>
<formControlPr xmlns="http://schemas.microsoft.com/office/spreadsheetml/2009/9/main" objectType="Drop" dropStyle="combo" dx="22" fmlaLink="$K$64" fmlaRange="'Base Graf'!$BT$10:$BT$14" noThreeD="1" sel="2" val="0"/>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drawing3.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12.png"/><Relationship Id="rId7" Type="http://schemas.openxmlformats.org/officeDocument/2006/relationships/image" Target="../media/image16.png"/><Relationship Id="rId2" Type="http://schemas.openxmlformats.org/officeDocument/2006/relationships/image" Target="../media/image11.png"/><Relationship Id="rId1" Type="http://schemas.openxmlformats.org/officeDocument/2006/relationships/image" Target="../media/image10.png"/><Relationship Id="rId6" Type="http://schemas.openxmlformats.org/officeDocument/2006/relationships/image" Target="../media/image15.png"/><Relationship Id="rId5" Type="http://schemas.openxmlformats.org/officeDocument/2006/relationships/image" Target="../media/image14.png"/><Relationship Id="rId4" Type="http://schemas.openxmlformats.org/officeDocument/2006/relationships/image" Target="../media/image1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65</xdr:col>
      <xdr:colOff>238125</xdr:colOff>
      <xdr:row>38</xdr:row>
      <xdr:rowOff>38099</xdr:rowOff>
    </xdr:from>
    <xdr:to>
      <xdr:col>65</xdr:col>
      <xdr:colOff>5800125</xdr:colOff>
      <xdr:row>53</xdr:row>
      <xdr:rowOff>172199</xdr:rowOff>
    </xdr:to>
    <xdr:graphicFrame macro="">
      <xdr:nvGraphicFramePr>
        <xdr:cNvPr id="4" name="Gráfico 3">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65</xdr:col>
      <xdr:colOff>238125</xdr:colOff>
      <xdr:row>56</xdr:row>
      <xdr:rowOff>66675</xdr:rowOff>
    </xdr:from>
    <xdr:to>
      <xdr:col>65</xdr:col>
      <xdr:colOff>5800125</xdr:colOff>
      <xdr:row>72</xdr:row>
      <xdr:rowOff>10275</xdr:rowOff>
    </xdr:to>
    <xdr:graphicFrame macro="">
      <xdr:nvGraphicFramePr>
        <xdr:cNvPr id="5" name="Gráfico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65</xdr:col>
      <xdr:colOff>228600</xdr:colOff>
      <xdr:row>92</xdr:row>
      <xdr:rowOff>123825</xdr:rowOff>
    </xdr:from>
    <xdr:to>
      <xdr:col>65</xdr:col>
      <xdr:colOff>5790600</xdr:colOff>
      <xdr:row>108</xdr:row>
      <xdr:rowOff>67425</xdr:rowOff>
    </xdr:to>
    <xdr:graphicFrame macro="">
      <xdr:nvGraphicFramePr>
        <xdr:cNvPr id="13" name="Gráfico 12">
          <a:extLst>
            <a:ext uri="{FF2B5EF4-FFF2-40B4-BE49-F238E27FC236}">
              <a16:creationId xmlns:a16="http://schemas.microsoft.com/office/drawing/2014/main" id="{00000000-0008-0000-08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65</xdr:col>
      <xdr:colOff>209550</xdr:colOff>
      <xdr:row>110</xdr:row>
      <xdr:rowOff>161925</xdr:rowOff>
    </xdr:from>
    <xdr:to>
      <xdr:col>65</xdr:col>
      <xdr:colOff>5771550</xdr:colOff>
      <xdr:row>126</xdr:row>
      <xdr:rowOff>105525</xdr:rowOff>
    </xdr:to>
    <xdr:graphicFrame macro="">
      <xdr:nvGraphicFramePr>
        <xdr:cNvPr id="14" name="Gráfico 13">
          <a:extLst>
            <a:ext uri="{FF2B5EF4-FFF2-40B4-BE49-F238E27FC236}">
              <a16:creationId xmlns:a16="http://schemas.microsoft.com/office/drawing/2014/main" id="{00000000-0008-0000-08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65</xdr:col>
      <xdr:colOff>219075</xdr:colOff>
      <xdr:row>147</xdr:row>
      <xdr:rowOff>161925</xdr:rowOff>
    </xdr:from>
    <xdr:to>
      <xdr:col>65</xdr:col>
      <xdr:colOff>5781075</xdr:colOff>
      <xdr:row>163</xdr:row>
      <xdr:rowOff>105525</xdr:rowOff>
    </xdr:to>
    <xdr:graphicFrame macro="">
      <xdr:nvGraphicFramePr>
        <xdr:cNvPr id="7" name="Gráfico 6">
          <a:extLst>
            <a:ext uri="{FF2B5EF4-FFF2-40B4-BE49-F238E27FC236}">
              <a16:creationId xmlns:a16="http://schemas.microsoft.com/office/drawing/2014/main" id="{00000000-0008-0000-08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65</xdr:col>
      <xdr:colOff>209550</xdr:colOff>
      <xdr:row>166</xdr:row>
      <xdr:rowOff>104775</xdr:rowOff>
    </xdr:from>
    <xdr:to>
      <xdr:col>65</xdr:col>
      <xdr:colOff>5771550</xdr:colOff>
      <xdr:row>182</xdr:row>
      <xdr:rowOff>48375</xdr:rowOff>
    </xdr:to>
    <xdr:graphicFrame macro="">
      <xdr:nvGraphicFramePr>
        <xdr:cNvPr id="12" name="Gráfico 11">
          <a:extLst>
            <a:ext uri="{FF2B5EF4-FFF2-40B4-BE49-F238E27FC236}">
              <a16:creationId xmlns:a16="http://schemas.microsoft.com/office/drawing/2014/main" id="{00000000-0008-0000-08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65</xdr:col>
      <xdr:colOff>184897</xdr:colOff>
      <xdr:row>1</xdr:row>
      <xdr:rowOff>124384</xdr:rowOff>
    </xdr:from>
    <xdr:to>
      <xdr:col>66</xdr:col>
      <xdr:colOff>22412</xdr:colOff>
      <xdr:row>18</xdr:row>
      <xdr:rowOff>168088</xdr:rowOff>
    </xdr:to>
    <xdr:graphicFrame macro="">
      <xdr:nvGraphicFramePr>
        <xdr:cNvPr id="6" name="Gráfico 5">
          <a:extLst>
            <a:ext uri="{FF2B5EF4-FFF2-40B4-BE49-F238E27FC236}">
              <a16:creationId xmlns:a16="http://schemas.microsoft.com/office/drawing/2014/main" id="{00000000-0008-0000-08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65</xdr:col>
      <xdr:colOff>212912</xdr:colOff>
      <xdr:row>18</xdr:row>
      <xdr:rowOff>78441</xdr:rowOff>
    </xdr:from>
    <xdr:to>
      <xdr:col>66</xdr:col>
      <xdr:colOff>733986</xdr:colOff>
      <xdr:row>35</xdr:row>
      <xdr:rowOff>112059</xdr:rowOff>
    </xdr:to>
    <xdr:graphicFrame macro="">
      <xdr:nvGraphicFramePr>
        <xdr:cNvPr id="8" name="Gráfico 7">
          <a:extLst>
            <a:ext uri="{FF2B5EF4-FFF2-40B4-BE49-F238E27FC236}">
              <a16:creationId xmlns:a16="http://schemas.microsoft.com/office/drawing/2014/main" id="{00000000-0008-0000-08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752475</xdr:colOff>
          <xdr:row>4</xdr:row>
          <xdr:rowOff>9525</xdr:rowOff>
        </xdr:from>
        <xdr:to>
          <xdr:col>5</xdr:col>
          <xdr:colOff>581025</xdr:colOff>
          <xdr:row>5</xdr:row>
          <xdr:rowOff>180975</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xdr:row>
          <xdr:rowOff>133350</xdr:rowOff>
        </xdr:from>
        <xdr:to>
          <xdr:col>14</xdr:col>
          <xdr:colOff>504825</xdr:colOff>
          <xdr:row>19</xdr:row>
          <xdr:rowOff>142875</xdr:rowOff>
        </xdr:to>
        <xdr:pic>
          <xdr:nvPicPr>
            <xdr:cNvPr id="3" name="Imagen 2">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grafcomp" spid="_x0000_s66255"/>
                </a:ext>
              </a:extLst>
            </xdr:cNvPicPr>
          </xdr:nvPicPr>
          <xdr:blipFill>
            <a:blip xmlns:r="http://schemas.openxmlformats.org/officeDocument/2006/relationships" r:embed="rId1"/>
            <a:srcRect/>
            <a:stretch>
              <a:fillRect/>
            </a:stretch>
          </xdr:blipFill>
          <xdr:spPr bwMode="auto">
            <a:xfrm>
              <a:off x="5105400" y="5143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23</xdr:row>
          <xdr:rowOff>19050</xdr:rowOff>
        </xdr:from>
        <xdr:to>
          <xdr:col>5</xdr:col>
          <xdr:colOff>581025</xdr:colOff>
          <xdr:row>24</xdr:row>
          <xdr:rowOff>190500</xdr:rowOff>
        </xdr:to>
        <xdr:sp macro="" textlink="">
          <xdr:nvSpPr>
            <xdr:cNvPr id="12291" name="Drop Down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22</xdr:row>
          <xdr:rowOff>57150</xdr:rowOff>
        </xdr:from>
        <xdr:to>
          <xdr:col>14</xdr:col>
          <xdr:colOff>495300</xdr:colOff>
          <xdr:row>39</xdr:row>
          <xdr:rowOff>66675</xdr:rowOff>
        </xdr:to>
        <xdr:pic>
          <xdr:nvPicPr>
            <xdr:cNvPr id="5" name="Imagen 4">
              <a:extLst>
                <a:ext uri="{FF2B5EF4-FFF2-40B4-BE49-F238E27FC236}">
                  <a16:creationId xmlns:a16="http://schemas.microsoft.com/office/drawing/2014/main" id="{00000000-0008-0000-0200-000005000000}"/>
                </a:ext>
              </a:extLst>
            </xdr:cNvPr>
            <xdr:cNvPicPr>
              <a:picLocks noChangeAspect="1" noChangeArrowheads="1"/>
              <a:extLst>
                <a:ext uri="{84589F7E-364E-4C9E-8A38-B11213B215E9}">
                  <a14:cameraTool cellRange="grafvto" spid="_x0000_s66256"/>
                </a:ext>
              </a:extLst>
            </xdr:cNvPicPr>
          </xdr:nvPicPr>
          <xdr:blipFill>
            <a:blip xmlns:r="http://schemas.openxmlformats.org/officeDocument/2006/relationships" r:embed="rId2"/>
            <a:srcRect/>
            <a:stretch>
              <a:fillRect/>
            </a:stretch>
          </xdr:blipFill>
          <xdr:spPr bwMode="auto">
            <a:xfrm>
              <a:off x="6619875" y="42481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41</xdr:row>
          <xdr:rowOff>114300</xdr:rowOff>
        </xdr:from>
        <xdr:to>
          <xdr:col>5</xdr:col>
          <xdr:colOff>581025</xdr:colOff>
          <xdr:row>43</xdr:row>
          <xdr:rowOff>95250</xdr:rowOff>
        </xdr:to>
        <xdr:sp macro="" textlink="">
          <xdr:nvSpPr>
            <xdr:cNvPr id="12295" name="Drop Down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40</xdr:row>
          <xdr:rowOff>171450</xdr:rowOff>
        </xdr:from>
        <xdr:to>
          <xdr:col>14</xdr:col>
          <xdr:colOff>504825</xdr:colOff>
          <xdr:row>57</xdr:row>
          <xdr:rowOff>180975</xdr:rowOff>
        </xdr:to>
        <xdr:pic>
          <xdr:nvPicPr>
            <xdr:cNvPr id="8" name="Imagen 7">
              <a:extLst>
                <a:ext uri="{FF2B5EF4-FFF2-40B4-BE49-F238E27FC236}">
                  <a16:creationId xmlns:a16="http://schemas.microsoft.com/office/drawing/2014/main" id="{00000000-0008-0000-0200-000008000000}"/>
                </a:ext>
              </a:extLst>
            </xdr:cNvPr>
            <xdr:cNvPicPr>
              <a:picLocks noChangeAspect="1" noChangeArrowheads="1"/>
              <a:extLst>
                <a:ext uri="{84589F7E-364E-4C9E-8A38-B11213B215E9}">
                  <a14:cameraTool cellRange="grafserv" spid="_x0000_s66257"/>
                </a:ext>
              </a:extLst>
            </xdr:cNvPicPr>
          </xdr:nvPicPr>
          <xdr:blipFill>
            <a:blip xmlns:r="http://schemas.openxmlformats.org/officeDocument/2006/relationships" r:embed="rId3"/>
            <a:srcRect/>
            <a:stretch>
              <a:fillRect/>
            </a:stretch>
          </xdr:blipFill>
          <xdr:spPr bwMode="auto">
            <a:xfrm>
              <a:off x="6629400" y="77914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61</xdr:row>
          <xdr:rowOff>38100</xdr:rowOff>
        </xdr:from>
        <xdr:to>
          <xdr:col>5</xdr:col>
          <xdr:colOff>476250</xdr:colOff>
          <xdr:row>63</xdr:row>
          <xdr:rowOff>19050</xdr:rowOff>
        </xdr:to>
        <xdr:sp macro="" textlink="">
          <xdr:nvSpPr>
            <xdr:cNvPr id="12301" name="Drop Down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60</xdr:row>
          <xdr:rowOff>0</xdr:rowOff>
        </xdr:from>
        <xdr:to>
          <xdr:col>14</xdr:col>
          <xdr:colOff>495300</xdr:colOff>
          <xdr:row>77</xdr:row>
          <xdr:rowOff>9525</xdr:rowOff>
        </xdr:to>
        <xdr:pic>
          <xdr:nvPicPr>
            <xdr:cNvPr id="10" name="Imagen 9">
              <a:extLst>
                <a:ext uri="{FF2B5EF4-FFF2-40B4-BE49-F238E27FC236}">
                  <a16:creationId xmlns:a16="http://schemas.microsoft.com/office/drawing/2014/main" id="{00000000-0008-0000-0200-00000A000000}"/>
                </a:ext>
              </a:extLst>
            </xdr:cNvPr>
            <xdr:cNvPicPr>
              <a:picLocks noChangeAspect="1" noChangeArrowheads="1"/>
              <a:extLst>
                <a:ext uri="{84589F7E-364E-4C9E-8A38-B11213B215E9}">
                  <a14:cameraTool cellRange="grafacreedor" spid="_x0000_s66258"/>
                </a:ext>
              </a:extLst>
            </xdr:cNvPicPr>
          </xdr:nvPicPr>
          <xdr:blipFill>
            <a:blip xmlns:r="http://schemas.openxmlformats.org/officeDocument/2006/relationships" r:embed="rId4"/>
            <a:srcRect/>
            <a:stretch>
              <a:fillRect/>
            </a:stretch>
          </xdr:blipFill>
          <xdr:spPr bwMode="auto">
            <a:xfrm>
              <a:off x="6619875" y="1143000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xdr:colOff>
      <xdr:row>5</xdr:row>
      <xdr:rowOff>0</xdr:rowOff>
    </xdr:from>
    <xdr:to>
      <xdr:col>7</xdr:col>
      <xdr:colOff>19051</xdr:colOff>
      <xdr:row>22</xdr:row>
      <xdr:rowOff>123747</xdr:rowOff>
    </xdr:to>
    <xdr:pic>
      <xdr:nvPicPr>
        <xdr:cNvPr id="5" name="Imagen 4">
          <a:extLst>
            <a:ext uri="{FF2B5EF4-FFF2-40B4-BE49-F238E27FC236}">
              <a16:creationId xmlns:a16="http://schemas.microsoft.com/office/drawing/2014/main" id="{6CD62927-832E-967A-9244-B30EE9E38081}"/>
            </a:ext>
          </a:extLst>
        </xdr:cNvPr>
        <xdr:cNvPicPr>
          <a:picLocks noChangeAspect="1"/>
        </xdr:cNvPicPr>
      </xdr:nvPicPr>
      <xdr:blipFill>
        <a:blip xmlns:r="http://schemas.openxmlformats.org/officeDocument/2006/relationships" r:embed="rId1"/>
        <a:stretch>
          <a:fillRect/>
        </a:stretch>
      </xdr:blipFill>
      <xdr:spPr>
        <a:xfrm>
          <a:off x="1" y="1152525"/>
          <a:ext cx="5353050" cy="3362247"/>
        </a:xfrm>
        <a:prstGeom prst="rect">
          <a:avLst/>
        </a:prstGeom>
      </xdr:spPr>
    </xdr:pic>
    <xdr:clientData/>
  </xdr:twoCellAnchor>
  <xdr:twoCellAnchor editAs="oneCell">
    <xdr:from>
      <xdr:col>8</xdr:col>
      <xdr:colOff>0</xdr:colOff>
      <xdr:row>5</xdr:row>
      <xdr:rowOff>0</xdr:rowOff>
    </xdr:from>
    <xdr:to>
      <xdr:col>16</xdr:col>
      <xdr:colOff>488251</xdr:colOff>
      <xdr:row>22</xdr:row>
      <xdr:rowOff>90204</xdr:rowOff>
    </xdr:to>
    <xdr:pic>
      <xdr:nvPicPr>
        <xdr:cNvPr id="9" name="Imagen 8">
          <a:extLst>
            <a:ext uri="{FF2B5EF4-FFF2-40B4-BE49-F238E27FC236}">
              <a16:creationId xmlns:a16="http://schemas.microsoft.com/office/drawing/2014/main" id="{DBCD6774-B640-9BB5-874A-2DEC1471E0D3}"/>
            </a:ext>
          </a:extLst>
        </xdr:cNvPr>
        <xdr:cNvPicPr>
          <a:picLocks noChangeAspect="1"/>
        </xdr:cNvPicPr>
      </xdr:nvPicPr>
      <xdr:blipFill>
        <a:blip xmlns:r="http://schemas.openxmlformats.org/officeDocument/2006/relationships" r:embed="rId2"/>
        <a:stretch>
          <a:fillRect/>
        </a:stretch>
      </xdr:blipFill>
      <xdr:spPr>
        <a:xfrm>
          <a:off x="6096000" y="1152525"/>
          <a:ext cx="6584251" cy="3328704"/>
        </a:xfrm>
        <a:prstGeom prst="rect">
          <a:avLst/>
        </a:prstGeom>
      </xdr:spPr>
    </xdr:pic>
    <xdr:clientData/>
  </xdr:twoCellAnchor>
  <xdr:twoCellAnchor editAs="oneCell">
    <xdr:from>
      <xdr:col>0</xdr:col>
      <xdr:colOff>0</xdr:colOff>
      <xdr:row>26</xdr:row>
      <xdr:rowOff>0</xdr:rowOff>
    </xdr:from>
    <xdr:to>
      <xdr:col>7</xdr:col>
      <xdr:colOff>226034</xdr:colOff>
      <xdr:row>42</xdr:row>
      <xdr:rowOff>264</xdr:rowOff>
    </xdr:to>
    <xdr:pic>
      <xdr:nvPicPr>
        <xdr:cNvPr id="10" name="Imagen 9">
          <a:extLst>
            <a:ext uri="{FF2B5EF4-FFF2-40B4-BE49-F238E27FC236}">
              <a16:creationId xmlns:a16="http://schemas.microsoft.com/office/drawing/2014/main" id="{7D21AEB2-E0BE-09FA-3B36-DFD69B585A5C}"/>
            </a:ext>
          </a:extLst>
        </xdr:cNvPr>
        <xdr:cNvPicPr>
          <a:picLocks noChangeAspect="1"/>
        </xdr:cNvPicPr>
      </xdr:nvPicPr>
      <xdr:blipFill>
        <a:blip xmlns:r="http://schemas.openxmlformats.org/officeDocument/2006/relationships" r:embed="rId3"/>
        <a:stretch>
          <a:fillRect/>
        </a:stretch>
      </xdr:blipFill>
      <xdr:spPr>
        <a:xfrm>
          <a:off x="0" y="5200650"/>
          <a:ext cx="5560034" cy="3048264"/>
        </a:xfrm>
        <a:prstGeom prst="rect">
          <a:avLst/>
        </a:prstGeom>
      </xdr:spPr>
    </xdr:pic>
    <xdr:clientData/>
  </xdr:twoCellAnchor>
  <xdr:twoCellAnchor editAs="oneCell">
    <xdr:from>
      <xdr:col>8</xdr:col>
      <xdr:colOff>0</xdr:colOff>
      <xdr:row>26</xdr:row>
      <xdr:rowOff>0</xdr:rowOff>
    </xdr:from>
    <xdr:to>
      <xdr:col>15</xdr:col>
      <xdr:colOff>226034</xdr:colOff>
      <xdr:row>42</xdr:row>
      <xdr:rowOff>264</xdr:rowOff>
    </xdr:to>
    <xdr:pic>
      <xdr:nvPicPr>
        <xdr:cNvPr id="13" name="Imagen 12">
          <a:extLst>
            <a:ext uri="{FF2B5EF4-FFF2-40B4-BE49-F238E27FC236}">
              <a16:creationId xmlns:a16="http://schemas.microsoft.com/office/drawing/2014/main" id="{687B01D9-9EEB-D2CF-693B-4C9C337751A9}"/>
            </a:ext>
          </a:extLst>
        </xdr:cNvPr>
        <xdr:cNvPicPr>
          <a:picLocks noChangeAspect="1"/>
        </xdr:cNvPicPr>
      </xdr:nvPicPr>
      <xdr:blipFill>
        <a:blip xmlns:r="http://schemas.openxmlformats.org/officeDocument/2006/relationships" r:embed="rId4"/>
        <a:stretch>
          <a:fillRect/>
        </a:stretch>
      </xdr:blipFill>
      <xdr:spPr>
        <a:xfrm>
          <a:off x="6096000" y="5200650"/>
          <a:ext cx="5560034" cy="3048264"/>
        </a:xfrm>
        <a:prstGeom prst="rect">
          <a:avLst/>
        </a:prstGeom>
      </xdr:spPr>
    </xdr:pic>
    <xdr:clientData/>
  </xdr:twoCellAnchor>
  <xdr:twoCellAnchor editAs="oneCell">
    <xdr:from>
      <xdr:col>0</xdr:col>
      <xdr:colOff>0</xdr:colOff>
      <xdr:row>46</xdr:row>
      <xdr:rowOff>0</xdr:rowOff>
    </xdr:from>
    <xdr:to>
      <xdr:col>7</xdr:col>
      <xdr:colOff>226034</xdr:colOff>
      <xdr:row>62</xdr:row>
      <xdr:rowOff>30747</xdr:rowOff>
    </xdr:to>
    <xdr:pic>
      <xdr:nvPicPr>
        <xdr:cNvPr id="14" name="Imagen 13">
          <a:extLst>
            <a:ext uri="{FF2B5EF4-FFF2-40B4-BE49-F238E27FC236}">
              <a16:creationId xmlns:a16="http://schemas.microsoft.com/office/drawing/2014/main" id="{8B5385B6-AEA5-AC9F-9CEE-8400FEA1CE1F}"/>
            </a:ext>
          </a:extLst>
        </xdr:cNvPr>
        <xdr:cNvPicPr>
          <a:picLocks noChangeAspect="1"/>
        </xdr:cNvPicPr>
      </xdr:nvPicPr>
      <xdr:blipFill>
        <a:blip xmlns:r="http://schemas.openxmlformats.org/officeDocument/2006/relationships" r:embed="rId5"/>
        <a:stretch>
          <a:fillRect/>
        </a:stretch>
      </xdr:blipFill>
      <xdr:spPr>
        <a:xfrm>
          <a:off x="0" y="9058275"/>
          <a:ext cx="5560034" cy="3078747"/>
        </a:xfrm>
        <a:prstGeom prst="rect">
          <a:avLst/>
        </a:prstGeom>
      </xdr:spPr>
    </xdr:pic>
    <xdr:clientData/>
  </xdr:twoCellAnchor>
  <xdr:twoCellAnchor editAs="oneCell">
    <xdr:from>
      <xdr:col>8</xdr:col>
      <xdr:colOff>0</xdr:colOff>
      <xdr:row>46</xdr:row>
      <xdr:rowOff>0</xdr:rowOff>
    </xdr:from>
    <xdr:to>
      <xdr:col>15</xdr:col>
      <xdr:colOff>226034</xdr:colOff>
      <xdr:row>62</xdr:row>
      <xdr:rowOff>264</xdr:rowOff>
    </xdr:to>
    <xdr:pic>
      <xdr:nvPicPr>
        <xdr:cNvPr id="15" name="Imagen 14">
          <a:extLst>
            <a:ext uri="{FF2B5EF4-FFF2-40B4-BE49-F238E27FC236}">
              <a16:creationId xmlns:a16="http://schemas.microsoft.com/office/drawing/2014/main" id="{C164D432-4BBF-F5E7-331C-4554D4275C7B}"/>
            </a:ext>
          </a:extLst>
        </xdr:cNvPr>
        <xdr:cNvPicPr>
          <a:picLocks noChangeAspect="1"/>
        </xdr:cNvPicPr>
      </xdr:nvPicPr>
      <xdr:blipFill>
        <a:blip xmlns:r="http://schemas.openxmlformats.org/officeDocument/2006/relationships" r:embed="rId6"/>
        <a:stretch>
          <a:fillRect/>
        </a:stretch>
      </xdr:blipFill>
      <xdr:spPr>
        <a:xfrm>
          <a:off x="6096000" y="9058275"/>
          <a:ext cx="5560034" cy="3048264"/>
        </a:xfrm>
        <a:prstGeom prst="rect">
          <a:avLst/>
        </a:prstGeom>
      </xdr:spPr>
    </xdr:pic>
    <xdr:clientData/>
  </xdr:twoCellAnchor>
  <xdr:twoCellAnchor editAs="oneCell">
    <xdr:from>
      <xdr:col>0</xdr:col>
      <xdr:colOff>0</xdr:colOff>
      <xdr:row>67</xdr:row>
      <xdr:rowOff>0</xdr:rowOff>
    </xdr:from>
    <xdr:to>
      <xdr:col>7</xdr:col>
      <xdr:colOff>232130</xdr:colOff>
      <xdr:row>83</xdr:row>
      <xdr:rowOff>264</xdr:rowOff>
    </xdr:to>
    <xdr:pic>
      <xdr:nvPicPr>
        <xdr:cNvPr id="18" name="Imagen 17">
          <a:extLst>
            <a:ext uri="{FF2B5EF4-FFF2-40B4-BE49-F238E27FC236}">
              <a16:creationId xmlns:a16="http://schemas.microsoft.com/office/drawing/2014/main" id="{421B8F0A-BA1D-2422-5DE0-FD99266882AA}"/>
            </a:ext>
          </a:extLst>
        </xdr:cNvPr>
        <xdr:cNvPicPr>
          <a:picLocks noChangeAspect="1"/>
        </xdr:cNvPicPr>
      </xdr:nvPicPr>
      <xdr:blipFill>
        <a:blip xmlns:r="http://schemas.openxmlformats.org/officeDocument/2006/relationships" r:embed="rId7"/>
        <a:stretch>
          <a:fillRect/>
        </a:stretch>
      </xdr:blipFill>
      <xdr:spPr>
        <a:xfrm>
          <a:off x="0" y="13106400"/>
          <a:ext cx="5566130" cy="3048264"/>
        </a:xfrm>
        <a:prstGeom prst="rect">
          <a:avLst/>
        </a:prstGeom>
      </xdr:spPr>
    </xdr:pic>
    <xdr:clientData/>
  </xdr:twoCellAnchor>
  <xdr:twoCellAnchor editAs="oneCell">
    <xdr:from>
      <xdr:col>8</xdr:col>
      <xdr:colOff>0</xdr:colOff>
      <xdr:row>67</xdr:row>
      <xdr:rowOff>0</xdr:rowOff>
    </xdr:from>
    <xdr:to>
      <xdr:col>15</xdr:col>
      <xdr:colOff>226034</xdr:colOff>
      <xdr:row>83</xdr:row>
      <xdr:rowOff>264</xdr:rowOff>
    </xdr:to>
    <xdr:pic>
      <xdr:nvPicPr>
        <xdr:cNvPr id="20" name="Imagen 19">
          <a:extLst>
            <a:ext uri="{FF2B5EF4-FFF2-40B4-BE49-F238E27FC236}">
              <a16:creationId xmlns:a16="http://schemas.microsoft.com/office/drawing/2014/main" id="{9FAF8247-2613-4182-4974-C3BEB6EA749B}"/>
            </a:ext>
          </a:extLst>
        </xdr:cNvPr>
        <xdr:cNvPicPr>
          <a:picLocks noChangeAspect="1"/>
        </xdr:cNvPicPr>
      </xdr:nvPicPr>
      <xdr:blipFill>
        <a:blip xmlns:r="http://schemas.openxmlformats.org/officeDocument/2006/relationships" r:embed="rId8"/>
        <a:stretch>
          <a:fillRect/>
        </a:stretch>
      </xdr:blipFill>
      <xdr:spPr>
        <a:xfrm>
          <a:off x="6096000" y="13106400"/>
          <a:ext cx="5560034" cy="30482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304800</xdr:colOff>
      <xdr:row>18</xdr:row>
      <xdr:rowOff>119061</xdr:rowOff>
    </xdr:from>
    <xdr:to>
      <xdr:col>10</xdr:col>
      <xdr:colOff>121875</xdr:colOff>
      <xdr:row>37</xdr:row>
      <xdr:rowOff>92849</xdr:rowOff>
    </xdr:to>
    <xdr:graphicFrame macro="">
      <xdr:nvGraphicFramePr>
        <xdr:cNvPr id="3" name="Gráfico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cfp01\direccion\DNCFP\Recursos\Proyrena\Anual\2002\Alt4_Proy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 val="Alt4_Proy2002"/>
      <sheetName val="Fto__a_partir_del_impuesto4"/>
      <sheetName val="COP_FED2"/>
      <sheetName val="22_PCIAS2"/>
      <sheetName val="Tesoro_Nacional2"/>
      <sheetName val="Fondo_ATN2"/>
      <sheetName val="Coop__Eléct_2"/>
      <sheetName val="C_F_E_E_2"/>
      <sheetName val="Fto__a_partir_del_impuesto5"/>
      <sheetName val="[Alt4_Proy2002_x䕬䍘䱅䔮"/>
      <sheetName val="Stock 30-06-19"/>
      <sheetName val="Stock 31-12-18"/>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7" Type="http://schemas.openxmlformats.org/officeDocument/2006/relationships/ctrlProp" Target="../ctrlProps/ctrlProp4.xml"/><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R144"/>
  <sheetViews>
    <sheetView showGridLines="0" tabSelected="1" zoomScale="83" zoomScaleNormal="83" workbookViewId="0">
      <pane xSplit="3" topLeftCell="D1" activePane="topRight" state="frozen"/>
      <selection activeCell="F1" sqref="F1:F1048576"/>
      <selection pane="topRight"/>
    </sheetView>
  </sheetViews>
  <sheetFormatPr baseColWidth="10" defaultRowHeight="16.5" x14ac:dyDescent="0.3"/>
  <cols>
    <col min="1" max="1" width="5.28515625" style="16" customWidth="1"/>
    <col min="2" max="2" width="46.140625" customWidth="1"/>
    <col min="3" max="3" width="12.85546875" customWidth="1"/>
    <col min="4" max="4" width="15.140625" customWidth="1"/>
    <col min="5" max="5" width="23.140625" customWidth="1"/>
    <col min="6" max="6" width="23" style="137" customWidth="1"/>
    <col min="7" max="7" width="15.85546875" customWidth="1"/>
    <col min="8" max="8" width="23.28515625" customWidth="1"/>
    <col min="9" max="9" width="16.7109375" customWidth="1"/>
    <col min="10" max="10" width="20.140625" customWidth="1"/>
    <col min="11" max="13" width="16.7109375" customWidth="1"/>
    <col min="14" max="14" width="22" customWidth="1"/>
    <col min="15" max="19" width="16.7109375" customWidth="1"/>
    <col min="20" max="20" width="18.85546875" bestFit="1" customWidth="1"/>
    <col min="21" max="96" width="16.7109375" customWidth="1"/>
  </cols>
  <sheetData>
    <row r="2" spans="1:82" ht="20.25" x14ac:dyDescent="0.3">
      <c r="B2" s="259" t="s">
        <v>45</v>
      </c>
      <c r="C2" s="259"/>
      <c r="D2" s="259"/>
      <c r="E2" s="259"/>
      <c r="F2" s="259"/>
      <c r="G2" s="259"/>
      <c r="H2" s="259"/>
      <c r="I2" s="259"/>
      <c r="J2" s="259"/>
      <c r="K2" s="259"/>
      <c r="L2" s="259"/>
      <c r="M2" s="259"/>
      <c r="N2" s="259"/>
      <c r="O2" s="259"/>
      <c r="P2" s="259"/>
      <c r="Q2" s="259"/>
      <c r="R2" s="259"/>
      <c r="S2" s="259"/>
      <c r="T2" s="259"/>
      <c r="U2" s="259"/>
    </row>
    <row r="3" spans="1:82" ht="20.25" x14ac:dyDescent="0.3">
      <c r="B3" s="166" t="s">
        <v>44</v>
      </c>
      <c r="C3" s="7"/>
      <c r="D3" s="7"/>
      <c r="E3" s="7"/>
      <c r="F3" s="134"/>
      <c r="G3" s="7"/>
      <c r="H3" s="7"/>
      <c r="I3" s="7"/>
      <c r="J3" s="7"/>
      <c r="K3" s="7"/>
      <c r="L3" s="7"/>
      <c r="M3" s="7"/>
      <c r="N3" s="7"/>
      <c r="O3" s="7"/>
      <c r="P3" s="7"/>
      <c r="Q3" s="7"/>
      <c r="R3" s="7"/>
      <c r="S3" s="7"/>
      <c r="T3" s="7"/>
      <c r="U3" s="7"/>
    </row>
    <row r="4" spans="1:82" ht="17.25" x14ac:dyDescent="0.3">
      <c r="B4" s="166" t="s">
        <v>46</v>
      </c>
      <c r="C4" s="2"/>
      <c r="D4" s="2"/>
      <c r="E4" s="2"/>
      <c r="F4" s="135"/>
      <c r="G4" s="2"/>
      <c r="H4" s="2"/>
      <c r="I4" s="2"/>
      <c r="J4" s="2"/>
      <c r="K4" s="2"/>
      <c r="L4" s="2"/>
      <c r="M4" s="2"/>
      <c r="N4" s="2"/>
      <c r="O4" s="2"/>
      <c r="P4" s="2"/>
      <c r="Q4" s="2"/>
      <c r="R4" s="1"/>
    </row>
    <row r="5" spans="1:82" ht="17.25" x14ac:dyDescent="0.3">
      <c r="B5" s="5"/>
      <c r="C5" s="2"/>
      <c r="D5" s="2"/>
      <c r="E5" s="2"/>
      <c r="F5" s="135"/>
      <c r="G5" s="2"/>
      <c r="H5" s="2"/>
      <c r="I5" s="2"/>
      <c r="J5" s="2"/>
      <c r="K5" s="2"/>
      <c r="L5" s="2"/>
      <c r="M5" s="2"/>
      <c r="N5" s="2"/>
      <c r="O5" s="2"/>
      <c r="P5" s="2"/>
      <c r="Q5" s="2"/>
      <c r="R5" s="1"/>
    </row>
    <row r="6" spans="1:82" ht="30" customHeight="1" x14ac:dyDescent="0.3">
      <c r="B6" s="260" t="s">
        <v>0</v>
      </c>
      <c r="C6" s="260" t="s">
        <v>1</v>
      </c>
      <c r="D6" s="261" t="s">
        <v>131</v>
      </c>
      <c r="E6" s="265" t="s">
        <v>95</v>
      </c>
      <c r="F6" s="267" t="s">
        <v>96</v>
      </c>
      <c r="G6" s="260" t="s">
        <v>47</v>
      </c>
      <c r="H6" s="262" t="s">
        <v>53</v>
      </c>
      <c r="I6" s="262" t="s">
        <v>52</v>
      </c>
      <c r="J6" s="260" t="s">
        <v>51</v>
      </c>
      <c r="K6" s="262" t="s">
        <v>54</v>
      </c>
      <c r="L6" s="262" t="s">
        <v>55</v>
      </c>
      <c r="M6" s="262" t="s">
        <v>56</v>
      </c>
      <c r="N6" s="262" t="s">
        <v>57</v>
      </c>
      <c r="O6" s="2"/>
      <c r="P6" s="2"/>
      <c r="Q6" s="2"/>
      <c r="R6" s="1"/>
    </row>
    <row r="7" spans="1:82" ht="32.25" customHeight="1" x14ac:dyDescent="0.3">
      <c r="B7" s="260"/>
      <c r="C7" s="260"/>
      <c r="D7" s="261"/>
      <c r="E7" s="266"/>
      <c r="F7" s="268"/>
      <c r="G7" s="260"/>
      <c r="H7" s="263"/>
      <c r="I7" s="263"/>
      <c r="J7" s="260"/>
      <c r="K7" s="263"/>
      <c r="L7" s="263"/>
      <c r="M7" s="263"/>
      <c r="N7" s="263"/>
      <c r="P7" s="180">
        <v>2024</v>
      </c>
      <c r="Q7" s="180">
        <v>2024</v>
      </c>
      <c r="R7" s="180">
        <v>2025</v>
      </c>
      <c r="S7" s="180">
        <v>2025</v>
      </c>
      <c r="T7" s="180">
        <v>2026</v>
      </c>
      <c r="U7" s="180">
        <v>2026</v>
      </c>
      <c r="V7" s="180">
        <v>2027</v>
      </c>
      <c r="W7" s="180">
        <v>2027</v>
      </c>
      <c r="X7" s="180">
        <v>2028</v>
      </c>
      <c r="Y7" s="180">
        <v>2028</v>
      </c>
      <c r="Z7" s="180">
        <v>2029</v>
      </c>
      <c r="AA7" s="180">
        <v>2029</v>
      </c>
      <c r="AB7" s="181" t="s">
        <v>172</v>
      </c>
      <c r="AC7" s="181" t="s">
        <v>172</v>
      </c>
      <c r="AD7" s="103"/>
      <c r="AG7" s="104"/>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3"/>
      <c r="BV7" s="103"/>
      <c r="BW7" s="103"/>
      <c r="BX7" s="103"/>
      <c r="BY7" s="103"/>
      <c r="BZ7" s="103"/>
      <c r="CA7" s="103"/>
      <c r="CB7" s="103"/>
      <c r="CC7" s="103"/>
      <c r="CD7" s="103"/>
    </row>
    <row r="8" spans="1:82" ht="21" customHeight="1" x14ac:dyDescent="0.3">
      <c r="B8" s="260"/>
      <c r="C8" s="260"/>
      <c r="D8" s="261"/>
      <c r="E8" s="169">
        <v>45565</v>
      </c>
      <c r="F8" s="169">
        <f>+$E$8</f>
        <v>45565</v>
      </c>
      <c r="G8" s="260"/>
      <c r="H8" s="264"/>
      <c r="I8" s="264"/>
      <c r="J8" s="260"/>
      <c r="K8" s="264"/>
      <c r="L8" s="264"/>
      <c r="M8" s="264"/>
      <c r="N8" s="264"/>
      <c r="O8" s="21"/>
      <c r="P8" s="167" t="s">
        <v>2</v>
      </c>
      <c r="Q8" s="182" t="s">
        <v>98</v>
      </c>
      <c r="R8" s="167" t="s">
        <v>2</v>
      </c>
      <c r="S8" s="182" t="s">
        <v>98</v>
      </c>
      <c r="T8" s="167" t="s">
        <v>2</v>
      </c>
      <c r="U8" s="182" t="s">
        <v>98</v>
      </c>
      <c r="V8" s="167" t="s">
        <v>2</v>
      </c>
      <c r="W8" s="182" t="s">
        <v>98</v>
      </c>
      <c r="X8" s="167" t="s">
        <v>2</v>
      </c>
      <c r="Y8" s="182" t="s">
        <v>98</v>
      </c>
      <c r="Z8" s="167" t="s">
        <v>2</v>
      </c>
      <c r="AA8" s="182" t="s">
        <v>98</v>
      </c>
      <c r="AB8" s="167" t="s">
        <v>2</v>
      </c>
      <c r="AC8" s="167" t="s">
        <v>98</v>
      </c>
      <c r="AD8" s="21"/>
      <c r="AG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row>
    <row r="9" spans="1:82" ht="27.95" customHeight="1" x14ac:dyDescent="0.3">
      <c r="B9" s="170" t="s">
        <v>88</v>
      </c>
      <c r="C9" s="170"/>
      <c r="D9" s="170"/>
      <c r="E9" s="170"/>
      <c r="F9" s="171">
        <f>+SUM(F10:F14)</f>
        <v>1.3770416797548131</v>
      </c>
      <c r="G9" s="172">
        <f>+F9/$F$45</f>
        <v>2.1542238317124123E-3</v>
      </c>
      <c r="H9" s="170"/>
      <c r="I9" s="170"/>
      <c r="J9" s="170"/>
      <c r="K9" s="170"/>
      <c r="L9" s="170"/>
      <c r="M9" s="170"/>
      <c r="N9" s="170"/>
      <c r="O9" s="22"/>
      <c r="P9" s="183">
        <f t="shared" ref="P9:AC9" si="0">+SUM(P10:P14)</f>
        <v>1767.7678575370269</v>
      </c>
      <c r="Q9" s="183">
        <f t="shared" si="0"/>
        <v>0</v>
      </c>
      <c r="R9" s="183">
        <f t="shared" si="0"/>
        <v>404.04629632614365</v>
      </c>
      <c r="S9" s="183">
        <f t="shared" si="0"/>
        <v>0</v>
      </c>
      <c r="T9" s="183">
        <f t="shared" si="0"/>
        <v>232.78985169344546</v>
      </c>
      <c r="U9" s="183">
        <f t="shared" si="0"/>
        <v>0</v>
      </c>
      <c r="V9" s="183">
        <f t="shared" si="0"/>
        <v>181.46057828959104</v>
      </c>
      <c r="W9" s="183">
        <f t="shared" si="0"/>
        <v>0</v>
      </c>
      <c r="X9" s="183">
        <f t="shared" si="0"/>
        <v>180.19195975922148</v>
      </c>
      <c r="Y9" s="183">
        <f t="shared" si="0"/>
        <v>0</v>
      </c>
      <c r="Z9" s="183">
        <f t="shared" si="0"/>
        <v>177.97150938738787</v>
      </c>
      <c r="AA9" s="183">
        <f t="shared" si="0"/>
        <v>0</v>
      </c>
      <c r="AB9" s="183">
        <f t="shared" si="0"/>
        <v>166.9088429836321</v>
      </c>
      <c r="AC9" s="183">
        <f t="shared" si="0"/>
        <v>0</v>
      </c>
      <c r="AD9" s="105"/>
      <c r="AG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row>
    <row r="10" spans="1:82" ht="27.95" customHeight="1" x14ac:dyDescent="0.3">
      <c r="A10" s="61"/>
      <c r="B10" s="8" t="s">
        <v>190</v>
      </c>
      <c r="C10" s="8" t="s">
        <v>241</v>
      </c>
      <c r="D10" s="8" t="s">
        <v>2</v>
      </c>
      <c r="E10" s="205">
        <v>892.50961150000001</v>
      </c>
      <c r="F10" s="11">
        <f>+IF($D10="USD",$E10,$E10/$C$52)</f>
        <v>0.91924426832909556</v>
      </c>
      <c r="G10" s="215"/>
      <c r="H10" s="27" t="s">
        <v>147</v>
      </c>
      <c r="I10" s="19">
        <v>45176</v>
      </c>
      <c r="J10" s="28" t="s">
        <v>150</v>
      </c>
      <c r="K10" s="20">
        <v>120</v>
      </c>
      <c r="L10" s="9" t="s">
        <v>148</v>
      </c>
      <c r="M10" s="19">
        <v>48845</v>
      </c>
      <c r="N10" s="9" t="s">
        <v>149</v>
      </c>
      <c r="O10" s="12"/>
      <c r="P10" s="67">
        <f t="shared" ref="P10:AC10" si="1">+F63+F108</f>
        <v>91.791958080479333</v>
      </c>
      <c r="Q10" s="67">
        <f t="shared" si="1"/>
        <v>0</v>
      </c>
      <c r="R10" s="67">
        <f t="shared" si="1"/>
        <v>193.21282842307883</v>
      </c>
      <c r="S10" s="67">
        <f t="shared" si="1"/>
        <v>0</v>
      </c>
      <c r="T10" s="67">
        <f t="shared" si="1"/>
        <v>184.513728847278</v>
      </c>
      <c r="U10" s="67">
        <f t="shared" si="1"/>
        <v>0</v>
      </c>
      <c r="V10" s="67">
        <f t="shared" si="1"/>
        <v>181.46057828959104</v>
      </c>
      <c r="W10" s="67">
        <f t="shared" si="1"/>
        <v>0</v>
      </c>
      <c r="X10" s="67">
        <f t="shared" si="1"/>
        <v>180.19195975922148</v>
      </c>
      <c r="Y10" s="67">
        <f t="shared" si="1"/>
        <v>0</v>
      </c>
      <c r="Z10" s="67">
        <f t="shared" si="1"/>
        <v>177.97150938738787</v>
      </c>
      <c r="AA10" s="67">
        <f t="shared" si="1"/>
        <v>0</v>
      </c>
      <c r="AB10" s="67">
        <f t="shared" si="1"/>
        <v>166.9088429836321</v>
      </c>
      <c r="AC10" s="67">
        <f t="shared" si="1"/>
        <v>0</v>
      </c>
      <c r="AD10" s="100"/>
      <c r="AG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row>
    <row r="11" spans="1:82" ht="27.95" customHeight="1" x14ac:dyDescent="0.3">
      <c r="A11" s="61"/>
      <c r="B11" s="8" t="s">
        <v>5</v>
      </c>
      <c r="C11" s="8" t="s">
        <v>6</v>
      </c>
      <c r="D11" s="8" t="s">
        <v>2</v>
      </c>
      <c r="E11" s="205">
        <v>206.58846624</v>
      </c>
      <c r="F11" s="206">
        <f>+IF($D11="USD",$E11,$E11/$C$52)</f>
        <v>0.21277671528360775</v>
      </c>
      <c r="G11" s="215"/>
      <c r="H11" s="27" t="s">
        <v>147</v>
      </c>
      <c r="I11" s="19">
        <v>43158</v>
      </c>
      <c r="J11" s="28" t="s">
        <v>150</v>
      </c>
      <c r="K11" s="20">
        <v>96</v>
      </c>
      <c r="L11" s="9" t="s">
        <v>148</v>
      </c>
      <c r="M11" s="19">
        <v>46080</v>
      </c>
      <c r="N11" s="9" t="s">
        <v>149</v>
      </c>
      <c r="O11" s="12"/>
      <c r="P11" s="67">
        <f t="shared" ref="P11:AC12" si="2">+F64+F109</f>
        <v>159.49296183366025</v>
      </c>
      <c r="Q11" s="67">
        <f t="shared" si="2"/>
        <v>0</v>
      </c>
      <c r="R11" s="67">
        <f t="shared" si="2"/>
        <v>157.22158162000002</v>
      </c>
      <c r="S11" s="67">
        <f t="shared" si="2"/>
        <v>0</v>
      </c>
      <c r="T11" s="67">
        <f t="shared" si="2"/>
        <v>24.8817278</v>
      </c>
      <c r="U11" s="67">
        <f t="shared" si="2"/>
        <v>0</v>
      </c>
      <c r="V11" s="67">
        <f t="shared" si="2"/>
        <v>0</v>
      </c>
      <c r="W11" s="67">
        <f t="shared" si="2"/>
        <v>0</v>
      </c>
      <c r="X11" s="67">
        <f t="shared" si="2"/>
        <v>0</v>
      </c>
      <c r="Y11" s="67">
        <f t="shared" si="2"/>
        <v>0</v>
      </c>
      <c r="Z11" s="67">
        <f t="shared" si="2"/>
        <v>0</v>
      </c>
      <c r="AA11" s="67">
        <f t="shared" si="2"/>
        <v>0</v>
      </c>
      <c r="AB11" s="67">
        <f t="shared" si="2"/>
        <v>0</v>
      </c>
      <c r="AC11" s="67">
        <f t="shared" si="2"/>
        <v>0</v>
      </c>
      <c r="AD11" s="100"/>
      <c r="AG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c r="BW11" s="100"/>
      <c r="BX11" s="100"/>
      <c r="BY11" s="100"/>
      <c r="BZ11" s="100"/>
      <c r="CA11" s="100"/>
      <c r="CB11" s="100"/>
      <c r="CC11" s="100"/>
      <c r="CD11" s="100"/>
    </row>
    <row r="12" spans="1:82" ht="27.95" customHeight="1" x14ac:dyDescent="0.3">
      <c r="A12" s="61"/>
      <c r="B12" s="8" t="s">
        <v>3</v>
      </c>
      <c r="C12" s="8" t="s">
        <v>4</v>
      </c>
      <c r="D12" s="8" t="s">
        <v>2</v>
      </c>
      <c r="E12" s="205">
        <v>167.68501631999999</v>
      </c>
      <c r="F12" s="11">
        <f>+IF($D12="USD",$E12,$E12/$C$52)</f>
        <v>0.17270793294625583</v>
      </c>
      <c r="G12" s="215"/>
      <c r="H12" s="27" t="s">
        <v>147</v>
      </c>
      <c r="I12" s="19">
        <v>41699</v>
      </c>
      <c r="J12" s="28" t="s">
        <v>150</v>
      </c>
      <c r="K12" s="20">
        <v>127</v>
      </c>
      <c r="L12" s="9" t="s">
        <v>148</v>
      </c>
      <c r="M12" s="19">
        <v>45566</v>
      </c>
      <c r="N12" s="9" t="s">
        <v>149</v>
      </c>
      <c r="O12" s="12"/>
      <c r="P12" s="67">
        <f t="shared" si="2"/>
        <v>1422.3058352627565</v>
      </c>
      <c r="Q12" s="67">
        <f t="shared" si="2"/>
        <v>0</v>
      </c>
      <c r="R12" s="67">
        <f t="shared" si="2"/>
        <v>0</v>
      </c>
      <c r="S12" s="67">
        <f t="shared" si="2"/>
        <v>0</v>
      </c>
      <c r="T12" s="67">
        <f t="shared" si="2"/>
        <v>0</v>
      </c>
      <c r="U12" s="67">
        <f t="shared" si="2"/>
        <v>0</v>
      </c>
      <c r="V12" s="67">
        <f t="shared" si="2"/>
        <v>0</v>
      </c>
      <c r="W12" s="67">
        <f t="shared" si="2"/>
        <v>0</v>
      </c>
      <c r="X12" s="67">
        <f t="shared" si="2"/>
        <v>0</v>
      </c>
      <c r="Y12" s="67">
        <f t="shared" si="2"/>
        <v>0</v>
      </c>
      <c r="Z12" s="67">
        <f t="shared" si="2"/>
        <v>0</v>
      </c>
      <c r="AA12" s="67">
        <f t="shared" si="2"/>
        <v>0</v>
      </c>
      <c r="AB12" s="67">
        <f t="shared" si="2"/>
        <v>0</v>
      </c>
      <c r="AC12" s="67">
        <f t="shared" si="2"/>
        <v>0</v>
      </c>
      <c r="AD12" s="100"/>
      <c r="AG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0"/>
      <c r="BT12" s="100"/>
      <c r="BU12" s="100"/>
      <c r="BV12" s="100"/>
      <c r="BW12" s="100"/>
      <c r="BX12" s="100"/>
      <c r="BY12" s="100"/>
      <c r="BZ12" s="100"/>
      <c r="CA12" s="100"/>
      <c r="CB12" s="100"/>
      <c r="CC12" s="100"/>
      <c r="CD12" s="100"/>
    </row>
    <row r="13" spans="1:82" ht="27.95" customHeight="1" x14ac:dyDescent="0.3">
      <c r="A13" s="61"/>
      <c r="B13" s="8" t="s">
        <v>7</v>
      </c>
      <c r="C13" s="8" t="s">
        <v>8</v>
      </c>
      <c r="D13" s="8" t="s">
        <v>2</v>
      </c>
      <c r="E13" s="205">
        <v>49.206436889999999</v>
      </c>
      <c r="F13" s="11">
        <f>+IF($D13="USD",$E13,$E13/$C$52)</f>
        <v>5.0680389872787231E-2</v>
      </c>
      <c r="G13" s="212"/>
      <c r="H13" s="27" t="s">
        <v>151</v>
      </c>
      <c r="I13" s="19">
        <v>40603</v>
      </c>
      <c r="J13" s="28" t="s">
        <v>152</v>
      </c>
      <c r="K13" s="20">
        <v>187</v>
      </c>
      <c r="L13" s="9" t="s">
        <v>153</v>
      </c>
      <c r="M13" s="19">
        <v>46296</v>
      </c>
      <c r="N13" s="9" t="s">
        <v>149</v>
      </c>
      <c r="O13" s="12"/>
      <c r="P13" s="67">
        <f>+F66+F111</f>
        <v>76.916744679999994</v>
      </c>
      <c r="Q13" s="67">
        <f t="shared" ref="Q13:AC14" si="3">+G66+G111</f>
        <v>0</v>
      </c>
      <c r="R13" s="67">
        <f t="shared" si="3"/>
        <v>36.746894519999998</v>
      </c>
      <c r="S13" s="67">
        <f t="shared" si="3"/>
        <v>0</v>
      </c>
      <c r="T13" s="67">
        <f t="shared" si="3"/>
        <v>22.054955939999999</v>
      </c>
      <c r="U13" s="67">
        <f t="shared" si="3"/>
        <v>0</v>
      </c>
      <c r="V13" s="67">
        <f t="shared" si="3"/>
        <v>0</v>
      </c>
      <c r="W13" s="67">
        <f t="shared" si="3"/>
        <v>0</v>
      </c>
      <c r="X13" s="67">
        <f t="shared" si="3"/>
        <v>0</v>
      </c>
      <c r="Y13" s="67">
        <f t="shared" si="3"/>
        <v>0</v>
      </c>
      <c r="Z13" s="67">
        <f t="shared" si="3"/>
        <v>0</v>
      </c>
      <c r="AA13" s="67">
        <f t="shared" si="3"/>
        <v>0</v>
      </c>
      <c r="AB13" s="67">
        <f t="shared" si="3"/>
        <v>0</v>
      </c>
      <c r="AC13" s="67">
        <f t="shared" si="3"/>
        <v>0</v>
      </c>
      <c r="AD13" s="100"/>
      <c r="AG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row>
    <row r="14" spans="1:82" ht="27.95" customHeight="1" x14ac:dyDescent="0.3">
      <c r="A14" s="61"/>
      <c r="B14" s="8" t="s">
        <v>9</v>
      </c>
      <c r="C14" s="8" t="s">
        <v>10</v>
      </c>
      <c r="D14" s="8" t="s">
        <v>2</v>
      </c>
      <c r="E14" s="205">
        <v>21.003232520000001</v>
      </c>
      <c r="F14" s="11">
        <f>+IF($D14="USD",$E14,$E14/$C$52)</f>
        <v>2.1632373323066747E-2</v>
      </c>
      <c r="G14" s="213"/>
      <c r="H14" s="27" t="s">
        <v>147</v>
      </c>
      <c r="I14" s="19">
        <v>43104</v>
      </c>
      <c r="J14" s="28" t="s">
        <v>150</v>
      </c>
      <c r="K14" s="20">
        <v>96</v>
      </c>
      <c r="L14" s="9" t="s">
        <v>148</v>
      </c>
      <c r="M14" s="19">
        <v>46026</v>
      </c>
      <c r="N14" s="9" t="s">
        <v>149</v>
      </c>
      <c r="O14" s="12"/>
      <c r="P14" s="67">
        <f>+F67+F112</f>
        <v>17.260357680130614</v>
      </c>
      <c r="Q14" s="67">
        <f t="shared" si="3"/>
        <v>0</v>
      </c>
      <c r="R14" s="67">
        <f t="shared" si="3"/>
        <v>16.864991763064769</v>
      </c>
      <c r="S14" s="67">
        <f t="shared" si="3"/>
        <v>0</v>
      </c>
      <c r="T14" s="67">
        <f t="shared" si="3"/>
        <v>1.33943910616748</v>
      </c>
      <c r="U14" s="67">
        <f t="shared" si="3"/>
        <v>0</v>
      </c>
      <c r="V14" s="67">
        <f t="shared" si="3"/>
        <v>0</v>
      </c>
      <c r="W14" s="67">
        <f t="shared" si="3"/>
        <v>0</v>
      </c>
      <c r="X14" s="67">
        <f t="shared" si="3"/>
        <v>0</v>
      </c>
      <c r="Y14" s="67">
        <f t="shared" si="3"/>
        <v>0</v>
      </c>
      <c r="Z14" s="67">
        <f t="shared" si="3"/>
        <v>0</v>
      </c>
      <c r="AA14" s="67">
        <f t="shared" si="3"/>
        <v>0</v>
      </c>
      <c r="AB14" s="67">
        <f t="shared" si="3"/>
        <v>0</v>
      </c>
      <c r="AC14" s="67">
        <f t="shared" si="3"/>
        <v>0</v>
      </c>
      <c r="AD14" s="100"/>
      <c r="AG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row>
    <row r="15" spans="1:82" ht="27.95" customHeight="1" x14ac:dyDescent="0.3">
      <c r="A15" s="61"/>
      <c r="B15" s="170" t="s">
        <v>89</v>
      </c>
      <c r="C15" s="170"/>
      <c r="D15" s="170"/>
      <c r="E15" s="170"/>
      <c r="F15" s="171">
        <f>+SUM(F16:F16)</f>
        <v>11.829319890954599</v>
      </c>
      <c r="G15" s="172">
        <f>+F15/$F$45</f>
        <v>1.8505614751313414E-2</v>
      </c>
      <c r="H15" s="173"/>
      <c r="I15" s="170"/>
      <c r="J15" s="174"/>
      <c r="K15" s="170"/>
      <c r="L15" s="170"/>
      <c r="M15" s="170"/>
      <c r="N15" s="170"/>
      <c r="O15" s="22"/>
      <c r="P15" s="183">
        <f t="shared" ref="P15:AC15" si="4">+P16</f>
        <v>13641.246043177394</v>
      </c>
      <c r="Q15" s="183">
        <f t="shared" si="4"/>
        <v>0</v>
      </c>
      <c r="R15" s="183">
        <f t="shared" si="4"/>
        <v>7651.898862378649</v>
      </c>
      <c r="S15" s="183">
        <f t="shared" si="4"/>
        <v>0</v>
      </c>
      <c r="T15" s="183">
        <f t="shared" si="4"/>
        <v>5412.8577310041737</v>
      </c>
      <c r="U15" s="183">
        <f t="shared" si="4"/>
        <v>0</v>
      </c>
      <c r="V15" s="183">
        <f t="shared" si="4"/>
        <v>1838.2549580880193</v>
      </c>
      <c r="W15" s="183">
        <f t="shared" si="4"/>
        <v>0</v>
      </c>
      <c r="X15" s="183">
        <f t="shared" si="4"/>
        <v>0</v>
      </c>
      <c r="Y15" s="183">
        <f t="shared" si="4"/>
        <v>0</v>
      </c>
      <c r="Z15" s="183">
        <f t="shared" si="4"/>
        <v>0</v>
      </c>
      <c r="AA15" s="183">
        <f t="shared" si="4"/>
        <v>0</v>
      </c>
      <c r="AB15" s="183">
        <f t="shared" si="4"/>
        <v>0</v>
      </c>
      <c r="AC15" s="183">
        <f t="shared" si="4"/>
        <v>0</v>
      </c>
      <c r="AD15" s="105"/>
      <c r="AG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row>
    <row r="16" spans="1:82" ht="27.95" customHeight="1" x14ac:dyDescent="0.3">
      <c r="A16" s="61"/>
      <c r="B16" s="158" t="s">
        <v>141</v>
      </c>
      <c r="C16" s="158" t="s">
        <v>142</v>
      </c>
      <c r="D16" s="158" t="s">
        <v>2</v>
      </c>
      <c r="E16" s="205">
        <v>11485.28423177</v>
      </c>
      <c r="F16" s="206">
        <f>+IF($D16="USD",$E16,$E16/$C$52)</f>
        <v>11.829319890954599</v>
      </c>
      <c r="G16" s="218"/>
      <c r="H16" s="219" t="s">
        <v>147</v>
      </c>
      <c r="I16" s="19">
        <v>44684</v>
      </c>
      <c r="J16" s="220" t="s">
        <v>155</v>
      </c>
      <c r="K16" s="221">
        <v>60</v>
      </c>
      <c r="L16" s="205" t="s">
        <v>148</v>
      </c>
      <c r="M16" s="19">
        <v>46510</v>
      </c>
      <c r="N16" s="205" t="s">
        <v>149</v>
      </c>
      <c r="O16" s="12"/>
      <c r="P16" s="67">
        <f t="shared" ref="P16:AC16" si="5">+F69+F114</f>
        <v>13641.246043177394</v>
      </c>
      <c r="Q16" s="67">
        <f t="shared" si="5"/>
        <v>0</v>
      </c>
      <c r="R16" s="67">
        <f t="shared" si="5"/>
        <v>7651.898862378649</v>
      </c>
      <c r="S16" s="67">
        <f t="shared" si="5"/>
        <v>0</v>
      </c>
      <c r="T16" s="67">
        <f t="shared" si="5"/>
        <v>5412.8577310041737</v>
      </c>
      <c r="U16" s="67">
        <f t="shared" si="5"/>
        <v>0</v>
      </c>
      <c r="V16" s="67">
        <f t="shared" si="5"/>
        <v>1838.2549580880193</v>
      </c>
      <c r="W16" s="67">
        <f t="shared" si="5"/>
        <v>0</v>
      </c>
      <c r="X16" s="67">
        <f t="shared" si="5"/>
        <v>0</v>
      </c>
      <c r="Y16" s="67">
        <f t="shared" si="5"/>
        <v>0</v>
      </c>
      <c r="Z16" s="67">
        <f t="shared" si="5"/>
        <v>0</v>
      </c>
      <c r="AA16" s="67">
        <f t="shared" si="5"/>
        <v>0</v>
      </c>
      <c r="AB16" s="67">
        <f t="shared" si="5"/>
        <v>0</v>
      </c>
      <c r="AC16" s="67">
        <f t="shared" si="5"/>
        <v>0</v>
      </c>
      <c r="AD16" s="100"/>
      <c r="AG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row>
    <row r="17" spans="1:96" ht="27.95" customHeight="1" x14ac:dyDescent="0.3">
      <c r="A17" s="61"/>
      <c r="B17" s="170" t="s">
        <v>11</v>
      </c>
      <c r="C17" s="170"/>
      <c r="D17" s="170"/>
      <c r="E17" s="170"/>
      <c r="F17" s="171">
        <f>+SUM(F18,F30)</f>
        <v>187.6927665</v>
      </c>
      <c r="G17" s="172">
        <f>+F17/$F$45</f>
        <v>0.29362381442682678</v>
      </c>
      <c r="H17" s="173"/>
      <c r="I17" s="170"/>
      <c r="J17" s="174"/>
      <c r="K17" s="170"/>
      <c r="L17" s="170"/>
      <c r="M17" s="170"/>
      <c r="N17" s="170"/>
      <c r="O17" s="22"/>
      <c r="P17" s="183">
        <f t="shared" ref="P17:AB17" si="6">+P18+P30</f>
        <v>0</v>
      </c>
      <c r="Q17" s="183">
        <f t="shared" si="6"/>
        <v>27.87893013391794</v>
      </c>
      <c r="R17" s="183">
        <f t="shared" si="6"/>
        <v>0</v>
      </c>
      <c r="S17" s="183">
        <f t="shared" si="6"/>
        <v>28.358279063908462</v>
      </c>
      <c r="T17" s="183">
        <f t="shared" si="6"/>
        <v>0</v>
      </c>
      <c r="U17" s="183">
        <f t="shared" si="6"/>
        <v>21.402459892844501</v>
      </c>
      <c r="V17" s="183">
        <f t="shared" si="6"/>
        <v>0</v>
      </c>
      <c r="W17" s="183">
        <f t="shared" si="6"/>
        <v>20.133254718779767</v>
      </c>
      <c r="X17" s="183">
        <f t="shared" si="6"/>
        <v>0</v>
      </c>
      <c r="Y17" s="183">
        <f t="shared" si="6"/>
        <v>19.208025487219103</v>
      </c>
      <c r="Z17" s="183">
        <f t="shared" si="6"/>
        <v>0</v>
      </c>
      <c r="AA17" s="183">
        <f t="shared" si="6"/>
        <v>18.049351904553586</v>
      </c>
      <c r="AB17" s="183">
        <f t="shared" si="6"/>
        <v>0</v>
      </c>
      <c r="AC17" s="183">
        <f>+AC18+AC30</f>
        <v>15.129280745426094</v>
      </c>
      <c r="AD17" s="105"/>
      <c r="AG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c r="BW17" s="105"/>
      <c r="BX17" s="105"/>
      <c r="BY17" s="105"/>
      <c r="BZ17" s="105"/>
      <c r="CA17" s="105"/>
      <c r="CB17" s="105"/>
      <c r="CC17" s="105"/>
      <c r="CD17" s="105"/>
    </row>
    <row r="18" spans="1:96" ht="27.95" customHeight="1" x14ac:dyDescent="0.3">
      <c r="A18" s="61"/>
      <c r="B18" s="175" t="s">
        <v>12</v>
      </c>
      <c r="C18" s="175"/>
      <c r="D18" s="175"/>
      <c r="E18" s="175"/>
      <c r="F18" s="176">
        <f>+SUM(F19:F29)</f>
        <v>156.00418712000001</v>
      </c>
      <c r="G18" s="175"/>
      <c r="H18" s="177"/>
      <c r="I18" s="175"/>
      <c r="J18" s="178"/>
      <c r="K18" s="175"/>
      <c r="L18" s="175"/>
      <c r="M18" s="175"/>
      <c r="N18" s="175"/>
      <c r="O18" s="23"/>
      <c r="P18" s="185">
        <f t="shared" ref="P18:AC18" si="7">+SUM(P19:P29)</f>
        <v>0</v>
      </c>
      <c r="Q18" s="185">
        <f t="shared" si="7"/>
        <v>24.663822093025164</v>
      </c>
      <c r="R18" s="185">
        <f t="shared" si="7"/>
        <v>0</v>
      </c>
      <c r="S18" s="185">
        <f t="shared" si="7"/>
        <v>24.180372732395725</v>
      </c>
      <c r="T18" s="185">
        <f t="shared" si="7"/>
        <v>0</v>
      </c>
      <c r="U18" s="185">
        <f t="shared" si="7"/>
        <v>17.596662009377308</v>
      </c>
      <c r="V18" s="185">
        <f t="shared" si="7"/>
        <v>0</v>
      </c>
      <c r="W18" s="185">
        <f t="shared" si="7"/>
        <v>16.589008795278691</v>
      </c>
      <c r="X18" s="185">
        <f t="shared" si="7"/>
        <v>0</v>
      </c>
      <c r="Y18" s="185">
        <f t="shared" si="7"/>
        <v>15.789084221871482</v>
      </c>
      <c r="Z18" s="185">
        <f t="shared" si="7"/>
        <v>0</v>
      </c>
      <c r="AA18" s="185">
        <f t="shared" si="7"/>
        <v>14.740543906418765</v>
      </c>
      <c r="AB18" s="185">
        <f t="shared" si="7"/>
        <v>0</v>
      </c>
      <c r="AC18" s="185">
        <f t="shared" si="7"/>
        <v>12.359554584239689</v>
      </c>
      <c r="AD18" s="101"/>
      <c r="AG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row>
    <row r="19" spans="1:96" ht="27.95" customHeight="1" x14ac:dyDescent="0.3">
      <c r="A19" s="61"/>
      <c r="B19" s="8" t="s">
        <v>19</v>
      </c>
      <c r="C19" s="8" t="s">
        <v>20</v>
      </c>
      <c r="D19" s="8" t="s">
        <v>98</v>
      </c>
      <c r="E19" s="11">
        <v>39.388299629999999</v>
      </c>
      <c r="F19" s="11">
        <f>+IF($D19="USD",$E19,$E19/$C$52)</f>
        <v>39.388299629999999</v>
      </c>
      <c r="G19" s="211"/>
      <c r="H19" s="27" t="s">
        <v>147</v>
      </c>
      <c r="I19" s="19">
        <v>42050</v>
      </c>
      <c r="J19" s="28" t="s">
        <v>156</v>
      </c>
      <c r="K19" s="20">
        <v>300</v>
      </c>
      <c r="L19" s="9" t="s">
        <v>154</v>
      </c>
      <c r="M19" s="19">
        <v>51181</v>
      </c>
      <c r="N19" s="9" t="s">
        <v>149</v>
      </c>
      <c r="O19" s="12"/>
      <c r="P19" s="67">
        <f t="shared" ref="P19:P29" si="8">+F72+F117</f>
        <v>0</v>
      </c>
      <c r="Q19" s="67">
        <f t="shared" ref="Q19:Q29" si="9">+G72+G117</f>
        <v>5.3422875805221874</v>
      </c>
      <c r="R19" s="67">
        <f t="shared" ref="R19:R29" si="10">+H72+H117</f>
        <v>0</v>
      </c>
      <c r="S19" s="67">
        <f t="shared" ref="S19:S29" si="11">+I72+I117</f>
        <v>4.7830951030217141</v>
      </c>
      <c r="T19" s="67">
        <f t="shared" ref="T19:T29" si="12">+J72+J117</f>
        <v>0</v>
      </c>
      <c r="U19" s="67">
        <f t="shared" ref="U19:U29" si="13">+K72+K117</f>
        <v>4.2383836380136239</v>
      </c>
      <c r="V19" s="67">
        <f t="shared" ref="V19:V29" si="14">+L72+L117</f>
        <v>0</v>
      </c>
      <c r="W19" s="67">
        <f t="shared" ref="W19:W29" si="15">+M72+M117</f>
        <v>3.9648286771206065</v>
      </c>
      <c r="X19" s="67">
        <f t="shared" ref="X19:X29" si="16">+N72+N117</f>
        <v>0</v>
      </c>
      <c r="Y19" s="67">
        <f t="shared" ref="Y19:Y29" si="17">+O72+O117</f>
        <v>3.7978765913873342</v>
      </c>
      <c r="Z19" s="67">
        <f t="shared" ref="Z19:Z29" si="18">+P72+P117</f>
        <v>0</v>
      </c>
      <c r="AA19" s="67">
        <f t="shared" ref="AA19:AA29" si="19">+Q72+Q117</f>
        <v>3.5065827973316894</v>
      </c>
      <c r="AB19" s="67">
        <f t="shared" ref="AB19:AB29" si="20">+R72+R117</f>
        <v>0</v>
      </c>
      <c r="AC19" s="67">
        <f>+S72+S117</f>
        <v>2.8650195020256359</v>
      </c>
      <c r="AD19" s="100"/>
      <c r="AG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BZ19" s="100"/>
      <c r="CA19" s="100"/>
      <c r="CB19" s="100"/>
      <c r="CC19" s="100"/>
      <c r="CD19" s="100"/>
      <c r="CQ19" s="106"/>
      <c r="CR19" s="107"/>
    </row>
    <row r="20" spans="1:96" ht="27.95" customHeight="1" x14ac:dyDescent="0.3">
      <c r="A20" s="61"/>
      <c r="B20" s="8" t="s">
        <v>13</v>
      </c>
      <c r="C20" s="8" t="s">
        <v>14</v>
      </c>
      <c r="D20" s="8" t="s">
        <v>98</v>
      </c>
      <c r="E20" s="11">
        <v>35.644151180000001</v>
      </c>
      <c r="F20" s="11">
        <f t="shared" ref="F20:F29" si="21">+IF($D20="USD",$E20,$E20/$C$52)</f>
        <v>35.644151180000001</v>
      </c>
      <c r="G20" s="8"/>
      <c r="H20" s="27" t="s">
        <v>147</v>
      </c>
      <c r="I20" s="19">
        <v>39557</v>
      </c>
      <c r="J20" s="28" t="s">
        <v>156</v>
      </c>
      <c r="K20" s="20">
        <v>344</v>
      </c>
      <c r="L20" s="9" t="s">
        <v>154</v>
      </c>
      <c r="M20" s="19">
        <v>50028</v>
      </c>
      <c r="N20" s="9" t="s">
        <v>149</v>
      </c>
      <c r="O20" s="12"/>
      <c r="P20" s="67">
        <f t="shared" si="8"/>
        <v>0</v>
      </c>
      <c r="Q20" s="67">
        <f t="shared" si="9"/>
        <v>4.9242159830844914</v>
      </c>
      <c r="R20" s="67">
        <f t="shared" si="10"/>
        <v>0</v>
      </c>
      <c r="S20" s="67">
        <f t="shared" si="11"/>
        <v>4.6220608715708877</v>
      </c>
      <c r="T20" s="67">
        <f t="shared" si="12"/>
        <v>0</v>
      </c>
      <c r="U20" s="67">
        <f t="shared" si="13"/>
        <v>4.2238881641308028</v>
      </c>
      <c r="V20" s="67">
        <f t="shared" si="14"/>
        <v>0</v>
      </c>
      <c r="W20" s="67">
        <f t="shared" si="15"/>
        <v>4.0145923489609618</v>
      </c>
      <c r="X20" s="67">
        <f t="shared" si="16"/>
        <v>0</v>
      </c>
      <c r="Y20" s="67">
        <f t="shared" si="17"/>
        <v>3.8047242742680791</v>
      </c>
      <c r="Z20" s="67">
        <f t="shared" si="18"/>
        <v>0</v>
      </c>
      <c r="AA20" s="67">
        <f t="shared" si="19"/>
        <v>3.5800372169638672</v>
      </c>
      <c r="AB20" s="67">
        <f t="shared" si="20"/>
        <v>0</v>
      </c>
      <c r="AC20" s="67">
        <f t="shared" ref="AC20:AC29" si="22">+S73+S118</f>
        <v>3.2034959194947228</v>
      </c>
      <c r="AD20" s="100"/>
      <c r="AG20" s="100"/>
      <c r="AL20" s="100"/>
      <c r="AM20" s="100"/>
      <c r="AN20" s="100"/>
      <c r="AO20" s="100"/>
      <c r="AP20" s="100"/>
      <c r="AQ20" s="100"/>
      <c r="AR20" s="100"/>
      <c r="AS20" s="100"/>
      <c r="AT20" s="100"/>
      <c r="AU20" s="100"/>
      <c r="AV20" s="100"/>
      <c r="AW20" s="100"/>
      <c r="AX20" s="100"/>
      <c r="AY20" s="100"/>
      <c r="AZ20" s="100"/>
      <c r="BA20" s="100"/>
      <c r="BB20" s="100"/>
      <c r="BC20" s="100"/>
      <c r="BD20" s="100"/>
      <c r="BE20" s="100"/>
      <c r="BF20" s="100"/>
      <c r="BG20" s="100"/>
      <c r="BH20" s="100"/>
      <c r="BI20" s="100"/>
      <c r="BJ20" s="100"/>
      <c r="BK20" s="100"/>
      <c r="BL20" s="100"/>
      <c r="BM20" s="100"/>
      <c r="BN20" s="100"/>
      <c r="BO20" s="100"/>
      <c r="BP20" s="100"/>
      <c r="BQ20" s="100"/>
      <c r="BR20" s="100"/>
      <c r="BS20" s="100"/>
      <c r="BT20" s="100"/>
      <c r="BU20" s="100"/>
      <c r="BV20" s="100"/>
      <c r="BW20" s="100"/>
      <c r="BX20" s="100"/>
      <c r="BY20" s="100"/>
      <c r="BZ20" s="100"/>
      <c r="CA20" s="100"/>
      <c r="CB20" s="100"/>
      <c r="CC20" s="100"/>
      <c r="CD20" s="100"/>
      <c r="CQ20" s="106"/>
      <c r="CR20" s="107"/>
    </row>
    <row r="21" spans="1:96" ht="27.95" customHeight="1" x14ac:dyDescent="0.3">
      <c r="A21" s="61"/>
      <c r="B21" s="8" t="s">
        <v>124</v>
      </c>
      <c r="C21" s="8" t="s">
        <v>125</v>
      </c>
      <c r="D21" s="8" t="s">
        <v>98</v>
      </c>
      <c r="E21" s="11">
        <v>27.315000000000001</v>
      </c>
      <c r="F21" s="11">
        <f t="shared" si="21"/>
        <v>27.315000000000001</v>
      </c>
      <c r="G21" s="8"/>
      <c r="H21" s="27" t="s">
        <v>147</v>
      </c>
      <c r="I21" s="19">
        <v>44313</v>
      </c>
      <c r="J21" s="28" t="s">
        <v>156</v>
      </c>
      <c r="K21" s="20">
        <v>283</v>
      </c>
      <c r="L21" s="9" t="s">
        <v>154</v>
      </c>
      <c r="M21" s="19">
        <v>52916</v>
      </c>
      <c r="N21" s="9" t="s">
        <v>149</v>
      </c>
      <c r="O21" s="12"/>
      <c r="P21" s="67">
        <f t="shared" si="8"/>
        <v>0</v>
      </c>
      <c r="Q21" s="67">
        <f t="shared" si="9"/>
        <v>1.8082097941095889</v>
      </c>
      <c r="R21" s="67">
        <f t="shared" si="10"/>
        <v>0</v>
      </c>
      <c r="S21" s="67">
        <f t="shared" si="11"/>
        <v>2.8240312463013697</v>
      </c>
      <c r="T21" s="67">
        <f t="shared" si="12"/>
        <v>0</v>
      </c>
      <c r="U21" s="67">
        <f t="shared" si="13"/>
        <v>2.5240429491780825</v>
      </c>
      <c r="V21" s="67">
        <f t="shared" si="14"/>
        <v>0</v>
      </c>
      <c r="W21" s="67">
        <f t="shared" si="15"/>
        <v>2.3814294632876711</v>
      </c>
      <c r="X21" s="67">
        <f t="shared" si="16"/>
        <v>0</v>
      </c>
      <c r="Y21" s="67">
        <f t="shared" si="17"/>
        <v>2.2528098634931504</v>
      </c>
      <c r="Z21" s="67">
        <f t="shared" si="18"/>
        <v>0</v>
      </c>
      <c r="AA21" s="67">
        <f t="shared" si="19"/>
        <v>2.077486103835616</v>
      </c>
      <c r="AB21" s="67">
        <f t="shared" si="20"/>
        <v>0</v>
      </c>
      <c r="AC21" s="67">
        <f t="shared" si="22"/>
        <v>1.7141195730410952</v>
      </c>
      <c r="AD21" s="100"/>
      <c r="AG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00"/>
      <c r="BW21" s="100"/>
      <c r="BX21" s="100"/>
      <c r="BY21" s="100"/>
      <c r="BZ21" s="100"/>
      <c r="CA21" s="100"/>
      <c r="CB21" s="100"/>
      <c r="CC21" s="100"/>
      <c r="CD21" s="100"/>
      <c r="CQ21" s="106"/>
      <c r="CR21" s="107"/>
    </row>
    <row r="22" spans="1:96" ht="27.95" customHeight="1" x14ac:dyDescent="0.3">
      <c r="A22" s="61"/>
      <c r="B22" s="8" t="s">
        <v>15</v>
      </c>
      <c r="C22" s="8" t="s">
        <v>16</v>
      </c>
      <c r="D22" s="8" t="s">
        <v>98</v>
      </c>
      <c r="E22" s="11">
        <v>26.02696985</v>
      </c>
      <c r="F22" s="11">
        <f t="shared" si="21"/>
        <v>26.02696985</v>
      </c>
      <c r="G22" s="8"/>
      <c r="H22" s="27" t="s">
        <v>147</v>
      </c>
      <c r="I22" s="19">
        <v>39555</v>
      </c>
      <c r="J22" s="28" t="s">
        <v>156</v>
      </c>
      <c r="K22" s="20">
        <v>300</v>
      </c>
      <c r="L22" s="9" t="s">
        <v>154</v>
      </c>
      <c r="M22" s="19">
        <v>48686</v>
      </c>
      <c r="N22" s="9" t="s">
        <v>149</v>
      </c>
      <c r="O22" s="12"/>
      <c r="P22" s="67">
        <f t="shared" si="8"/>
        <v>0</v>
      </c>
      <c r="Q22" s="67">
        <f t="shared" si="9"/>
        <v>4.2728510599999989</v>
      </c>
      <c r="R22" s="67">
        <f t="shared" si="10"/>
        <v>0</v>
      </c>
      <c r="S22" s="67">
        <f t="shared" si="11"/>
        <v>4.4290910399999976</v>
      </c>
      <c r="T22" s="67">
        <f t="shared" si="12"/>
        <v>0</v>
      </c>
      <c r="U22" s="67">
        <f t="shared" si="13"/>
        <v>4.0413240599999982</v>
      </c>
      <c r="V22" s="67">
        <f t="shared" si="14"/>
        <v>0</v>
      </c>
      <c r="W22" s="67">
        <f t="shared" si="15"/>
        <v>3.8148557499999978</v>
      </c>
      <c r="X22" s="67">
        <f t="shared" si="16"/>
        <v>0</v>
      </c>
      <c r="Y22" s="67">
        <f t="shared" si="17"/>
        <v>3.6290588399999981</v>
      </c>
      <c r="Z22" s="67">
        <f t="shared" si="18"/>
        <v>0</v>
      </c>
      <c r="AA22" s="67">
        <f t="shared" si="19"/>
        <v>3.4120149099999981</v>
      </c>
      <c r="AB22" s="67">
        <f t="shared" si="20"/>
        <v>0</v>
      </c>
      <c r="AC22" s="67">
        <f t="shared" si="22"/>
        <v>2.7429950175732314</v>
      </c>
      <c r="AD22" s="100"/>
      <c r="AG22" s="100"/>
      <c r="AL22" s="100"/>
      <c r="AM22" s="100"/>
      <c r="AN22" s="100"/>
      <c r="AO22" s="100"/>
      <c r="AP22" s="100"/>
      <c r="AQ22" s="100"/>
      <c r="AR22" s="100"/>
      <c r="AS22" s="100"/>
      <c r="AT22" s="100"/>
      <c r="AU22" s="100"/>
      <c r="AV22" s="100"/>
      <c r="AW22" s="100"/>
      <c r="AX22" s="100"/>
      <c r="AY22" s="100"/>
      <c r="AZ22" s="100"/>
      <c r="BA22" s="100"/>
      <c r="BB22" s="100"/>
      <c r="BC22" s="100"/>
      <c r="BD22" s="100"/>
      <c r="BE22" s="100"/>
      <c r="BF22" s="100"/>
      <c r="BG22" s="100"/>
      <c r="BH22" s="100"/>
      <c r="BI22" s="100"/>
      <c r="BJ22" s="100"/>
      <c r="BK22" s="100"/>
      <c r="BL22" s="100"/>
      <c r="BM22" s="100"/>
      <c r="BN22" s="100"/>
      <c r="BO22" s="100"/>
      <c r="BP22" s="100"/>
      <c r="BQ22" s="100"/>
      <c r="BR22" s="100"/>
      <c r="BS22" s="100"/>
      <c r="BT22" s="100"/>
      <c r="BU22" s="100"/>
      <c r="BV22" s="100"/>
      <c r="BW22" s="100"/>
      <c r="BX22" s="100"/>
      <c r="BY22" s="100"/>
      <c r="BZ22" s="100"/>
      <c r="CA22" s="100"/>
      <c r="CB22" s="100"/>
      <c r="CC22" s="100"/>
      <c r="CD22" s="100"/>
      <c r="CQ22" s="106"/>
      <c r="CR22" s="107"/>
    </row>
    <row r="23" spans="1:96" ht="27.95" customHeight="1" x14ac:dyDescent="0.3">
      <c r="A23" s="61"/>
      <c r="B23" s="8" t="s">
        <v>23</v>
      </c>
      <c r="C23" s="8" t="s">
        <v>24</v>
      </c>
      <c r="D23" s="8" t="s">
        <v>98</v>
      </c>
      <c r="E23" s="11">
        <v>13.77441659</v>
      </c>
      <c r="F23" s="11">
        <f t="shared" si="21"/>
        <v>13.77441659</v>
      </c>
      <c r="G23" s="8"/>
      <c r="H23" s="27" t="s">
        <v>147</v>
      </c>
      <c r="I23" s="19">
        <v>43084</v>
      </c>
      <c r="J23" s="28" t="s">
        <v>156</v>
      </c>
      <c r="K23" s="20">
        <v>292</v>
      </c>
      <c r="L23" s="9" t="s">
        <v>154</v>
      </c>
      <c r="M23" s="19">
        <v>51971</v>
      </c>
      <c r="N23" s="9" t="s">
        <v>149</v>
      </c>
      <c r="O23" s="12"/>
      <c r="P23" s="67">
        <f t="shared" si="8"/>
        <v>0</v>
      </c>
      <c r="Q23" s="67">
        <f t="shared" si="9"/>
        <v>1.6776386012143147</v>
      </c>
      <c r="R23" s="67">
        <f t="shared" si="10"/>
        <v>0</v>
      </c>
      <c r="S23" s="67">
        <f t="shared" si="11"/>
        <v>1.4960413777424968</v>
      </c>
      <c r="T23" s="67">
        <f t="shared" si="12"/>
        <v>0</v>
      </c>
      <c r="U23" s="67">
        <f t="shared" si="13"/>
        <v>1.3339271869294822</v>
      </c>
      <c r="V23" s="67">
        <f t="shared" si="14"/>
        <v>0</v>
      </c>
      <c r="W23" s="67">
        <f t="shared" si="15"/>
        <v>1.2550309138152242</v>
      </c>
      <c r="X23" s="67">
        <f t="shared" si="16"/>
        <v>0</v>
      </c>
      <c r="Y23" s="67">
        <f t="shared" si="17"/>
        <v>1.1950158645883571</v>
      </c>
      <c r="Z23" s="67">
        <f t="shared" si="18"/>
        <v>0</v>
      </c>
      <c r="AA23" s="67">
        <f t="shared" si="19"/>
        <v>1.1020867735362949</v>
      </c>
      <c r="AB23" s="67">
        <f t="shared" si="20"/>
        <v>0</v>
      </c>
      <c r="AC23" s="67">
        <f t="shared" si="22"/>
        <v>0.89325265167572232</v>
      </c>
      <c r="AD23" s="100"/>
      <c r="AG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c r="BV23" s="100"/>
      <c r="BW23" s="100"/>
      <c r="BX23" s="100"/>
      <c r="BY23" s="100"/>
      <c r="BZ23" s="100"/>
      <c r="CA23" s="100"/>
      <c r="CB23" s="100"/>
      <c r="CC23" s="100"/>
      <c r="CD23" s="100"/>
      <c r="CQ23" s="106"/>
      <c r="CR23" s="107"/>
    </row>
    <row r="24" spans="1:96" ht="27.95" customHeight="1" x14ac:dyDescent="0.3">
      <c r="A24" s="61"/>
      <c r="B24" s="8" t="s">
        <v>144</v>
      </c>
      <c r="C24" s="8" t="s">
        <v>215</v>
      </c>
      <c r="D24" s="8" t="s">
        <v>98</v>
      </c>
      <c r="E24" s="11">
        <v>5.0544665999999996</v>
      </c>
      <c r="F24" s="11">
        <f>+IF($D24="USD",$E24,$E24/$C$52)</f>
        <v>5.0544665999999996</v>
      </c>
      <c r="G24" s="214"/>
      <c r="H24" s="27" t="s">
        <v>147</v>
      </c>
      <c r="I24" s="19">
        <v>44774</v>
      </c>
      <c r="J24" s="28" t="s">
        <v>157</v>
      </c>
      <c r="K24" s="20">
        <v>173</v>
      </c>
      <c r="L24" s="9" t="s">
        <v>154</v>
      </c>
      <c r="M24" s="19">
        <v>50055</v>
      </c>
      <c r="N24" s="9" t="s">
        <v>149</v>
      </c>
      <c r="O24" s="12"/>
      <c r="P24" s="67">
        <f t="shared" ref="P24:AB25" si="23">+F77+F122</f>
        <v>0</v>
      </c>
      <c r="Q24" s="67">
        <f t="shared" si="23"/>
        <v>0.30642318999999996</v>
      </c>
      <c r="R24" s="67">
        <f t="shared" si="23"/>
        <v>0</v>
      </c>
      <c r="S24" s="67">
        <f t="shared" si="23"/>
        <v>0.32089403576523579</v>
      </c>
      <c r="T24" s="67">
        <f t="shared" si="23"/>
        <v>0</v>
      </c>
      <c r="U24" s="67">
        <f t="shared" si="23"/>
        <v>0.66545046321550594</v>
      </c>
      <c r="V24" s="67">
        <f t="shared" si="23"/>
        <v>0</v>
      </c>
      <c r="W24" s="67">
        <f t="shared" si="23"/>
        <v>0.61798763628253295</v>
      </c>
      <c r="X24" s="67">
        <f t="shared" si="23"/>
        <v>0</v>
      </c>
      <c r="Y24" s="67">
        <f t="shared" si="23"/>
        <v>0.59474985962332427</v>
      </c>
      <c r="Z24" s="67">
        <f t="shared" si="23"/>
        <v>0</v>
      </c>
      <c r="AA24" s="67">
        <f t="shared" si="23"/>
        <v>0.57520790997232596</v>
      </c>
      <c r="AB24" s="67">
        <f t="shared" si="23"/>
        <v>0</v>
      </c>
      <c r="AC24" s="67">
        <f>+S77+S122</f>
        <v>0.48954555190605087</v>
      </c>
      <c r="AD24" s="100"/>
      <c r="AG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100"/>
      <c r="BP24" s="100"/>
      <c r="BQ24" s="100"/>
      <c r="BR24" s="100"/>
      <c r="BS24" s="100"/>
      <c r="BT24" s="100"/>
      <c r="BU24" s="100"/>
      <c r="BV24" s="100"/>
      <c r="BW24" s="100"/>
      <c r="BX24" s="100"/>
      <c r="BY24" s="100"/>
      <c r="BZ24" s="100"/>
      <c r="CA24" s="100"/>
      <c r="CB24" s="100"/>
      <c r="CC24" s="100"/>
      <c r="CD24" s="100"/>
      <c r="CQ24" s="106"/>
      <c r="CR24" s="107"/>
    </row>
    <row r="25" spans="1:96" ht="27.95" customHeight="1" x14ac:dyDescent="0.3">
      <c r="A25" s="61"/>
      <c r="B25" s="8" t="s">
        <v>17</v>
      </c>
      <c r="C25" s="8" t="s">
        <v>18</v>
      </c>
      <c r="D25" s="8" t="s">
        <v>98</v>
      </c>
      <c r="E25" s="11">
        <v>4.8708097700000001</v>
      </c>
      <c r="F25" s="11">
        <f>+IF($D25="USD",$E25,$E25/$C$52)</f>
        <v>4.8708097700000001</v>
      </c>
      <c r="G25" s="8"/>
      <c r="H25" s="27" t="s">
        <v>147</v>
      </c>
      <c r="I25" s="19">
        <v>38588</v>
      </c>
      <c r="J25" s="28" t="s">
        <v>156</v>
      </c>
      <c r="K25" s="20">
        <v>240</v>
      </c>
      <c r="L25" s="9" t="s">
        <v>154</v>
      </c>
      <c r="M25" s="19">
        <v>45893</v>
      </c>
      <c r="N25" s="9" t="s">
        <v>149</v>
      </c>
      <c r="O25" s="12"/>
      <c r="P25" s="67">
        <f t="shared" si="23"/>
        <v>0</v>
      </c>
      <c r="Q25" s="67">
        <f t="shared" si="23"/>
        <v>5.4484824392380711</v>
      </c>
      <c r="R25" s="67">
        <f t="shared" si="23"/>
        <v>0</v>
      </c>
      <c r="S25" s="67">
        <f t="shared" si="23"/>
        <v>5.0862958111943586</v>
      </c>
      <c r="T25" s="67">
        <f t="shared" si="23"/>
        <v>0</v>
      </c>
      <c r="U25" s="67">
        <f t="shared" si="23"/>
        <v>0</v>
      </c>
      <c r="V25" s="67">
        <f t="shared" si="23"/>
        <v>0</v>
      </c>
      <c r="W25" s="67">
        <f t="shared" si="23"/>
        <v>0</v>
      </c>
      <c r="X25" s="67">
        <f t="shared" si="23"/>
        <v>0</v>
      </c>
      <c r="Y25" s="67">
        <f t="shared" si="23"/>
        <v>0</v>
      </c>
      <c r="Z25" s="67">
        <f t="shared" si="23"/>
        <v>0</v>
      </c>
      <c r="AA25" s="67">
        <f t="shared" si="23"/>
        <v>0</v>
      </c>
      <c r="AB25" s="67">
        <f t="shared" si="23"/>
        <v>0</v>
      </c>
      <c r="AC25" s="67">
        <f>+S78+S123</f>
        <v>0</v>
      </c>
      <c r="AD25" s="100"/>
      <c r="AG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100"/>
      <c r="BS25" s="100"/>
      <c r="BT25" s="100"/>
      <c r="BU25" s="100"/>
      <c r="BV25" s="100"/>
      <c r="BW25" s="100"/>
      <c r="BX25" s="100"/>
      <c r="BY25" s="100"/>
      <c r="BZ25" s="100"/>
      <c r="CA25" s="100"/>
      <c r="CB25" s="100"/>
      <c r="CC25" s="100"/>
      <c r="CD25" s="100"/>
      <c r="CQ25" s="106"/>
      <c r="CR25" s="107"/>
    </row>
    <row r="26" spans="1:96" ht="27.95" customHeight="1" x14ac:dyDescent="0.3">
      <c r="A26" s="61"/>
      <c r="B26" s="8" t="s">
        <v>21</v>
      </c>
      <c r="C26" s="8" t="s">
        <v>22</v>
      </c>
      <c r="D26" s="8" t="s">
        <v>98</v>
      </c>
      <c r="E26" s="11">
        <v>3.3474451799999998</v>
      </c>
      <c r="F26" s="11">
        <f t="shared" si="21"/>
        <v>3.3474451799999998</v>
      </c>
      <c r="G26" s="214"/>
      <c r="H26" s="27" t="s">
        <v>147</v>
      </c>
      <c r="I26" s="19">
        <v>40852</v>
      </c>
      <c r="J26" s="28" t="s">
        <v>156</v>
      </c>
      <c r="K26" s="20">
        <v>252</v>
      </c>
      <c r="L26" s="9" t="s">
        <v>154</v>
      </c>
      <c r="M26" s="19">
        <v>48523</v>
      </c>
      <c r="N26" s="9" t="s">
        <v>149</v>
      </c>
      <c r="O26" s="12"/>
      <c r="P26" s="67">
        <f t="shared" si="8"/>
        <v>0</v>
      </c>
      <c r="Q26" s="67">
        <f t="shared" si="9"/>
        <v>0.60244452235020796</v>
      </c>
      <c r="R26" s="67">
        <f t="shared" si="10"/>
        <v>0</v>
      </c>
      <c r="S26" s="67">
        <f t="shared" si="11"/>
        <v>0.58790038749203322</v>
      </c>
      <c r="T26" s="67">
        <f t="shared" si="12"/>
        <v>0</v>
      </c>
      <c r="U26" s="67">
        <f t="shared" si="13"/>
        <v>0.53868269327607343</v>
      </c>
      <c r="V26" s="67">
        <f t="shared" si="14"/>
        <v>0</v>
      </c>
      <c r="W26" s="67">
        <f t="shared" si="15"/>
        <v>0.50932114835329656</v>
      </c>
      <c r="X26" s="67">
        <f t="shared" si="16"/>
        <v>0</v>
      </c>
      <c r="Y26" s="67">
        <f t="shared" si="17"/>
        <v>0.48388606761611169</v>
      </c>
      <c r="Z26" s="67">
        <f t="shared" si="18"/>
        <v>0</v>
      </c>
      <c r="AA26" s="67">
        <f t="shared" si="19"/>
        <v>0.45616533728197195</v>
      </c>
      <c r="AB26" s="67">
        <f t="shared" si="20"/>
        <v>0</v>
      </c>
      <c r="AC26" s="67">
        <f t="shared" si="22"/>
        <v>0.42274375405157566</v>
      </c>
      <c r="AD26" s="100"/>
      <c r="AG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00"/>
      <c r="BL26" s="100"/>
      <c r="BM26" s="100"/>
      <c r="BN26" s="100"/>
      <c r="BO26" s="100"/>
      <c r="BP26" s="100"/>
      <c r="BQ26" s="100"/>
      <c r="BR26" s="100"/>
      <c r="BS26" s="100"/>
      <c r="BT26" s="100"/>
      <c r="BU26" s="100"/>
      <c r="BV26" s="100"/>
      <c r="BW26" s="100"/>
      <c r="BX26" s="100"/>
      <c r="BY26" s="100"/>
      <c r="BZ26" s="100"/>
      <c r="CA26" s="100"/>
      <c r="CB26" s="100"/>
      <c r="CC26" s="100"/>
      <c r="CD26" s="100"/>
      <c r="CQ26" s="106"/>
      <c r="CR26" s="107"/>
    </row>
    <row r="27" spans="1:96" ht="27.95" customHeight="1" x14ac:dyDescent="0.3">
      <c r="A27" s="61"/>
      <c r="B27" s="8" t="s">
        <v>27</v>
      </c>
      <c r="C27" s="8" t="s">
        <v>28</v>
      </c>
      <c r="D27" s="8" t="s">
        <v>98</v>
      </c>
      <c r="E27" s="11">
        <v>0.39715329999999999</v>
      </c>
      <c r="F27" s="11">
        <f t="shared" si="21"/>
        <v>0.39715329999999999</v>
      </c>
      <c r="G27" s="214"/>
      <c r="H27" s="27" t="s">
        <v>147</v>
      </c>
      <c r="I27" s="19">
        <v>40360</v>
      </c>
      <c r="J27" s="28" t="s">
        <v>156</v>
      </c>
      <c r="K27" s="20">
        <v>290</v>
      </c>
      <c r="L27" s="9" t="s">
        <v>153</v>
      </c>
      <c r="M27" s="19">
        <v>49188</v>
      </c>
      <c r="N27" s="9" t="s">
        <v>149</v>
      </c>
      <c r="O27" s="12"/>
      <c r="P27" s="67">
        <f t="shared" si="8"/>
        <v>0</v>
      </c>
      <c r="Q27" s="67">
        <f t="shared" si="9"/>
        <v>3.0962857812724238E-2</v>
      </c>
      <c r="R27" s="67">
        <f t="shared" si="10"/>
        <v>0</v>
      </c>
      <c r="S27" s="67">
        <f t="shared" si="11"/>
        <v>3.0962859307629324E-2</v>
      </c>
      <c r="T27" s="67">
        <f t="shared" si="12"/>
        <v>0</v>
      </c>
      <c r="U27" s="67">
        <f t="shared" si="13"/>
        <v>3.0962854633739899E-2</v>
      </c>
      <c r="V27" s="67">
        <f t="shared" si="14"/>
        <v>0</v>
      </c>
      <c r="W27" s="67">
        <f t="shared" si="15"/>
        <v>3.0962857458399686E-2</v>
      </c>
      <c r="X27" s="67">
        <f t="shared" si="16"/>
        <v>0</v>
      </c>
      <c r="Y27" s="67">
        <f t="shared" si="17"/>
        <v>3.0962860895128431E-2</v>
      </c>
      <c r="Z27" s="67">
        <f t="shared" si="18"/>
        <v>0</v>
      </c>
      <c r="AA27" s="67">
        <f t="shared" si="19"/>
        <v>3.0962857497001992E-2</v>
      </c>
      <c r="AB27" s="67">
        <f t="shared" si="20"/>
        <v>0</v>
      </c>
      <c r="AC27" s="67">
        <f t="shared" si="22"/>
        <v>2.8382614471655798E-2</v>
      </c>
      <c r="AD27" s="100"/>
      <c r="AG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00"/>
      <c r="BL27" s="100"/>
      <c r="BM27" s="100"/>
      <c r="BN27" s="100"/>
      <c r="BO27" s="100"/>
      <c r="BP27" s="100"/>
      <c r="BQ27" s="100"/>
      <c r="BR27" s="100"/>
      <c r="BS27" s="100"/>
      <c r="BT27" s="100"/>
      <c r="BU27" s="100"/>
      <c r="BV27" s="100"/>
      <c r="BW27" s="100"/>
      <c r="BX27" s="100"/>
      <c r="BY27" s="100"/>
      <c r="BZ27" s="100"/>
      <c r="CA27" s="100"/>
      <c r="CB27" s="100"/>
      <c r="CC27" s="100"/>
      <c r="CD27" s="100"/>
      <c r="CQ27" s="106"/>
      <c r="CR27" s="107"/>
    </row>
    <row r="28" spans="1:96" ht="27.95" customHeight="1" x14ac:dyDescent="0.3">
      <c r="A28" s="61"/>
      <c r="B28" s="8" t="s">
        <v>25</v>
      </c>
      <c r="C28" s="8" t="s">
        <v>26</v>
      </c>
      <c r="D28" s="8" t="s">
        <v>98</v>
      </c>
      <c r="E28" s="11">
        <v>0.12025969</v>
      </c>
      <c r="F28" s="11">
        <f t="shared" si="21"/>
        <v>0.12025969</v>
      </c>
      <c r="G28" s="214"/>
      <c r="H28" s="27" t="s">
        <v>147</v>
      </c>
      <c r="I28" s="19">
        <v>38643</v>
      </c>
      <c r="J28" s="28" t="s">
        <v>156</v>
      </c>
      <c r="K28" s="20">
        <v>228</v>
      </c>
      <c r="L28" s="9" t="s">
        <v>154</v>
      </c>
      <c r="M28" s="19">
        <v>45583</v>
      </c>
      <c r="N28" s="9" t="s">
        <v>149</v>
      </c>
      <c r="O28" s="12"/>
      <c r="P28" s="67">
        <f t="shared" si="8"/>
        <v>0</v>
      </c>
      <c r="Q28" s="67">
        <f t="shared" si="9"/>
        <v>0.25030606469357891</v>
      </c>
      <c r="R28" s="67">
        <f t="shared" si="10"/>
        <v>0</v>
      </c>
      <c r="S28" s="67">
        <f t="shared" si="11"/>
        <v>0</v>
      </c>
      <c r="T28" s="67">
        <f t="shared" si="12"/>
        <v>0</v>
      </c>
      <c r="U28" s="67">
        <f t="shared" si="13"/>
        <v>0</v>
      </c>
      <c r="V28" s="67">
        <f t="shared" si="14"/>
        <v>0</v>
      </c>
      <c r="W28" s="67">
        <f t="shared" si="15"/>
        <v>0</v>
      </c>
      <c r="X28" s="67">
        <f t="shared" si="16"/>
        <v>0</v>
      </c>
      <c r="Y28" s="67">
        <f t="shared" si="17"/>
        <v>0</v>
      </c>
      <c r="Z28" s="67">
        <f t="shared" si="18"/>
        <v>0</v>
      </c>
      <c r="AA28" s="67">
        <f t="shared" si="19"/>
        <v>0</v>
      </c>
      <c r="AB28" s="67">
        <f t="shared" si="20"/>
        <v>0</v>
      </c>
      <c r="AC28" s="67">
        <f t="shared" si="22"/>
        <v>0</v>
      </c>
      <c r="AD28" s="100"/>
      <c r="AG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100"/>
      <c r="BP28" s="100"/>
      <c r="BQ28" s="100"/>
      <c r="BR28" s="100"/>
      <c r="BS28" s="100"/>
      <c r="BT28" s="100"/>
      <c r="BU28" s="100"/>
      <c r="BV28" s="100"/>
      <c r="BW28" s="100"/>
      <c r="BX28" s="100"/>
      <c r="BY28" s="100"/>
      <c r="BZ28" s="100"/>
      <c r="CA28" s="100"/>
      <c r="CB28" s="100"/>
      <c r="CC28" s="100"/>
      <c r="CD28" s="100"/>
      <c r="CQ28" s="106"/>
      <c r="CR28" s="107"/>
    </row>
    <row r="29" spans="1:96" ht="27.95" customHeight="1" x14ac:dyDescent="0.3">
      <c r="A29" s="61"/>
      <c r="B29" s="8" t="s">
        <v>29</v>
      </c>
      <c r="C29" s="8" t="s">
        <v>30</v>
      </c>
      <c r="D29" s="8" t="s">
        <v>98</v>
      </c>
      <c r="E29" s="11">
        <v>6.5215330000000002E-2</v>
      </c>
      <c r="F29" s="11">
        <f t="shared" si="21"/>
        <v>6.5215330000000002E-2</v>
      </c>
      <c r="G29" s="214"/>
      <c r="H29" s="27" t="s">
        <v>147</v>
      </c>
      <c r="I29" s="19">
        <v>40360</v>
      </c>
      <c r="J29" s="28" t="s">
        <v>156</v>
      </c>
      <c r="K29" s="20">
        <v>158</v>
      </c>
      <c r="L29" s="9" t="s">
        <v>153</v>
      </c>
      <c r="M29" s="19">
        <v>45170</v>
      </c>
      <c r="N29" s="9" t="s">
        <v>149</v>
      </c>
      <c r="O29" s="12"/>
      <c r="P29" s="67">
        <f t="shared" si="8"/>
        <v>0</v>
      </c>
      <c r="Q29" s="67">
        <f t="shared" si="9"/>
        <v>0</v>
      </c>
      <c r="R29" s="67">
        <f t="shared" si="10"/>
        <v>0</v>
      </c>
      <c r="S29" s="67">
        <f t="shared" si="11"/>
        <v>0</v>
      </c>
      <c r="T29" s="67">
        <f t="shared" si="12"/>
        <v>0</v>
      </c>
      <c r="U29" s="67">
        <f t="shared" si="13"/>
        <v>0</v>
      </c>
      <c r="V29" s="67">
        <f t="shared" si="14"/>
        <v>0</v>
      </c>
      <c r="W29" s="67">
        <f t="shared" si="15"/>
        <v>0</v>
      </c>
      <c r="X29" s="67">
        <f t="shared" si="16"/>
        <v>0</v>
      </c>
      <c r="Y29" s="67">
        <f t="shared" si="17"/>
        <v>0</v>
      </c>
      <c r="Z29" s="67">
        <f t="shared" si="18"/>
        <v>0</v>
      </c>
      <c r="AA29" s="67">
        <f t="shared" si="19"/>
        <v>0</v>
      </c>
      <c r="AB29" s="67">
        <f t="shared" si="20"/>
        <v>0</v>
      </c>
      <c r="AC29" s="67">
        <f t="shared" si="22"/>
        <v>0</v>
      </c>
      <c r="AD29" s="100"/>
      <c r="AG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100"/>
      <c r="BS29" s="100"/>
      <c r="BT29" s="100"/>
      <c r="BU29" s="100"/>
      <c r="BV29" s="100"/>
      <c r="BW29" s="100"/>
      <c r="BX29" s="100"/>
      <c r="BY29" s="100"/>
      <c r="BZ29" s="100"/>
      <c r="CA29" s="100"/>
      <c r="CB29" s="100"/>
      <c r="CC29" s="100"/>
      <c r="CD29" s="100"/>
      <c r="CQ29" s="106"/>
      <c r="CR29" s="107"/>
    </row>
    <row r="30" spans="1:96" ht="27.95" customHeight="1" x14ac:dyDescent="0.3">
      <c r="A30" s="61"/>
      <c r="B30" s="175" t="s">
        <v>31</v>
      </c>
      <c r="C30" s="175"/>
      <c r="D30" s="175"/>
      <c r="E30" s="175"/>
      <c r="F30" s="176">
        <f>+SUM(F31:F33)</f>
        <v>31.68857938</v>
      </c>
      <c r="G30" s="175"/>
      <c r="H30" s="177"/>
      <c r="I30" s="175"/>
      <c r="J30" s="178"/>
      <c r="K30" s="175"/>
      <c r="L30" s="175"/>
      <c r="M30" s="175"/>
      <c r="N30" s="175"/>
      <c r="O30" s="23"/>
      <c r="P30" s="185">
        <f t="shared" ref="P30:AB30" si="24">+SUM(P31:P33)</f>
        <v>0</v>
      </c>
      <c r="Q30" s="185">
        <f t="shared" si="24"/>
        <v>3.2151080408927761</v>
      </c>
      <c r="R30" s="185">
        <f t="shared" si="24"/>
        <v>0</v>
      </c>
      <c r="S30" s="185">
        <f t="shared" si="24"/>
        <v>4.1779063315127374</v>
      </c>
      <c r="T30" s="185">
        <f t="shared" si="24"/>
        <v>0</v>
      </c>
      <c r="U30" s="185">
        <f t="shared" si="24"/>
        <v>3.8057978834671919</v>
      </c>
      <c r="V30" s="185">
        <f t="shared" si="24"/>
        <v>0</v>
      </c>
      <c r="W30" s="185">
        <f t="shared" si="24"/>
        <v>3.544245923501077</v>
      </c>
      <c r="X30" s="185">
        <f t="shared" si="24"/>
        <v>0</v>
      </c>
      <c r="Y30" s="185">
        <f t="shared" si="24"/>
        <v>3.4189412653476219</v>
      </c>
      <c r="Z30" s="185">
        <f t="shared" si="24"/>
        <v>0</v>
      </c>
      <c r="AA30" s="185">
        <f t="shared" si="24"/>
        <v>3.3088079981348208</v>
      </c>
      <c r="AB30" s="185">
        <f t="shared" si="24"/>
        <v>0</v>
      </c>
      <c r="AC30" s="185">
        <f>+SUM(AC31:AC33)</f>
        <v>2.7697261611864055</v>
      </c>
      <c r="AD30" s="101"/>
      <c r="AG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c r="BY30" s="101"/>
      <c r="BZ30" s="101"/>
      <c r="CA30" s="101"/>
      <c r="CB30" s="101"/>
      <c r="CC30" s="101"/>
      <c r="CD30" s="101"/>
      <c r="CQ30" s="106"/>
      <c r="CR30" s="107"/>
    </row>
    <row r="31" spans="1:96" ht="27.95" customHeight="1" x14ac:dyDescent="0.3">
      <c r="A31" s="61"/>
      <c r="B31" s="8" t="s">
        <v>32</v>
      </c>
      <c r="C31" s="8" t="s">
        <v>33</v>
      </c>
      <c r="D31" s="8" t="s">
        <v>98</v>
      </c>
      <c r="E31" s="11">
        <v>24.983807840000001</v>
      </c>
      <c r="F31" s="11">
        <f>+IF($D31="USD",$E31,$E31/$C$52)</f>
        <v>24.983807840000001</v>
      </c>
      <c r="G31" s="212"/>
      <c r="H31" s="27" t="s">
        <v>147</v>
      </c>
      <c r="I31" s="19">
        <v>39706</v>
      </c>
      <c r="J31" s="28" t="s">
        <v>156</v>
      </c>
      <c r="K31" s="20">
        <v>360</v>
      </c>
      <c r="L31" s="9" t="s">
        <v>154</v>
      </c>
      <c r="M31" s="19">
        <v>50663</v>
      </c>
      <c r="N31" s="9" t="s">
        <v>149</v>
      </c>
      <c r="O31" s="12"/>
      <c r="P31" s="67">
        <f t="shared" ref="P31:AC33" si="25">+F84+F129</f>
        <v>0</v>
      </c>
      <c r="Q31" s="67">
        <f t="shared" si="25"/>
        <v>2.7748136905100136</v>
      </c>
      <c r="R31" s="67">
        <f t="shared" si="25"/>
        <v>0</v>
      </c>
      <c r="S31" s="67">
        <f t="shared" si="25"/>
        <v>3.3336133419049885</v>
      </c>
      <c r="T31" s="67">
        <f t="shared" si="25"/>
        <v>0</v>
      </c>
      <c r="U31" s="67">
        <f t="shared" si="25"/>
        <v>2.9909861510363802</v>
      </c>
      <c r="V31" s="67">
        <f t="shared" si="25"/>
        <v>0</v>
      </c>
      <c r="W31" s="67">
        <f t="shared" si="25"/>
        <v>2.7919626878141979</v>
      </c>
      <c r="X31" s="67">
        <f t="shared" si="25"/>
        <v>0</v>
      </c>
      <c r="Y31" s="67">
        <f t="shared" si="25"/>
        <v>2.6966998911490228</v>
      </c>
      <c r="Z31" s="67">
        <f t="shared" si="25"/>
        <v>0</v>
      </c>
      <c r="AA31" s="67">
        <f t="shared" si="25"/>
        <v>2.6095200582060265</v>
      </c>
      <c r="AB31" s="67">
        <f t="shared" si="25"/>
        <v>0</v>
      </c>
      <c r="AC31" s="67">
        <f t="shared" si="25"/>
        <v>2.1866308862913439</v>
      </c>
      <c r="AD31" s="100"/>
      <c r="AG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0"/>
      <c r="BS31" s="100"/>
      <c r="BT31" s="100"/>
      <c r="BU31" s="100"/>
      <c r="BV31" s="100"/>
      <c r="BW31" s="100"/>
      <c r="BX31" s="100"/>
      <c r="BY31" s="100"/>
      <c r="BZ31" s="100"/>
      <c r="CA31" s="100"/>
      <c r="CB31" s="100"/>
      <c r="CC31" s="100"/>
      <c r="CD31" s="100"/>
      <c r="CQ31" s="106"/>
      <c r="CR31" s="107"/>
    </row>
    <row r="32" spans="1:96" ht="27.95" customHeight="1" x14ac:dyDescent="0.3">
      <c r="A32" s="61"/>
      <c r="B32" s="8" t="s">
        <v>247</v>
      </c>
      <c r="C32" s="8" t="s">
        <v>171</v>
      </c>
      <c r="D32" s="8" t="s">
        <v>98</v>
      </c>
      <c r="E32" s="11">
        <v>4.8012928400000003</v>
      </c>
      <c r="F32" s="11">
        <f>+IF($D32="USD",$E32,$E32/$C$52)</f>
        <v>4.8012928400000003</v>
      </c>
      <c r="G32" s="212"/>
      <c r="H32" s="27" t="s">
        <v>147</v>
      </c>
      <c r="I32" s="165">
        <v>43918</v>
      </c>
      <c r="J32" s="28" t="s">
        <v>157</v>
      </c>
      <c r="K32" s="20">
        <v>180</v>
      </c>
      <c r="L32" s="9" t="s">
        <v>154</v>
      </c>
      <c r="M32" s="165">
        <v>49396</v>
      </c>
      <c r="N32" s="9" t="s">
        <v>149</v>
      </c>
      <c r="O32" s="12"/>
      <c r="P32" s="226">
        <f t="shared" si="25"/>
        <v>0</v>
      </c>
      <c r="Q32" s="226">
        <f t="shared" si="25"/>
        <v>0.3371442703827629</v>
      </c>
      <c r="R32" s="226">
        <f t="shared" si="25"/>
        <v>0</v>
      </c>
      <c r="S32" s="226">
        <f t="shared" si="25"/>
        <v>0.7194341696077492</v>
      </c>
      <c r="T32" s="226">
        <f t="shared" si="25"/>
        <v>0</v>
      </c>
      <c r="U32" s="226">
        <f t="shared" si="25"/>
        <v>0.63635601145133946</v>
      </c>
      <c r="V32" s="226">
        <f t="shared" si="25"/>
        <v>0</v>
      </c>
      <c r="W32" s="226">
        <f t="shared" si="25"/>
        <v>0.58848924470740727</v>
      </c>
      <c r="X32" s="226">
        <f t="shared" si="25"/>
        <v>0</v>
      </c>
      <c r="Y32" s="226">
        <f t="shared" si="25"/>
        <v>0.56375437321912725</v>
      </c>
      <c r="Z32" s="226">
        <f t="shared" si="25"/>
        <v>0</v>
      </c>
      <c r="AA32" s="226">
        <f t="shared" si="25"/>
        <v>0.54464011894932229</v>
      </c>
      <c r="AB32" s="226">
        <f t="shared" si="25"/>
        <v>0</v>
      </c>
      <c r="AC32" s="226">
        <f t="shared" si="25"/>
        <v>0.47006678315413952</v>
      </c>
      <c r="AD32" s="100"/>
      <c r="AG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100"/>
      <c r="BR32" s="100"/>
      <c r="BS32" s="100"/>
      <c r="BT32" s="100"/>
      <c r="BU32" s="100"/>
      <c r="BV32" s="100"/>
      <c r="BW32" s="100"/>
      <c r="BX32" s="100"/>
      <c r="BY32" s="100"/>
      <c r="BZ32" s="100"/>
      <c r="CA32" s="100"/>
      <c r="CB32" s="100"/>
      <c r="CC32" s="100"/>
      <c r="CD32" s="100"/>
      <c r="CQ32" s="106"/>
      <c r="CR32" s="107"/>
    </row>
    <row r="33" spans="1:96" ht="27.95" customHeight="1" x14ac:dyDescent="0.3">
      <c r="A33" s="61"/>
      <c r="B33" s="8" t="s">
        <v>145</v>
      </c>
      <c r="C33" s="8" t="s">
        <v>146</v>
      </c>
      <c r="D33" s="8" t="s">
        <v>98</v>
      </c>
      <c r="E33" s="11">
        <v>1.9034787</v>
      </c>
      <c r="F33" s="11">
        <f>+IF($D33="USD",$E33,$E33/$C$52)</f>
        <v>1.9034787</v>
      </c>
      <c r="G33" s="212"/>
      <c r="H33" s="27" t="s">
        <v>147</v>
      </c>
      <c r="I33" s="19">
        <v>44837</v>
      </c>
      <c r="J33" s="28" t="s">
        <v>157</v>
      </c>
      <c r="K33" s="20">
        <v>327</v>
      </c>
      <c r="L33" s="9" t="s">
        <v>154</v>
      </c>
      <c r="M33" s="19">
        <v>54803</v>
      </c>
      <c r="N33" s="9" t="s">
        <v>149</v>
      </c>
      <c r="O33" s="12"/>
      <c r="P33" s="67">
        <f t="shared" si="25"/>
        <v>0</v>
      </c>
      <c r="Q33" s="67">
        <f t="shared" si="25"/>
        <v>0.10315008000000001</v>
      </c>
      <c r="R33" s="67">
        <f t="shared" si="25"/>
        <v>0</v>
      </c>
      <c r="S33" s="67">
        <f t="shared" si="25"/>
        <v>0.12485882000000001</v>
      </c>
      <c r="T33" s="67">
        <f t="shared" si="25"/>
        <v>0</v>
      </c>
      <c r="U33" s="67">
        <f t="shared" si="25"/>
        <v>0.17845572097947204</v>
      </c>
      <c r="V33" s="67">
        <f t="shared" si="25"/>
        <v>0</v>
      </c>
      <c r="W33" s="67">
        <f t="shared" si="25"/>
        <v>0.16379399097947206</v>
      </c>
      <c r="X33" s="67">
        <f t="shared" si="25"/>
        <v>0</v>
      </c>
      <c r="Y33" s="67">
        <f t="shared" si="25"/>
        <v>0.15848700097947205</v>
      </c>
      <c r="Z33" s="67">
        <f t="shared" si="25"/>
        <v>0</v>
      </c>
      <c r="AA33" s="67">
        <f t="shared" si="25"/>
        <v>0.15464782097947205</v>
      </c>
      <c r="AB33" s="67">
        <f t="shared" si="25"/>
        <v>0</v>
      </c>
      <c r="AC33" s="67">
        <f t="shared" si="25"/>
        <v>0.1130284917409223</v>
      </c>
      <c r="AD33" s="100"/>
      <c r="AG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100"/>
      <c r="BS33" s="100"/>
      <c r="BT33" s="100"/>
      <c r="BU33" s="100"/>
      <c r="BV33" s="100"/>
      <c r="BW33" s="100"/>
      <c r="BX33" s="100"/>
      <c r="BY33" s="100"/>
      <c r="BZ33" s="100"/>
      <c r="CA33" s="100"/>
      <c r="CB33" s="100"/>
      <c r="CC33" s="100"/>
      <c r="CD33" s="100"/>
      <c r="CQ33" s="106"/>
      <c r="CR33" s="107"/>
    </row>
    <row r="34" spans="1:96" ht="27.95" customHeight="1" x14ac:dyDescent="0.3">
      <c r="A34" s="61"/>
      <c r="B34" s="170" t="s">
        <v>92</v>
      </c>
      <c r="C34" s="170"/>
      <c r="D34" s="170"/>
      <c r="E34" s="170"/>
      <c r="F34" s="171">
        <f>+SUM(F35:F43)</f>
        <v>438.32956278459045</v>
      </c>
      <c r="G34" s="172">
        <f>+F34/$F$45</f>
        <v>0.68571634699014739</v>
      </c>
      <c r="H34" s="173"/>
      <c r="I34" s="170"/>
      <c r="J34" s="174"/>
      <c r="K34" s="170"/>
      <c r="L34" s="170"/>
      <c r="M34" s="170"/>
      <c r="N34" s="170"/>
      <c r="O34" s="22"/>
      <c r="P34" s="183">
        <f t="shared" ref="P34:AC34" si="26">+SUM(P35:P43)</f>
        <v>36372.493605538381</v>
      </c>
      <c r="Q34" s="183">
        <f t="shared" si="26"/>
        <v>103.75362912999999</v>
      </c>
      <c r="R34" s="183">
        <f t="shared" si="26"/>
        <v>42249.283042679315</v>
      </c>
      <c r="S34" s="183">
        <f t="shared" si="26"/>
        <v>99.171135673076932</v>
      </c>
      <c r="T34" s="183">
        <f t="shared" si="26"/>
        <v>15341.384399418186</v>
      </c>
      <c r="U34" s="183">
        <f t="shared" si="26"/>
        <v>94.58864221153847</v>
      </c>
      <c r="V34" s="183">
        <f t="shared" si="26"/>
        <v>7818.0819321401714</v>
      </c>
      <c r="W34" s="183">
        <f t="shared" si="26"/>
        <v>90.006148750000008</v>
      </c>
      <c r="X34" s="183">
        <f t="shared" si="26"/>
        <v>932.68981549815715</v>
      </c>
      <c r="Y34" s="183">
        <f t="shared" si="26"/>
        <v>85.423655288461546</v>
      </c>
      <c r="Z34" s="183">
        <f t="shared" si="26"/>
        <v>892.55726627412469</v>
      </c>
      <c r="AA34" s="183">
        <f t="shared" si="26"/>
        <v>40.993392596153853</v>
      </c>
      <c r="AB34" s="183">
        <f t="shared" si="26"/>
        <v>632.1306185235635</v>
      </c>
      <c r="AC34" s="183">
        <f t="shared" si="26"/>
        <v>0</v>
      </c>
      <c r="AD34" s="105"/>
      <c r="AG34" s="105"/>
      <c r="AL34" s="105"/>
      <c r="AM34" s="105"/>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5"/>
      <c r="BQ34" s="105"/>
      <c r="BR34" s="105"/>
      <c r="BS34" s="105"/>
      <c r="BT34" s="105"/>
      <c r="BU34" s="105"/>
      <c r="BV34" s="105"/>
      <c r="BW34" s="105"/>
      <c r="BX34" s="105"/>
      <c r="BY34" s="105"/>
      <c r="BZ34" s="105"/>
      <c r="CA34" s="105"/>
      <c r="CB34" s="105"/>
      <c r="CC34" s="105"/>
      <c r="CD34" s="105"/>
    </row>
    <row r="35" spans="1:96" ht="27.95" customHeight="1" x14ac:dyDescent="0.3">
      <c r="A35" s="61"/>
      <c r="B35" s="8" t="s">
        <v>242</v>
      </c>
      <c r="C35" s="8" t="s">
        <v>122</v>
      </c>
      <c r="D35" s="8" t="s">
        <v>98</v>
      </c>
      <c r="E35" s="11">
        <v>358.62992308000003</v>
      </c>
      <c r="F35" s="11">
        <f t="shared" ref="F35:F43" si="27">+IF($D35="USD",$E35,$E35/$C$52)</f>
        <v>358.62992308000003</v>
      </c>
      <c r="G35" s="216"/>
      <c r="H35" s="27" t="s">
        <v>158</v>
      </c>
      <c r="I35" s="19">
        <v>43970</v>
      </c>
      <c r="J35" s="28">
        <v>5.7500000000000002E-2</v>
      </c>
      <c r="K35" s="20">
        <v>106</v>
      </c>
      <c r="L35" s="9" t="s">
        <v>154</v>
      </c>
      <c r="M35" s="19">
        <v>47196</v>
      </c>
      <c r="N35" s="9" t="s">
        <v>132</v>
      </c>
      <c r="O35" s="12"/>
      <c r="P35" s="67">
        <f t="shared" ref="P35:AC37" si="28">+F88+F133</f>
        <v>0</v>
      </c>
      <c r="Q35" s="67">
        <f t="shared" si="28"/>
        <v>103.75362912999999</v>
      </c>
      <c r="R35" s="67">
        <f t="shared" si="28"/>
        <v>0</v>
      </c>
      <c r="S35" s="67">
        <f t="shared" si="28"/>
        <v>99.171135673076932</v>
      </c>
      <c r="T35" s="67">
        <f t="shared" si="28"/>
        <v>0</v>
      </c>
      <c r="U35" s="67">
        <f t="shared" si="28"/>
        <v>94.58864221153847</v>
      </c>
      <c r="V35" s="67">
        <f t="shared" si="28"/>
        <v>0</v>
      </c>
      <c r="W35" s="67">
        <f t="shared" si="28"/>
        <v>90.006148750000008</v>
      </c>
      <c r="X35" s="67">
        <f t="shared" si="28"/>
        <v>0</v>
      </c>
      <c r="Y35" s="67">
        <f t="shared" si="28"/>
        <v>85.423655288461546</v>
      </c>
      <c r="Z35" s="67">
        <f t="shared" si="28"/>
        <v>0</v>
      </c>
      <c r="AA35" s="67">
        <f t="shared" si="28"/>
        <v>40.993392596153853</v>
      </c>
      <c r="AB35" s="67">
        <f t="shared" si="28"/>
        <v>0</v>
      </c>
      <c r="AC35" s="67">
        <f t="shared" si="28"/>
        <v>0</v>
      </c>
      <c r="AD35" s="100"/>
      <c r="AG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0"/>
      <c r="BR35" s="100"/>
      <c r="BS35" s="100"/>
      <c r="BT35" s="100"/>
      <c r="BU35" s="100"/>
      <c r="BV35" s="100"/>
      <c r="BW35" s="100"/>
      <c r="BX35" s="100"/>
      <c r="BY35" s="100"/>
      <c r="BZ35" s="100"/>
      <c r="CA35" s="100"/>
      <c r="CB35" s="100"/>
      <c r="CC35" s="100"/>
      <c r="CD35" s="100"/>
      <c r="CQ35" s="106"/>
      <c r="CR35" s="107"/>
    </row>
    <row r="36" spans="1:96" ht="27.95" customHeight="1" x14ac:dyDescent="0.3">
      <c r="A36" s="61"/>
      <c r="B36" s="8" t="s">
        <v>234</v>
      </c>
      <c r="C36" s="8" t="s">
        <v>236</v>
      </c>
      <c r="D36" s="8" t="s">
        <v>238</v>
      </c>
      <c r="E36" s="205">
        <v>37314.775999999998</v>
      </c>
      <c r="F36" s="11">
        <f t="shared" si="27"/>
        <v>38.43252052416031</v>
      </c>
      <c r="G36" s="216"/>
      <c r="H36" s="27" t="s">
        <v>147</v>
      </c>
      <c r="I36" s="165">
        <v>45363</v>
      </c>
      <c r="J36" s="28" t="s">
        <v>239</v>
      </c>
      <c r="K36" s="20">
        <v>21</v>
      </c>
      <c r="L36" s="9" t="s">
        <v>240</v>
      </c>
      <c r="M36" s="165">
        <v>46003</v>
      </c>
      <c r="N36" s="9" t="s">
        <v>132</v>
      </c>
      <c r="O36" s="12"/>
      <c r="P36" s="67">
        <f t="shared" si="28"/>
        <v>0</v>
      </c>
      <c r="Q36" s="67">
        <f t="shared" si="28"/>
        <v>0</v>
      </c>
      <c r="R36" s="67">
        <f t="shared" si="28"/>
        <v>37314.775999999998</v>
      </c>
      <c r="S36" s="67">
        <f t="shared" si="28"/>
        <v>0</v>
      </c>
      <c r="T36" s="67">
        <f t="shared" si="28"/>
        <v>0</v>
      </c>
      <c r="U36" s="67">
        <f t="shared" si="28"/>
        <v>0</v>
      </c>
      <c r="V36" s="67">
        <f t="shared" si="28"/>
        <v>0</v>
      </c>
      <c r="W36" s="67">
        <f t="shared" si="28"/>
        <v>0</v>
      </c>
      <c r="X36" s="67">
        <f t="shared" si="28"/>
        <v>0</v>
      </c>
      <c r="Y36" s="67">
        <f t="shared" si="28"/>
        <v>0</v>
      </c>
      <c r="Z36" s="67">
        <f t="shared" si="28"/>
        <v>0</v>
      </c>
      <c r="AA36" s="67">
        <f t="shared" si="28"/>
        <v>0</v>
      </c>
      <c r="AB36" s="67">
        <f t="shared" si="28"/>
        <v>0</v>
      </c>
      <c r="AC36" s="67">
        <f t="shared" si="28"/>
        <v>0</v>
      </c>
      <c r="AD36" s="100"/>
      <c r="AG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100"/>
      <c r="BT36" s="100"/>
      <c r="BU36" s="100"/>
      <c r="BV36" s="100"/>
      <c r="BW36" s="100"/>
      <c r="BX36" s="100"/>
      <c r="BY36" s="100"/>
      <c r="BZ36" s="100"/>
      <c r="CA36" s="100"/>
      <c r="CB36" s="100"/>
      <c r="CC36" s="100"/>
      <c r="CD36" s="100"/>
    </row>
    <row r="37" spans="1:96" ht="27.95" customHeight="1" x14ac:dyDescent="0.3">
      <c r="A37" s="61"/>
      <c r="B37" s="8" t="s">
        <v>235</v>
      </c>
      <c r="C37" s="8" t="s">
        <v>237</v>
      </c>
      <c r="D37" s="8" t="s">
        <v>238</v>
      </c>
      <c r="E37" s="205">
        <v>20554.007399999999</v>
      </c>
      <c r="F37" s="11">
        <f t="shared" si="27"/>
        <v>21.169691900448306</v>
      </c>
      <c r="G37" s="216"/>
      <c r="H37" s="27" t="s">
        <v>147</v>
      </c>
      <c r="I37" s="165">
        <v>45363</v>
      </c>
      <c r="J37" s="28" t="s">
        <v>239</v>
      </c>
      <c r="K37" s="20">
        <v>36</v>
      </c>
      <c r="L37" s="9" t="s">
        <v>240</v>
      </c>
      <c r="M37" s="165">
        <v>46458</v>
      </c>
      <c r="N37" s="9" t="s">
        <v>132</v>
      </c>
      <c r="O37" s="12"/>
      <c r="P37" s="67">
        <f t="shared" si="28"/>
        <v>0</v>
      </c>
      <c r="Q37" s="67">
        <f t="shared" si="28"/>
        <v>0</v>
      </c>
      <c r="R37" s="67">
        <f t="shared" si="28"/>
        <v>0</v>
      </c>
      <c r="S37" s="67">
        <f t="shared" si="28"/>
        <v>0</v>
      </c>
      <c r="T37" s="67">
        <f t="shared" si="28"/>
        <v>13701.301332839999</v>
      </c>
      <c r="U37" s="67">
        <f t="shared" si="28"/>
        <v>0</v>
      </c>
      <c r="V37" s="67">
        <f t="shared" si="28"/>
        <v>6852.7060671600002</v>
      </c>
      <c r="W37" s="67">
        <f t="shared" si="28"/>
        <v>0</v>
      </c>
      <c r="X37" s="67">
        <f t="shared" si="28"/>
        <v>0</v>
      </c>
      <c r="Y37" s="67">
        <f t="shared" si="28"/>
        <v>0</v>
      </c>
      <c r="Z37" s="67">
        <f t="shared" si="28"/>
        <v>0</v>
      </c>
      <c r="AA37" s="67">
        <f t="shared" si="28"/>
        <v>0</v>
      </c>
      <c r="AB37" s="67">
        <f t="shared" si="28"/>
        <v>0</v>
      </c>
      <c r="AC37" s="67">
        <f t="shared" si="28"/>
        <v>0</v>
      </c>
      <c r="AD37" s="100"/>
      <c r="AG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0"/>
      <c r="BR37" s="100"/>
      <c r="BS37" s="100"/>
      <c r="BT37" s="100"/>
      <c r="BU37" s="100"/>
      <c r="BV37" s="100"/>
      <c r="BW37" s="100"/>
      <c r="BX37" s="100"/>
      <c r="BY37" s="100"/>
      <c r="BZ37" s="100"/>
      <c r="CA37" s="100"/>
      <c r="CB37" s="100"/>
      <c r="CC37" s="100"/>
      <c r="CD37" s="100"/>
    </row>
    <row r="38" spans="1:96" ht="27.95" customHeight="1" x14ac:dyDescent="0.3">
      <c r="A38" s="61"/>
      <c r="B38" s="8" t="s">
        <v>133</v>
      </c>
      <c r="C38" s="8" t="s">
        <v>134</v>
      </c>
      <c r="D38" s="8" t="s">
        <v>2</v>
      </c>
      <c r="E38" s="205">
        <v>10556.34152761</v>
      </c>
      <c r="F38" s="11">
        <f t="shared" si="27"/>
        <v>10.872551195802895</v>
      </c>
      <c r="G38" s="216"/>
      <c r="H38" s="27" t="s">
        <v>147</v>
      </c>
      <c r="I38" s="19">
        <v>44547</v>
      </c>
      <c r="J38" s="28" t="s">
        <v>159</v>
      </c>
      <c r="K38" s="20">
        <v>36</v>
      </c>
      <c r="L38" s="9" t="s">
        <v>154</v>
      </c>
      <c r="M38" s="19">
        <v>45643</v>
      </c>
      <c r="N38" s="9" t="s">
        <v>132</v>
      </c>
      <c r="O38" s="12"/>
      <c r="P38" s="67">
        <f t="shared" ref="P38:AC43" si="29">+F91+F136</f>
        <v>21784.259835426765</v>
      </c>
      <c r="Q38" s="67">
        <f t="shared" si="29"/>
        <v>0</v>
      </c>
      <c r="R38" s="67">
        <f t="shared" si="29"/>
        <v>0</v>
      </c>
      <c r="S38" s="67">
        <f t="shared" si="29"/>
        <v>0</v>
      </c>
      <c r="T38" s="67">
        <f t="shared" si="29"/>
        <v>0</v>
      </c>
      <c r="U38" s="67">
        <f t="shared" si="29"/>
        <v>0</v>
      </c>
      <c r="V38" s="67">
        <f t="shared" si="29"/>
        <v>0</v>
      </c>
      <c r="W38" s="67">
        <f t="shared" si="29"/>
        <v>0</v>
      </c>
      <c r="X38" s="67">
        <f t="shared" si="29"/>
        <v>0</v>
      </c>
      <c r="Y38" s="67">
        <f t="shared" si="29"/>
        <v>0</v>
      </c>
      <c r="Z38" s="67">
        <f t="shared" si="29"/>
        <v>0</v>
      </c>
      <c r="AA38" s="67">
        <f t="shared" si="29"/>
        <v>0</v>
      </c>
      <c r="AB38" s="67">
        <f t="shared" si="29"/>
        <v>0</v>
      </c>
      <c r="AC38" s="67">
        <f t="shared" si="29"/>
        <v>0</v>
      </c>
      <c r="AD38" s="100"/>
      <c r="AG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0"/>
      <c r="BR38" s="100"/>
      <c r="BS38" s="100"/>
      <c r="BT38" s="100"/>
      <c r="BU38" s="100"/>
      <c r="BV38" s="100"/>
      <c r="BW38" s="100"/>
      <c r="BX38" s="100"/>
      <c r="BY38" s="100"/>
      <c r="BZ38" s="100"/>
      <c r="CA38" s="100"/>
      <c r="CB38" s="100"/>
      <c r="CC38" s="100"/>
      <c r="CD38" s="100"/>
    </row>
    <row r="39" spans="1:96" ht="27.95" customHeight="1" x14ac:dyDescent="0.3">
      <c r="A39" s="61"/>
      <c r="B39" s="8" t="s">
        <v>135</v>
      </c>
      <c r="C39" s="8" t="s">
        <v>136</v>
      </c>
      <c r="D39" s="8" t="s">
        <v>2</v>
      </c>
      <c r="E39" s="205">
        <v>4878.6538609999998</v>
      </c>
      <c r="F39" s="11">
        <f t="shared" si="27"/>
        <v>5.0247913760263883</v>
      </c>
      <c r="G39" s="216"/>
      <c r="H39" s="27" t="s">
        <v>147</v>
      </c>
      <c r="I39" s="19">
        <v>44635</v>
      </c>
      <c r="J39" s="28" t="s">
        <v>160</v>
      </c>
      <c r="K39" s="20">
        <v>108</v>
      </c>
      <c r="L39" s="9" t="s">
        <v>153</v>
      </c>
      <c r="M39" s="19">
        <v>47922</v>
      </c>
      <c r="N39" s="9" t="s">
        <v>132</v>
      </c>
      <c r="O39" s="12"/>
      <c r="P39" s="67">
        <f t="shared" si="29"/>
        <v>3053.5355530995221</v>
      </c>
      <c r="Q39" s="67">
        <f t="shared" si="29"/>
        <v>0</v>
      </c>
      <c r="R39" s="67">
        <f t="shared" si="29"/>
        <v>2107.6041192985817</v>
      </c>
      <c r="S39" s="67">
        <f t="shared" si="29"/>
        <v>0</v>
      </c>
      <c r="T39" s="67">
        <f t="shared" si="29"/>
        <v>1640.0830665781873</v>
      </c>
      <c r="U39" s="67">
        <f t="shared" si="29"/>
        <v>0</v>
      </c>
      <c r="V39" s="67">
        <f t="shared" si="29"/>
        <v>965.37586498017095</v>
      </c>
      <c r="W39" s="67">
        <f t="shared" si="29"/>
        <v>0</v>
      </c>
      <c r="X39" s="67">
        <f t="shared" si="29"/>
        <v>932.68981549815715</v>
      </c>
      <c r="Y39" s="67">
        <f t="shared" si="29"/>
        <v>0</v>
      </c>
      <c r="Z39" s="67">
        <f t="shared" si="29"/>
        <v>892.55726627412469</v>
      </c>
      <c r="AA39" s="67">
        <f t="shared" si="29"/>
        <v>0</v>
      </c>
      <c r="AB39" s="67">
        <f t="shared" si="29"/>
        <v>632.1306185235635</v>
      </c>
      <c r="AC39" s="67">
        <f t="shared" si="29"/>
        <v>0</v>
      </c>
      <c r="AD39" s="100"/>
      <c r="AG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0"/>
      <c r="BR39" s="100"/>
      <c r="BS39" s="100"/>
      <c r="BT39" s="100"/>
      <c r="BU39" s="100"/>
      <c r="BV39" s="100"/>
      <c r="BW39" s="100"/>
      <c r="BX39" s="100"/>
      <c r="BY39" s="100"/>
      <c r="BZ39" s="100"/>
      <c r="CA39" s="100"/>
      <c r="CB39" s="100"/>
      <c r="CC39" s="100"/>
      <c r="CD39" s="100"/>
    </row>
    <row r="40" spans="1:96" ht="27.95" customHeight="1" x14ac:dyDescent="0.3">
      <c r="A40" s="61"/>
      <c r="B40" s="8" t="s">
        <v>164</v>
      </c>
      <c r="C40" s="8" t="s">
        <v>166</v>
      </c>
      <c r="D40" s="8" t="s">
        <v>2</v>
      </c>
      <c r="E40" s="205">
        <v>3026.25</v>
      </c>
      <c r="F40" s="11">
        <f t="shared" si="27"/>
        <v>3.1168997299150378</v>
      </c>
      <c r="G40" s="216"/>
      <c r="H40" s="27" t="s">
        <v>147</v>
      </c>
      <c r="I40" s="19">
        <v>45098</v>
      </c>
      <c r="J40" s="28" t="s">
        <v>168</v>
      </c>
      <c r="K40" s="20">
        <v>24</v>
      </c>
      <c r="L40" s="9" t="s">
        <v>153</v>
      </c>
      <c r="M40" s="19">
        <v>45829</v>
      </c>
      <c r="N40" s="9" t="s">
        <v>132</v>
      </c>
      <c r="O40" s="12"/>
      <c r="P40" s="67">
        <f t="shared" si="29"/>
        <v>7372.9683427199998</v>
      </c>
      <c r="Q40" s="67">
        <f t="shared" si="29"/>
        <v>0</v>
      </c>
      <c r="R40" s="67">
        <f t="shared" si="29"/>
        <v>2349.57824635</v>
      </c>
      <c r="S40" s="67">
        <f t="shared" si="29"/>
        <v>0</v>
      </c>
      <c r="T40" s="67">
        <f t="shared" si="29"/>
        <v>0</v>
      </c>
      <c r="U40" s="67">
        <f t="shared" si="29"/>
        <v>0</v>
      </c>
      <c r="V40" s="67">
        <f t="shared" si="29"/>
        <v>0</v>
      </c>
      <c r="W40" s="67">
        <f t="shared" si="29"/>
        <v>0</v>
      </c>
      <c r="X40" s="67">
        <f t="shared" si="29"/>
        <v>0</v>
      </c>
      <c r="Y40" s="67">
        <f t="shared" si="29"/>
        <v>0</v>
      </c>
      <c r="Z40" s="67">
        <f t="shared" si="29"/>
        <v>0</v>
      </c>
      <c r="AA40" s="67">
        <f t="shared" si="29"/>
        <v>0</v>
      </c>
      <c r="AB40" s="67">
        <f t="shared" si="29"/>
        <v>0</v>
      </c>
      <c r="AC40" s="67">
        <f t="shared" si="29"/>
        <v>0</v>
      </c>
      <c r="AD40" s="100"/>
      <c r="AG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100"/>
      <c r="BS40" s="100"/>
      <c r="BT40" s="100"/>
      <c r="BU40" s="100"/>
      <c r="BV40" s="100"/>
      <c r="BW40" s="100"/>
      <c r="BX40" s="100"/>
      <c r="BY40" s="100"/>
      <c r="BZ40" s="100"/>
      <c r="CA40" s="100"/>
      <c r="CB40" s="100"/>
      <c r="CC40" s="100"/>
      <c r="CD40" s="100"/>
    </row>
    <row r="41" spans="1:96" ht="27.95" customHeight="1" x14ac:dyDescent="0.3">
      <c r="A41" s="61"/>
      <c r="B41" s="8" t="s">
        <v>244</v>
      </c>
      <c r="C41" s="8" t="s">
        <v>167</v>
      </c>
      <c r="D41" s="8" t="s">
        <v>2</v>
      </c>
      <c r="E41" s="205">
        <v>438.85341849999998</v>
      </c>
      <c r="F41" s="11">
        <f>+IF($D41="USD",$E41,$E41/$C$52)</f>
        <v>0.45199904224533372</v>
      </c>
      <c r="G41" s="216"/>
      <c r="H41" s="27" t="s">
        <v>147</v>
      </c>
      <c r="I41" s="19">
        <v>45098</v>
      </c>
      <c r="J41" s="28" t="s">
        <v>169</v>
      </c>
      <c r="K41" s="20">
        <v>18</v>
      </c>
      <c r="L41" s="9" t="s">
        <v>153</v>
      </c>
      <c r="M41" s="19">
        <v>45647</v>
      </c>
      <c r="N41" s="9" t="s">
        <v>132</v>
      </c>
      <c r="O41" s="12"/>
      <c r="P41" s="67">
        <f t="shared" si="29"/>
        <v>2617.8260000205614</v>
      </c>
      <c r="Q41" s="67">
        <f t="shared" si="29"/>
        <v>0</v>
      </c>
      <c r="R41" s="67">
        <f t="shared" si="29"/>
        <v>0</v>
      </c>
      <c r="S41" s="67">
        <f t="shared" si="29"/>
        <v>0</v>
      </c>
      <c r="T41" s="67">
        <f t="shared" si="29"/>
        <v>0</v>
      </c>
      <c r="U41" s="67">
        <f t="shared" si="29"/>
        <v>0</v>
      </c>
      <c r="V41" s="67">
        <f t="shared" si="29"/>
        <v>0</v>
      </c>
      <c r="W41" s="67">
        <f t="shared" si="29"/>
        <v>0</v>
      </c>
      <c r="X41" s="67">
        <f t="shared" si="29"/>
        <v>0</v>
      </c>
      <c r="Y41" s="67">
        <f t="shared" si="29"/>
        <v>0</v>
      </c>
      <c r="Z41" s="67">
        <f t="shared" si="29"/>
        <v>0</v>
      </c>
      <c r="AA41" s="67">
        <f t="shared" si="29"/>
        <v>0</v>
      </c>
      <c r="AB41" s="67">
        <f t="shared" si="29"/>
        <v>0</v>
      </c>
      <c r="AC41" s="67">
        <f t="shared" si="29"/>
        <v>0</v>
      </c>
      <c r="AD41" s="100"/>
      <c r="AG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0"/>
      <c r="BR41" s="100"/>
      <c r="BS41" s="100"/>
      <c r="BT41" s="100"/>
      <c r="BU41" s="100"/>
      <c r="BV41" s="100"/>
      <c r="BW41" s="100"/>
      <c r="BX41" s="100"/>
      <c r="BY41" s="100"/>
      <c r="BZ41" s="100"/>
      <c r="CA41" s="100"/>
      <c r="CB41" s="100"/>
      <c r="CC41" s="100"/>
      <c r="CD41" s="100"/>
    </row>
    <row r="42" spans="1:96" ht="27.95" customHeight="1" x14ac:dyDescent="0.3">
      <c r="A42" s="61"/>
      <c r="B42" s="8" t="s">
        <v>127</v>
      </c>
      <c r="C42" s="8" t="s">
        <v>128</v>
      </c>
      <c r="D42" s="8" t="s">
        <v>2</v>
      </c>
      <c r="E42" s="205">
        <v>605.76923077000004</v>
      </c>
      <c r="F42" s="11">
        <f t="shared" si="27"/>
        <v>0.62391473003811759</v>
      </c>
      <c r="G42" s="216"/>
      <c r="H42" s="27" t="s">
        <v>147</v>
      </c>
      <c r="I42" s="19">
        <v>44385</v>
      </c>
      <c r="J42" s="28" t="s">
        <v>161</v>
      </c>
      <c r="K42" s="20">
        <v>48</v>
      </c>
      <c r="L42" s="9" t="s">
        <v>153</v>
      </c>
      <c r="M42" s="19">
        <v>45805</v>
      </c>
      <c r="N42" s="9" t="s">
        <v>132</v>
      </c>
      <c r="O42" s="12"/>
      <c r="P42" s="67">
        <f t="shared" si="29"/>
        <v>1524.0651122569216</v>
      </c>
      <c r="Q42" s="67">
        <f t="shared" si="29"/>
        <v>0</v>
      </c>
      <c r="R42" s="67">
        <f t="shared" si="29"/>
        <v>468.22292635688871</v>
      </c>
      <c r="S42" s="67">
        <f t="shared" si="29"/>
        <v>0</v>
      </c>
      <c r="T42" s="67">
        <f t="shared" si="29"/>
        <v>0</v>
      </c>
      <c r="U42" s="67">
        <f t="shared" si="29"/>
        <v>0</v>
      </c>
      <c r="V42" s="67">
        <f t="shared" si="29"/>
        <v>0</v>
      </c>
      <c r="W42" s="67">
        <f t="shared" si="29"/>
        <v>0</v>
      </c>
      <c r="X42" s="67">
        <f t="shared" si="29"/>
        <v>0</v>
      </c>
      <c r="Y42" s="67">
        <f t="shared" si="29"/>
        <v>0</v>
      </c>
      <c r="Z42" s="67">
        <f t="shared" si="29"/>
        <v>0</v>
      </c>
      <c r="AA42" s="67">
        <f t="shared" si="29"/>
        <v>0</v>
      </c>
      <c r="AB42" s="67">
        <f t="shared" si="29"/>
        <v>0</v>
      </c>
      <c r="AC42" s="67">
        <f t="shared" si="29"/>
        <v>0</v>
      </c>
      <c r="AD42" s="100"/>
      <c r="AG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0"/>
      <c r="BR42" s="100"/>
      <c r="BS42" s="100"/>
      <c r="BT42" s="100"/>
      <c r="BU42" s="100"/>
      <c r="BV42" s="100"/>
      <c r="BW42" s="100"/>
      <c r="BX42" s="100"/>
      <c r="BY42" s="100"/>
      <c r="BZ42" s="100"/>
      <c r="CA42" s="100"/>
      <c r="CB42" s="100"/>
      <c r="CC42" s="100"/>
      <c r="CD42" s="100"/>
    </row>
    <row r="43" spans="1:96" ht="27.95" customHeight="1" x14ac:dyDescent="0.3">
      <c r="A43" s="61"/>
      <c r="B43" s="8" t="s">
        <v>34</v>
      </c>
      <c r="C43" s="8" t="s">
        <v>35</v>
      </c>
      <c r="D43" s="8" t="s">
        <v>2</v>
      </c>
      <c r="E43" s="205">
        <v>7.0597352899999999</v>
      </c>
      <c r="F43" s="11">
        <f t="shared" si="27"/>
        <v>7.2712059541256216E-3</v>
      </c>
      <c r="G43" s="216"/>
      <c r="H43" s="27" t="s">
        <v>147</v>
      </c>
      <c r="I43" s="19">
        <v>43494</v>
      </c>
      <c r="J43" s="28" t="s">
        <v>162</v>
      </c>
      <c r="K43" s="20">
        <v>84</v>
      </c>
      <c r="L43" s="9" t="s">
        <v>154</v>
      </c>
      <c r="M43" s="19">
        <v>45870</v>
      </c>
      <c r="N43" s="9" t="s">
        <v>132</v>
      </c>
      <c r="O43" s="12"/>
      <c r="P43" s="67">
        <f t="shared" si="29"/>
        <v>19.838762014617405</v>
      </c>
      <c r="Q43" s="67">
        <f t="shared" si="29"/>
        <v>0</v>
      </c>
      <c r="R43" s="67">
        <f t="shared" si="29"/>
        <v>9.1017506738504252</v>
      </c>
      <c r="S43" s="67">
        <f t="shared" si="29"/>
        <v>0</v>
      </c>
      <c r="T43" s="67">
        <f t="shared" si="29"/>
        <v>0</v>
      </c>
      <c r="U43" s="67">
        <f t="shared" si="29"/>
        <v>0</v>
      </c>
      <c r="V43" s="67">
        <f t="shared" si="29"/>
        <v>0</v>
      </c>
      <c r="W43" s="67">
        <f t="shared" si="29"/>
        <v>0</v>
      </c>
      <c r="X43" s="67">
        <f t="shared" si="29"/>
        <v>0</v>
      </c>
      <c r="Y43" s="67">
        <f t="shared" si="29"/>
        <v>0</v>
      </c>
      <c r="Z43" s="67">
        <f t="shared" si="29"/>
        <v>0</v>
      </c>
      <c r="AA43" s="67">
        <f t="shared" si="29"/>
        <v>0</v>
      </c>
      <c r="AB43" s="67">
        <f t="shared" si="29"/>
        <v>0</v>
      </c>
      <c r="AC43" s="67">
        <f t="shared" si="29"/>
        <v>0</v>
      </c>
      <c r="AD43" s="100"/>
      <c r="AG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0"/>
      <c r="BR43" s="100"/>
      <c r="BS43" s="100"/>
      <c r="BT43" s="100"/>
      <c r="BU43" s="100"/>
      <c r="BV43" s="100"/>
      <c r="BW43" s="100"/>
      <c r="BX43" s="100"/>
      <c r="BY43" s="100"/>
      <c r="BZ43" s="100"/>
      <c r="CA43" s="100"/>
      <c r="CB43" s="100"/>
      <c r="CC43" s="100"/>
      <c r="CD43" s="100"/>
    </row>
    <row r="44" spans="1:96" ht="6.75" customHeight="1" x14ac:dyDescent="0.3">
      <c r="A44" s="61"/>
      <c r="B44" s="14"/>
      <c r="C44" s="12"/>
      <c r="D44" s="12"/>
      <c r="E44" s="12"/>
      <c r="F44" s="136"/>
      <c r="G44" s="12"/>
      <c r="H44" s="12"/>
      <c r="I44" s="12"/>
      <c r="J44" s="12"/>
      <c r="K44" s="12"/>
      <c r="L44" s="12"/>
      <c r="M44" s="12"/>
      <c r="N44" s="12"/>
      <c r="O44" s="12"/>
      <c r="P44" s="68"/>
      <c r="Q44" s="68"/>
      <c r="R44" s="68"/>
      <c r="S44" s="68"/>
      <c r="T44" s="68"/>
      <c r="U44" s="68"/>
      <c r="V44" s="69"/>
      <c r="W44" s="69"/>
      <c r="X44" s="69"/>
      <c r="Y44" s="69"/>
      <c r="Z44" s="69"/>
      <c r="AA44" s="69"/>
      <c r="AB44" s="69"/>
      <c r="AC44" s="69"/>
      <c r="AD44" s="69"/>
      <c r="AG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c r="CC44" s="69"/>
      <c r="CD44" s="69"/>
    </row>
    <row r="45" spans="1:96" ht="29.25" customHeight="1" x14ac:dyDescent="0.3">
      <c r="B45" s="269" t="s">
        <v>48</v>
      </c>
      <c r="C45" s="270"/>
      <c r="D45" s="270"/>
      <c r="E45" s="92"/>
      <c r="F45" s="25">
        <f>+SUM($F$9,$F$15,$F$17,$F$34)</f>
        <v>639.22869085529987</v>
      </c>
      <c r="G45" s="233"/>
      <c r="H45" s="26"/>
      <c r="I45" s="24"/>
      <c r="J45" s="24"/>
      <c r="K45" s="24"/>
      <c r="L45" s="24"/>
      <c r="M45" s="24"/>
      <c r="N45" s="24"/>
      <c r="O45" s="24"/>
      <c r="P45" s="184">
        <f t="shared" ref="P45:AC45" si="30">+P34+P17+P15+P9</f>
        <v>51781.507506252805</v>
      </c>
      <c r="Q45" s="184">
        <f t="shared" si="30"/>
        <v>131.63255926391793</v>
      </c>
      <c r="R45" s="184">
        <f t="shared" si="30"/>
        <v>50305.22820138411</v>
      </c>
      <c r="S45" s="184">
        <f t="shared" si="30"/>
        <v>127.52941473698539</v>
      </c>
      <c r="T45" s="184">
        <f t="shared" si="30"/>
        <v>20987.031982115805</v>
      </c>
      <c r="U45" s="184">
        <f t="shared" si="30"/>
        <v>115.99110210438297</v>
      </c>
      <c r="V45" s="184">
        <f t="shared" si="30"/>
        <v>9837.7974685177815</v>
      </c>
      <c r="W45" s="184">
        <f t="shared" si="30"/>
        <v>110.13940346877978</v>
      </c>
      <c r="X45" s="184">
        <f t="shared" si="30"/>
        <v>1112.8817752573786</v>
      </c>
      <c r="Y45" s="184">
        <f t="shared" si="30"/>
        <v>104.63168077568065</v>
      </c>
      <c r="Z45" s="184">
        <f t="shared" si="30"/>
        <v>1070.5287756615126</v>
      </c>
      <c r="AA45" s="184">
        <f t="shared" si="30"/>
        <v>59.042744500707443</v>
      </c>
      <c r="AB45" s="184">
        <f t="shared" si="30"/>
        <v>799.0394615071956</v>
      </c>
      <c r="AC45" s="184">
        <f t="shared" si="30"/>
        <v>15.129280745426094</v>
      </c>
      <c r="AD45" s="102"/>
      <c r="AG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2"/>
      <c r="BQ45" s="102"/>
      <c r="BR45" s="102"/>
      <c r="BS45" s="102"/>
      <c r="BT45" s="102"/>
      <c r="BU45" s="102"/>
      <c r="BV45" s="102"/>
      <c r="BW45" s="102"/>
      <c r="BX45" s="102"/>
      <c r="BY45" s="102"/>
      <c r="BZ45" s="102"/>
      <c r="CA45" s="102"/>
      <c r="CB45" s="102"/>
      <c r="CC45" s="102"/>
      <c r="CD45" s="102"/>
    </row>
    <row r="46" spans="1:96" x14ac:dyDescent="0.3">
      <c r="B46" s="26"/>
      <c r="C46" s="26"/>
      <c r="D46" s="26"/>
      <c r="E46" s="15"/>
      <c r="F46" s="111"/>
      <c r="G46" s="210"/>
      <c r="H46" s="26"/>
      <c r="I46" s="26"/>
      <c r="J46" s="26"/>
      <c r="K46" s="26"/>
      <c r="L46" s="26"/>
      <c r="M46" s="26"/>
      <c r="N46" s="26"/>
      <c r="O46" s="85"/>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c r="CC46" s="84"/>
      <c r="CD46" s="84"/>
      <c r="CE46" s="84"/>
      <c r="CF46" s="84"/>
      <c r="CG46" s="84"/>
      <c r="CH46" s="84"/>
      <c r="CI46" s="84"/>
      <c r="CJ46" s="84"/>
      <c r="CK46" s="84"/>
      <c r="CL46" s="84"/>
      <c r="CM46" s="84"/>
      <c r="CN46" s="84"/>
      <c r="CO46" s="84"/>
      <c r="CP46" s="84"/>
      <c r="CQ46" s="84"/>
      <c r="CR46" s="84"/>
    </row>
    <row r="47" spans="1:96" x14ac:dyDescent="0.3">
      <c r="B47" s="14"/>
      <c r="C47" s="12"/>
      <c r="D47" s="12"/>
      <c r="E47" s="15"/>
      <c r="F47" s="111"/>
      <c r="G47" s="26"/>
      <c r="H47" s="26"/>
      <c r="I47" s="26"/>
      <c r="J47" s="26"/>
      <c r="K47" s="26"/>
      <c r="L47" s="26"/>
      <c r="M47" s="26"/>
      <c r="N47" s="26"/>
      <c r="O47" s="26"/>
      <c r="P47" s="109"/>
      <c r="Q47" s="109"/>
      <c r="R47" s="109"/>
      <c r="S47" s="109"/>
      <c r="T47" s="109"/>
      <c r="U47" s="109"/>
      <c r="V47" s="109"/>
      <c r="W47" s="109"/>
      <c r="X47" s="109"/>
      <c r="Y47" s="109"/>
      <c r="Z47" s="109"/>
      <c r="AA47" s="109"/>
      <c r="AB47" s="109"/>
      <c r="AC47" s="109"/>
      <c r="AD47" s="109"/>
      <c r="AE47" s="109"/>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row>
    <row r="48" spans="1:96" x14ac:dyDescent="0.3">
      <c r="B48" s="275" t="s">
        <v>243</v>
      </c>
      <c r="C48" s="275"/>
      <c r="D48" s="275"/>
      <c r="E48" s="275"/>
      <c r="F48" s="275"/>
      <c r="G48" s="275"/>
      <c r="H48" s="275"/>
      <c r="I48" s="275"/>
      <c r="J48" s="275"/>
      <c r="K48" s="275"/>
      <c r="L48" s="275"/>
      <c r="M48" s="275"/>
      <c r="N48" s="275"/>
      <c r="O48" s="26"/>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row>
    <row r="49" spans="1:96" x14ac:dyDescent="0.3">
      <c r="B49" s="275" t="s">
        <v>245</v>
      </c>
      <c r="C49" s="275"/>
      <c r="D49" s="275"/>
      <c r="E49" s="275"/>
      <c r="F49" s="275"/>
      <c r="G49" s="275"/>
      <c r="H49" s="275"/>
      <c r="I49" s="275"/>
      <c r="J49" s="275"/>
      <c r="K49" s="275"/>
      <c r="L49" s="275"/>
      <c r="M49" s="275"/>
      <c r="N49" s="275"/>
      <c r="O49" s="26"/>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row>
    <row r="50" spans="1:96" x14ac:dyDescent="0.3">
      <c r="B50" s="275" t="s">
        <v>246</v>
      </c>
      <c r="C50" s="275"/>
      <c r="D50" s="275"/>
      <c r="E50" s="275"/>
      <c r="F50" s="275"/>
      <c r="G50" s="275"/>
      <c r="H50" s="275"/>
      <c r="I50" s="275"/>
      <c r="J50" s="275"/>
      <c r="K50" s="275"/>
      <c r="L50" s="275"/>
      <c r="M50" s="275"/>
      <c r="N50" s="275"/>
      <c r="O50" s="26"/>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row>
    <row r="51" spans="1:96" x14ac:dyDescent="0.3">
      <c r="B51" s="26"/>
      <c r="C51" s="26"/>
      <c r="D51" s="26"/>
      <c r="E51" s="26"/>
      <c r="F51" s="111"/>
      <c r="G51" s="26"/>
      <c r="H51" s="26"/>
      <c r="I51" s="26"/>
      <c r="J51" s="26"/>
      <c r="K51" s="26"/>
      <c r="L51" s="26"/>
      <c r="M51" s="26"/>
      <c r="N51" s="26"/>
      <c r="O51" s="26"/>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row>
    <row r="52" spans="1:96" x14ac:dyDescent="0.3">
      <c r="B52" s="179" t="s">
        <v>50</v>
      </c>
      <c r="C52" s="207">
        <v>970.91669999999999</v>
      </c>
      <c r="D52" s="26"/>
      <c r="E52" s="26"/>
      <c r="F52" s="111"/>
      <c r="G52" s="26"/>
      <c r="H52" s="26"/>
      <c r="I52" s="26"/>
      <c r="J52" s="26"/>
      <c r="K52" s="26"/>
      <c r="L52" s="26"/>
      <c r="M52" s="26"/>
      <c r="N52" s="26"/>
      <c r="O52" s="26"/>
      <c r="P52" s="26"/>
      <c r="Q52" s="26"/>
      <c r="R52" s="26"/>
      <c r="S52" s="26"/>
      <c r="T52" s="26"/>
      <c r="U52" s="26"/>
      <c r="V52" s="26"/>
      <c r="W52" s="26"/>
      <c r="X52" s="26"/>
      <c r="Y52" s="26"/>
      <c r="Z52" s="26"/>
    </row>
    <row r="53" spans="1:96" x14ac:dyDescent="0.3">
      <c r="B53" s="179" t="s">
        <v>49</v>
      </c>
      <c r="C53" s="208">
        <v>0.39750000000000002</v>
      </c>
      <c r="D53" s="26"/>
      <c r="E53" s="56"/>
      <c r="F53" s="111"/>
      <c r="G53" s="26"/>
      <c r="H53" s="26"/>
      <c r="I53" s="26"/>
      <c r="J53" s="26"/>
      <c r="K53" s="26"/>
      <c r="L53" s="26"/>
      <c r="M53" s="26"/>
      <c r="N53" s="26"/>
      <c r="O53" s="26"/>
      <c r="P53" s="26"/>
      <c r="Q53" s="26"/>
      <c r="R53" s="26"/>
      <c r="S53" s="26"/>
      <c r="T53" s="26"/>
      <c r="U53" s="26"/>
      <c r="V53" s="26"/>
      <c r="W53" s="26"/>
      <c r="X53" s="26"/>
      <c r="Y53" s="26"/>
      <c r="Z53" s="26"/>
    </row>
    <row r="54" spans="1:96" x14ac:dyDescent="0.3">
      <c r="B54" s="179" t="s">
        <v>189</v>
      </c>
      <c r="C54" s="207">
        <v>469.33345455760644</v>
      </c>
      <c r="D54" s="26"/>
      <c r="E54" s="26"/>
      <c r="G54" s="26"/>
      <c r="H54" s="26"/>
      <c r="I54" s="26"/>
      <c r="J54" s="26"/>
      <c r="K54" s="26"/>
      <c r="L54" s="26"/>
      <c r="M54" s="26"/>
      <c r="N54" s="26"/>
      <c r="O54" s="26"/>
      <c r="P54" s="26"/>
      <c r="Q54" s="26"/>
      <c r="R54" s="26"/>
      <c r="S54" s="26"/>
      <c r="T54" s="26"/>
      <c r="U54" s="26"/>
      <c r="V54" s="26"/>
      <c r="W54" s="26"/>
      <c r="X54" s="26"/>
      <c r="Y54" s="26"/>
      <c r="Z54" s="26"/>
    </row>
    <row r="55" spans="1:96" x14ac:dyDescent="0.3">
      <c r="D55" s="26"/>
      <c r="Q55" s="18"/>
      <c r="R55" s="18"/>
      <c r="S55" s="18"/>
      <c r="T55" s="18"/>
      <c r="U55" s="18"/>
      <c r="V55" s="18"/>
      <c r="W55" s="18"/>
      <c r="X55" s="18"/>
      <c r="Y55" s="18"/>
      <c r="Z55" s="18"/>
      <c r="AA55" s="18"/>
      <c r="AB55" s="18"/>
      <c r="AC55" s="18"/>
      <c r="AD55" s="18"/>
      <c r="AE55" s="18"/>
      <c r="AF55" s="18"/>
      <c r="AG55" s="18"/>
      <c r="AH55" s="18"/>
      <c r="AI55" s="18"/>
      <c r="AJ55" s="18"/>
      <c r="AK55" s="18"/>
    </row>
    <row r="57" spans="1:96" ht="20.25" x14ac:dyDescent="0.3">
      <c r="B57" s="259" t="s">
        <v>42</v>
      </c>
      <c r="C57" s="259"/>
      <c r="D57" s="259"/>
      <c r="E57" s="259"/>
      <c r="F57" s="259"/>
      <c r="G57" s="259"/>
      <c r="H57" s="259"/>
      <c r="I57" s="259"/>
      <c r="J57" s="259"/>
      <c r="K57" s="259"/>
      <c r="L57" s="259"/>
      <c r="M57" s="259"/>
      <c r="N57" s="259"/>
      <c r="O57" s="259"/>
      <c r="P57" s="259"/>
      <c r="Q57" s="259"/>
      <c r="R57" s="259"/>
      <c r="S57" s="259"/>
      <c r="T57" s="259"/>
      <c r="U57" s="259"/>
    </row>
    <row r="58" spans="1:96" ht="17.25" x14ac:dyDescent="0.3">
      <c r="B58" s="166" t="s">
        <v>46</v>
      </c>
      <c r="C58" s="2"/>
      <c r="D58" s="2"/>
      <c r="E58" s="2"/>
      <c r="F58" s="135"/>
      <c r="G58" s="2"/>
      <c r="H58" s="2"/>
      <c r="I58" s="2"/>
      <c r="J58" s="2"/>
      <c r="K58" s="2"/>
      <c r="L58" s="2"/>
      <c r="M58" s="2"/>
      <c r="N58" s="2"/>
      <c r="O58" s="2"/>
      <c r="P58" s="2"/>
      <c r="Q58" s="2"/>
      <c r="R58" s="2"/>
      <c r="S58" s="2"/>
      <c r="T58" s="2"/>
      <c r="U58" s="2"/>
    </row>
    <row r="59" spans="1:96" x14ac:dyDescent="0.3">
      <c r="G59" s="137"/>
      <c r="H59" s="137"/>
      <c r="I59" s="137"/>
      <c r="J59" s="137"/>
      <c r="K59" s="137"/>
      <c r="L59" s="137"/>
      <c r="M59" s="137"/>
      <c r="N59" s="137"/>
      <c r="O59" s="137"/>
      <c r="P59" s="137"/>
      <c r="Q59" s="137"/>
      <c r="R59" s="137"/>
      <c r="S59" s="137"/>
    </row>
    <row r="60" spans="1:96" ht="32.25" customHeight="1" x14ac:dyDescent="0.3">
      <c r="F60" s="180">
        <v>2024</v>
      </c>
      <c r="G60" s="180">
        <v>2024</v>
      </c>
      <c r="H60" s="180">
        <v>2025</v>
      </c>
      <c r="I60" s="180">
        <v>2025</v>
      </c>
      <c r="J60" s="180">
        <v>2026</v>
      </c>
      <c r="K60" s="180">
        <v>2026</v>
      </c>
      <c r="L60" s="180">
        <v>2027</v>
      </c>
      <c r="M60" s="180">
        <v>2027</v>
      </c>
      <c r="N60" s="180">
        <v>2028</v>
      </c>
      <c r="O60" s="180">
        <v>2028</v>
      </c>
      <c r="P60" s="180">
        <v>2029</v>
      </c>
      <c r="Q60" s="180">
        <v>2029</v>
      </c>
      <c r="R60" s="181" t="s">
        <v>172</v>
      </c>
      <c r="S60" s="181" t="s">
        <v>172</v>
      </c>
      <c r="T60" s="103"/>
      <c r="AA60" s="104"/>
      <c r="AB60" s="103"/>
      <c r="AC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3"/>
      <c r="BR60" s="103"/>
      <c r="BS60" s="103"/>
      <c r="BT60" s="103"/>
    </row>
    <row r="61" spans="1:96" ht="33.75" customHeight="1" x14ac:dyDescent="0.3">
      <c r="B61" s="167" t="s">
        <v>0</v>
      </c>
      <c r="C61" s="167" t="s">
        <v>1</v>
      </c>
      <c r="D61" s="168" t="s">
        <v>131</v>
      </c>
      <c r="E61" s="168" t="s">
        <v>94</v>
      </c>
      <c r="F61" s="167" t="s">
        <v>2</v>
      </c>
      <c r="G61" s="182" t="s">
        <v>98</v>
      </c>
      <c r="H61" s="167" t="s">
        <v>2</v>
      </c>
      <c r="I61" s="182" t="s">
        <v>98</v>
      </c>
      <c r="J61" s="167" t="s">
        <v>2</v>
      </c>
      <c r="K61" s="182" t="s">
        <v>98</v>
      </c>
      <c r="L61" s="167" t="s">
        <v>2</v>
      </c>
      <c r="M61" s="182" t="s">
        <v>98</v>
      </c>
      <c r="N61" s="167" t="s">
        <v>2</v>
      </c>
      <c r="O61" s="182" t="s">
        <v>98</v>
      </c>
      <c r="P61" s="167" t="s">
        <v>2</v>
      </c>
      <c r="Q61" s="182" t="s">
        <v>98</v>
      </c>
      <c r="R61" s="167" t="s">
        <v>2</v>
      </c>
      <c r="S61" s="167" t="s">
        <v>98</v>
      </c>
      <c r="T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row>
    <row r="62" spans="1:96" ht="27.95" customHeight="1" x14ac:dyDescent="0.3">
      <c r="B62" s="170" t="s">
        <v>88</v>
      </c>
      <c r="C62" s="170"/>
      <c r="D62" s="170"/>
      <c r="E62" s="170"/>
      <c r="F62" s="183">
        <f t="shared" ref="F62:S62" si="31">+SUM(F63:F67)</f>
        <v>1582.4998729730482</v>
      </c>
      <c r="G62" s="183">
        <f t="shared" si="31"/>
        <v>0</v>
      </c>
      <c r="H62" s="183">
        <f t="shared" si="31"/>
        <v>295.15244536015763</v>
      </c>
      <c r="I62" s="183">
        <f t="shared" si="31"/>
        <v>0</v>
      </c>
      <c r="J62" s="183">
        <f t="shared" si="31"/>
        <v>152.59646496443287</v>
      </c>
      <c r="K62" s="183">
        <f t="shared" si="31"/>
        <v>0</v>
      </c>
      <c r="L62" s="183">
        <f t="shared" si="31"/>
        <v>107.24568369482154</v>
      </c>
      <c r="M62" s="183">
        <f t="shared" si="31"/>
        <v>0</v>
      </c>
      <c r="N62" s="183">
        <f t="shared" si="31"/>
        <v>107.24568369482154</v>
      </c>
      <c r="O62" s="183">
        <f t="shared" si="31"/>
        <v>0</v>
      </c>
      <c r="P62" s="183">
        <f t="shared" si="31"/>
        <v>107.24568369482154</v>
      </c>
      <c r="Q62" s="183">
        <f t="shared" si="31"/>
        <v>0</v>
      </c>
      <c r="R62" s="183">
        <f t="shared" si="31"/>
        <v>100.54282846389519</v>
      </c>
      <c r="S62" s="183">
        <f t="shared" si="31"/>
        <v>0</v>
      </c>
      <c r="T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row>
    <row r="63" spans="1:96" ht="27.95" customHeight="1" x14ac:dyDescent="0.3">
      <c r="A63" s="61"/>
      <c r="B63" s="158" t="s">
        <v>190</v>
      </c>
      <c r="C63" s="158" t="s">
        <v>241</v>
      </c>
      <c r="D63" s="158" t="str">
        <f>+VLOOKUP($C63,$C$10:$D$43,2,FALSE)</f>
        <v>Pesos</v>
      </c>
      <c r="E63" s="158" t="s">
        <v>88</v>
      </c>
      <c r="F63" s="204">
        <v>26.811420923705377</v>
      </c>
      <c r="G63" s="204">
        <v>0</v>
      </c>
      <c r="H63" s="204">
        <v>107.24568369482154</v>
      </c>
      <c r="I63" s="204">
        <v>0</v>
      </c>
      <c r="J63" s="204">
        <v>107.24568369482154</v>
      </c>
      <c r="K63" s="204">
        <v>0</v>
      </c>
      <c r="L63" s="204">
        <v>107.24568369482154</v>
      </c>
      <c r="M63" s="204">
        <v>0</v>
      </c>
      <c r="N63" s="204">
        <v>107.24568369482154</v>
      </c>
      <c r="O63" s="204">
        <v>0</v>
      </c>
      <c r="P63" s="204">
        <v>107.24568369482154</v>
      </c>
      <c r="Q63" s="204">
        <v>0</v>
      </c>
      <c r="R63" s="204">
        <v>100.54282846389519</v>
      </c>
      <c r="S63" s="204">
        <v>0</v>
      </c>
      <c r="U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row>
    <row r="64" spans="1:96" ht="27.95" customHeight="1" x14ac:dyDescent="0.3">
      <c r="A64" s="61"/>
      <c r="B64" s="158" t="s">
        <v>5</v>
      </c>
      <c r="C64" s="158" t="s">
        <v>6</v>
      </c>
      <c r="D64" s="158" t="str">
        <f>+VLOOKUP($C64,$C$10:$D$43,2,FALSE)</f>
        <v>Pesos</v>
      </c>
      <c r="E64" s="158" t="s">
        <v>88</v>
      </c>
      <c r="F64" s="204">
        <v>140.78983949366025</v>
      </c>
      <c r="G64" s="204">
        <v>0</v>
      </c>
      <c r="H64" s="204">
        <v>147.74767368000002</v>
      </c>
      <c r="I64" s="204">
        <v>0</v>
      </c>
      <c r="J64" s="204">
        <v>24.624612769999999</v>
      </c>
      <c r="K64" s="204">
        <v>0</v>
      </c>
      <c r="L64" s="204">
        <v>0</v>
      </c>
      <c r="M64" s="204">
        <v>0</v>
      </c>
      <c r="N64" s="204">
        <v>0</v>
      </c>
      <c r="O64" s="204">
        <v>0</v>
      </c>
      <c r="P64" s="204">
        <v>0</v>
      </c>
      <c r="Q64" s="204">
        <v>0</v>
      </c>
      <c r="R64" s="204">
        <v>0</v>
      </c>
      <c r="S64" s="204">
        <v>0</v>
      </c>
      <c r="U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row>
    <row r="65" spans="1:72" ht="27.95" customHeight="1" x14ac:dyDescent="0.3">
      <c r="A65" s="61"/>
      <c r="B65" s="158" t="s">
        <v>3</v>
      </c>
      <c r="C65" s="158" t="s">
        <v>4</v>
      </c>
      <c r="D65" s="158" t="s">
        <v>2</v>
      </c>
      <c r="E65" s="158" t="s">
        <v>88</v>
      </c>
      <c r="F65" s="204">
        <v>1377.6128672527566</v>
      </c>
      <c r="G65" s="204">
        <v>0</v>
      </c>
      <c r="H65" s="204">
        <v>0</v>
      </c>
      <c r="I65" s="204">
        <v>0</v>
      </c>
      <c r="J65" s="204">
        <v>0</v>
      </c>
      <c r="K65" s="204">
        <v>0</v>
      </c>
      <c r="L65" s="204">
        <v>0</v>
      </c>
      <c r="M65" s="204">
        <v>0</v>
      </c>
      <c r="N65" s="204">
        <v>0</v>
      </c>
      <c r="O65" s="204">
        <v>0</v>
      </c>
      <c r="P65" s="204">
        <v>0</v>
      </c>
      <c r="Q65" s="204">
        <v>0</v>
      </c>
      <c r="R65" s="204">
        <v>0</v>
      </c>
      <c r="S65" s="204">
        <v>0</v>
      </c>
      <c r="U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row>
    <row r="66" spans="1:72" ht="27.95" customHeight="1" x14ac:dyDescent="0.3">
      <c r="A66" s="61"/>
      <c r="B66" s="158" t="s">
        <v>7</v>
      </c>
      <c r="C66" s="158" t="s">
        <v>8</v>
      </c>
      <c r="D66" s="158" t="str">
        <f>+VLOOKUP($C66,$C$10:$D$43,2,FALSE)</f>
        <v>Pesos</v>
      </c>
      <c r="E66" s="158" t="s">
        <v>88</v>
      </c>
      <c r="F66" s="204">
        <v>22.07745753</v>
      </c>
      <c r="G66" s="204">
        <v>0</v>
      </c>
      <c r="H66" s="204">
        <v>24.199206670000002</v>
      </c>
      <c r="I66" s="204">
        <v>0</v>
      </c>
      <c r="J66" s="204">
        <v>19.39617823</v>
      </c>
      <c r="K66" s="204">
        <v>0</v>
      </c>
      <c r="L66" s="204">
        <v>0</v>
      </c>
      <c r="M66" s="204">
        <v>0</v>
      </c>
      <c r="N66" s="204">
        <v>0</v>
      </c>
      <c r="O66" s="204">
        <v>0</v>
      </c>
      <c r="P66" s="204">
        <v>0</v>
      </c>
      <c r="Q66" s="204">
        <v>0</v>
      </c>
      <c r="R66" s="204">
        <v>0</v>
      </c>
      <c r="S66" s="204">
        <v>0</v>
      </c>
      <c r="U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row>
    <row r="67" spans="1:72" ht="27.95" customHeight="1" x14ac:dyDescent="0.3">
      <c r="A67" s="61"/>
      <c r="B67" s="158" t="s">
        <v>9</v>
      </c>
      <c r="C67" s="158" t="s">
        <v>10</v>
      </c>
      <c r="D67" s="158" t="str">
        <f>+VLOOKUP($C67,$C$10:$D$43,2,FALSE)</f>
        <v>Pesos</v>
      </c>
      <c r="E67" s="158" t="s">
        <v>88</v>
      </c>
      <c r="F67" s="204">
        <v>15.20828777292593</v>
      </c>
      <c r="G67" s="204">
        <v>0</v>
      </c>
      <c r="H67" s="204">
        <v>15.959881315336053</v>
      </c>
      <c r="I67" s="204">
        <v>0</v>
      </c>
      <c r="J67" s="204">
        <v>1.3299902696113377</v>
      </c>
      <c r="K67" s="204">
        <v>0</v>
      </c>
      <c r="L67" s="204">
        <v>0</v>
      </c>
      <c r="M67" s="204">
        <v>0</v>
      </c>
      <c r="N67" s="204">
        <v>0</v>
      </c>
      <c r="O67" s="204">
        <v>0</v>
      </c>
      <c r="P67" s="204">
        <v>0</v>
      </c>
      <c r="Q67" s="204">
        <v>0</v>
      </c>
      <c r="R67" s="204">
        <v>0</v>
      </c>
      <c r="S67" s="204">
        <v>0</v>
      </c>
      <c r="U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row>
    <row r="68" spans="1:72" ht="27.95" customHeight="1" x14ac:dyDescent="0.3">
      <c r="A68" s="61"/>
      <c r="B68" s="170" t="s">
        <v>89</v>
      </c>
      <c r="C68" s="170"/>
      <c r="D68" s="170"/>
      <c r="E68" s="170"/>
      <c r="F68" s="183">
        <f t="shared" ref="F68:S68" si="32">+F69</f>
        <v>4306.9815159600003</v>
      </c>
      <c r="G68" s="183">
        <f t="shared" si="32"/>
        <v>0</v>
      </c>
      <c r="H68" s="183">
        <f t="shared" si="32"/>
        <v>4306.9815159600003</v>
      </c>
      <c r="I68" s="183">
        <f t="shared" si="32"/>
        <v>0</v>
      </c>
      <c r="J68" s="183">
        <f t="shared" si="32"/>
        <v>4306.9815159600003</v>
      </c>
      <c r="K68" s="183">
        <f t="shared" si="32"/>
        <v>0</v>
      </c>
      <c r="L68" s="183">
        <f t="shared" si="32"/>
        <v>1794.5758208599998</v>
      </c>
      <c r="M68" s="183">
        <f t="shared" si="32"/>
        <v>0</v>
      </c>
      <c r="N68" s="183">
        <f t="shared" si="32"/>
        <v>0</v>
      </c>
      <c r="O68" s="183">
        <f t="shared" si="32"/>
        <v>0</v>
      </c>
      <c r="P68" s="183">
        <f t="shared" si="32"/>
        <v>0</v>
      </c>
      <c r="Q68" s="183">
        <f t="shared" si="32"/>
        <v>0</v>
      </c>
      <c r="R68" s="183">
        <f t="shared" si="32"/>
        <v>0</v>
      </c>
      <c r="S68" s="183">
        <f t="shared" si="32"/>
        <v>0</v>
      </c>
      <c r="T68" s="105"/>
      <c r="AA68" s="105"/>
      <c r="AB68" s="105"/>
      <c r="AC68" s="105"/>
      <c r="AD68" s="105"/>
      <c r="AE68" s="105"/>
      <c r="AF68" s="105"/>
      <c r="AG68" s="105"/>
      <c r="AH68" s="105"/>
      <c r="AI68" s="105"/>
      <c r="AJ68" s="105"/>
      <c r="AK68" s="105"/>
      <c r="AL68" s="105"/>
      <c r="AM68" s="105"/>
      <c r="AN68" s="105"/>
      <c r="AO68" s="105"/>
      <c r="AP68" s="105"/>
      <c r="AQ68" s="105"/>
      <c r="AR68" s="105"/>
      <c r="AS68" s="105"/>
      <c r="AT68" s="105"/>
      <c r="AU68" s="105"/>
      <c r="AV68" s="105"/>
      <c r="AW68" s="105"/>
      <c r="AX68" s="105"/>
      <c r="AY68" s="105"/>
      <c r="AZ68" s="105"/>
      <c r="BA68" s="105"/>
      <c r="BB68" s="105"/>
      <c r="BC68" s="105"/>
      <c r="BD68" s="105"/>
      <c r="BE68" s="105"/>
      <c r="BF68" s="105"/>
      <c r="BG68" s="105"/>
      <c r="BH68" s="105"/>
      <c r="BI68" s="105"/>
      <c r="BJ68" s="105"/>
      <c r="BK68" s="105"/>
      <c r="BL68" s="105"/>
      <c r="BM68" s="105"/>
      <c r="BN68" s="105"/>
      <c r="BO68" s="105"/>
      <c r="BP68" s="105"/>
      <c r="BQ68" s="105"/>
      <c r="BR68" s="105"/>
      <c r="BS68" s="105"/>
      <c r="BT68" s="105"/>
    </row>
    <row r="69" spans="1:72" ht="27.95" customHeight="1" x14ac:dyDescent="0.3">
      <c r="A69" s="61"/>
      <c r="B69" s="158" t="s">
        <v>141</v>
      </c>
      <c r="C69" s="158" t="s">
        <v>142</v>
      </c>
      <c r="D69" s="158" t="str">
        <f>+VLOOKUP($C69,$C$10:$D$43,2,FALSE)</f>
        <v>Pesos</v>
      </c>
      <c r="E69" s="158" t="s">
        <v>89</v>
      </c>
      <c r="F69" s="204">
        <v>4306.9815159600003</v>
      </c>
      <c r="G69" s="204">
        <v>0</v>
      </c>
      <c r="H69" s="204">
        <v>4306.9815159600003</v>
      </c>
      <c r="I69" s="204">
        <v>0</v>
      </c>
      <c r="J69" s="204">
        <v>4306.9815159600003</v>
      </c>
      <c r="K69" s="204">
        <v>0</v>
      </c>
      <c r="L69" s="204">
        <v>1794.5758208599998</v>
      </c>
      <c r="M69" s="204">
        <v>0</v>
      </c>
      <c r="N69" s="204">
        <v>0</v>
      </c>
      <c r="O69" s="204">
        <v>0</v>
      </c>
      <c r="P69" s="204">
        <v>0</v>
      </c>
      <c r="Q69" s="204">
        <v>0</v>
      </c>
      <c r="R69" s="204">
        <v>0</v>
      </c>
      <c r="S69" s="204">
        <v>0</v>
      </c>
      <c r="U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row>
    <row r="70" spans="1:72" ht="27.95" customHeight="1" x14ac:dyDescent="0.3">
      <c r="A70" s="61"/>
      <c r="B70" s="170" t="s">
        <v>11</v>
      </c>
      <c r="C70" s="170"/>
      <c r="D70" s="170"/>
      <c r="E70" s="170"/>
      <c r="F70" s="183">
        <f t="shared" ref="F70:S70" si="33">+SUM(F71,F83)</f>
        <v>0</v>
      </c>
      <c r="G70" s="183">
        <f t="shared" si="33"/>
        <v>16.366676942602659</v>
      </c>
      <c r="H70" s="183">
        <f t="shared" si="33"/>
        <v>0</v>
      </c>
      <c r="I70" s="183">
        <f t="shared" si="33"/>
        <v>17.892339242546903</v>
      </c>
      <c r="J70" s="183">
        <f t="shared" si="33"/>
        <v>0</v>
      </c>
      <c r="K70" s="183">
        <f t="shared" si="33"/>
        <v>13.508033768825499</v>
      </c>
      <c r="L70" s="183">
        <f t="shared" si="33"/>
        <v>0</v>
      </c>
      <c r="M70" s="183">
        <f t="shared" si="33"/>
        <v>13.508365848825498</v>
      </c>
      <c r="N70" s="183">
        <f t="shared" si="33"/>
        <v>0</v>
      </c>
      <c r="O70" s="183">
        <f t="shared" si="33"/>
        <v>13.5087018988255</v>
      </c>
      <c r="P70" s="183">
        <f t="shared" si="33"/>
        <v>0</v>
      </c>
      <c r="Q70" s="183">
        <f t="shared" si="33"/>
        <v>13.509041958825499</v>
      </c>
      <c r="R70" s="183">
        <f t="shared" si="33"/>
        <v>0</v>
      </c>
      <c r="S70" s="183">
        <f t="shared" si="33"/>
        <v>12.999447359502593</v>
      </c>
      <c r="T70" s="105"/>
      <c r="AA70" s="105"/>
      <c r="AB70" s="105"/>
      <c r="AC70" s="105"/>
      <c r="AD70" s="105"/>
      <c r="AE70" s="105"/>
      <c r="AF70" s="105"/>
      <c r="AG70" s="105"/>
      <c r="AH70" s="105"/>
      <c r="AI70" s="105"/>
      <c r="AJ70" s="105"/>
      <c r="AK70" s="105"/>
      <c r="AL70" s="105"/>
      <c r="AM70" s="105"/>
      <c r="AN70" s="105"/>
      <c r="AO70" s="105"/>
      <c r="AP70" s="105"/>
      <c r="AQ70" s="105"/>
      <c r="AR70" s="105"/>
      <c r="AS70" s="105"/>
      <c r="AT70" s="105"/>
      <c r="AU70" s="105"/>
      <c r="AV70" s="105"/>
      <c r="AW70" s="105"/>
      <c r="AX70" s="105"/>
      <c r="AY70" s="105"/>
      <c r="AZ70" s="105"/>
      <c r="BA70" s="105"/>
      <c r="BB70" s="105"/>
      <c r="BC70" s="105"/>
      <c r="BD70" s="105"/>
      <c r="BE70" s="105"/>
      <c r="BF70" s="105"/>
      <c r="BG70" s="105"/>
      <c r="BH70" s="105"/>
      <c r="BI70" s="105"/>
      <c r="BJ70" s="105"/>
      <c r="BK70" s="105"/>
      <c r="BL70" s="105"/>
      <c r="BM70" s="105"/>
      <c r="BN70" s="105"/>
      <c r="BO70" s="105"/>
      <c r="BP70" s="105"/>
      <c r="BQ70" s="105"/>
      <c r="BR70" s="105"/>
      <c r="BS70" s="105"/>
      <c r="BT70" s="105"/>
    </row>
    <row r="71" spans="1:72" ht="27.95" customHeight="1" x14ac:dyDescent="0.3">
      <c r="A71" s="61"/>
      <c r="B71" s="175" t="s">
        <v>12</v>
      </c>
      <c r="C71" s="175"/>
      <c r="D71" s="175"/>
      <c r="E71" s="175"/>
      <c r="F71" s="186">
        <f t="shared" ref="F71:S71" si="34">+SUM(F72:F82)</f>
        <v>0</v>
      </c>
      <c r="G71" s="186">
        <f t="shared" si="34"/>
        <v>14.582119239745516</v>
      </c>
      <c r="H71" s="186">
        <f t="shared" si="34"/>
        <v>0</v>
      </c>
      <c r="I71" s="186">
        <f t="shared" si="34"/>
        <v>15.707673803293938</v>
      </c>
      <c r="J71" s="186">
        <f t="shared" si="34"/>
        <v>0</v>
      </c>
      <c r="K71" s="186">
        <f t="shared" si="34"/>
        <v>11.245706398593061</v>
      </c>
      <c r="L71" s="186">
        <f t="shared" si="34"/>
        <v>0</v>
      </c>
      <c r="M71" s="186">
        <f t="shared" si="34"/>
        <v>11.246038478593061</v>
      </c>
      <c r="N71" s="186">
        <f t="shared" si="34"/>
        <v>0</v>
      </c>
      <c r="O71" s="186">
        <f t="shared" si="34"/>
        <v>11.246374528593062</v>
      </c>
      <c r="P71" s="186">
        <f t="shared" si="34"/>
        <v>0</v>
      </c>
      <c r="Q71" s="186">
        <f t="shared" si="34"/>
        <v>11.246714588593063</v>
      </c>
      <c r="R71" s="186">
        <f t="shared" si="34"/>
        <v>0</v>
      </c>
      <c r="S71" s="186">
        <f t="shared" si="34"/>
        <v>10.738932826127755</v>
      </c>
      <c r="T71" s="108"/>
      <c r="AA71" s="108"/>
      <c r="AB71" s="108"/>
      <c r="AC71" s="108"/>
      <c r="AD71" s="108"/>
      <c r="AE71" s="108"/>
      <c r="AF71" s="108"/>
      <c r="AG71" s="108"/>
      <c r="AH71" s="108"/>
      <c r="AI71" s="108"/>
      <c r="AJ71" s="108"/>
      <c r="AK71" s="108"/>
      <c r="AL71" s="108"/>
      <c r="AM71" s="108"/>
      <c r="AN71" s="108"/>
      <c r="AO71" s="108"/>
      <c r="AP71" s="108"/>
      <c r="AQ71" s="108"/>
      <c r="AR71" s="108"/>
      <c r="AS71" s="108"/>
      <c r="AT71" s="108"/>
      <c r="AU71" s="108"/>
      <c r="AV71" s="108"/>
      <c r="AW71" s="108"/>
      <c r="AX71" s="108"/>
      <c r="AY71" s="108"/>
      <c r="AZ71" s="108"/>
      <c r="BA71" s="108"/>
      <c r="BB71" s="108"/>
      <c r="BC71" s="108"/>
      <c r="BD71" s="108"/>
      <c r="BE71" s="108"/>
      <c r="BF71" s="108"/>
      <c r="BG71" s="108"/>
      <c r="BH71" s="108"/>
      <c r="BI71" s="108"/>
      <c r="BJ71" s="108"/>
      <c r="BK71" s="108"/>
      <c r="BL71" s="108"/>
      <c r="BM71" s="108"/>
      <c r="BN71" s="108"/>
      <c r="BO71" s="108"/>
      <c r="BP71" s="108"/>
      <c r="BQ71" s="108"/>
      <c r="BR71" s="108"/>
      <c r="BS71" s="108"/>
      <c r="BT71" s="108"/>
    </row>
    <row r="72" spans="1:72" ht="27.95" customHeight="1" x14ac:dyDescent="0.3">
      <c r="A72" s="61"/>
      <c r="B72" s="158" t="s">
        <v>19</v>
      </c>
      <c r="C72" s="158" t="s">
        <v>20</v>
      </c>
      <c r="D72" s="158" t="str">
        <f>+VLOOKUP($C72,$C$10:$D$43,2,FALSE)</f>
        <v>USD</v>
      </c>
      <c r="E72" s="158" t="s">
        <v>91</v>
      </c>
      <c r="F72" s="204">
        <v>0</v>
      </c>
      <c r="G72" s="204">
        <v>2.5411806205221881</v>
      </c>
      <c r="H72" s="204">
        <v>0</v>
      </c>
      <c r="I72" s="204">
        <v>2.5411806210443753</v>
      </c>
      <c r="J72" s="204">
        <v>0</v>
      </c>
      <c r="K72" s="204">
        <v>2.5411806210443753</v>
      </c>
      <c r="L72" s="204">
        <v>0</v>
      </c>
      <c r="M72" s="204">
        <v>2.5411806210443753</v>
      </c>
      <c r="N72" s="204">
        <v>0</v>
      </c>
      <c r="O72" s="204">
        <v>2.5411806210443748</v>
      </c>
      <c r="P72" s="204">
        <v>0</v>
      </c>
      <c r="Q72" s="204">
        <v>2.5411806210443748</v>
      </c>
      <c r="R72" s="204">
        <v>0</v>
      </c>
      <c r="S72" s="204">
        <v>2.4256724109969032</v>
      </c>
      <c r="U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row>
    <row r="73" spans="1:72" ht="27.95" customHeight="1" x14ac:dyDescent="0.3">
      <c r="A73" s="61"/>
      <c r="B73" s="158" t="s">
        <v>13</v>
      </c>
      <c r="C73" s="158" t="s">
        <v>14</v>
      </c>
      <c r="D73" s="158" t="str">
        <f>+VLOOKUP($C73,$C$10:$D$43,2,FALSE)</f>
        <v>USD</v>
      </c>
      <c r="E73" s="158" t="s">
        <v>91</v>
      </c>
      <c r="F73" s="204">
        <v>0</v>
      </c>
      <c r="G73" s="204">
        <v>2.8515320971664431</v>
      </c>
      <c r="H73" s="204">
        <v>0</v>
      </c>
      <c r="I73" s="204">
        <v>2.8515320943328861</v>
      </c>
      <c r="J73" s="204">
        <v>0</v>
      </c>
      <c r="K73" s="204">
        <v>2.8515320943328861</v>
      </c>
      <c r="L73" s="204">
        <v>0</v>
      </c>
      <c r="M73" s="204">
        <v>2.8515320943328861</v>
      </c>
      <c r="N73" s="204">
        <v>0</v>
      </c>
      <c r="O73" s="204">
        <v>2.8515320943328861</v>
      </c>
      <c r="P73" s="204">
        <v>0</v>
      </c>
      <c r="Q73" s="204">
        <v>2.8515320943328861</v>
      </c>
      <c r="R73" s="204">
        <v>0</v>
      </c>
      <c r="S73" s="204">
        <v>2.8515320943328857</v>
      </c>
      <c r="U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row>
    <row r="74" spans="1:72" ht="27.95" customHeight="1" x14ac:dyDescent="0.3">
      <c r="A74" s="61"/>
      <c r="B74" s="158" t="s">
        <v>124</v>
      </c>
      <c r="C74" s="158" t="s">
        <v>125</v>
      </c>
      <c r="D74" s="158" t="str">
        <f>+VLOOKUP($C74,$C$10:$D$43,2,FALSE)</f>
        <v>USD</v>
      </c>
      <c r="E74" s="158" t="s">
        <v>91</v>
      </c>
      <c r="F74" s="204">
        <v>0</v>
      </c>
      <c r="G74" s="204">
        <v>0</v>
      </c>
      <c r="H74" s="204">
        <v>0</v>
      </c>
      <c r="I74" s="204">
        <v>1.36575</v>
      </c>
      <c r="J74" s="204">
        <v>0</v>
      </c>
      <c r="K74" s="204">
        <v>1.36575</v>
      </c>
      <c r="L74" s="204">
        <v>0</v>
      </c>
      <c r="M74" s="204">
        <v>1.36575</v>
      </c>
      <c r="N74" s="204">
        <v>0</v>
      </c>
      <c r="O74" s="204">
        <v>1.36575</v>
      </c>
      <c r="P74" s="204">
        <v>0</v>
      </c>
      <c r="Q74" s="204">
        <v>1.36575</v>
      </c>
      <c r="R74" s="204">
        <v>0</v>
      </c>
      <c r="S74" s="204">
        <v>1.3657499999999998</v>
      </c>
      <c r="T74" s="69"/>
      <c r="U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row>
    <row r="75" spans="1:72" ht="27.95" customHeight="1" x14ac:dyDescent="0.3">
      <c r="A75" s="61"/>
      <c r="B75" s="158" t="s">
        <v>15</v>
      </c>
      <c r="C75" s="158" t="s">
        <v>16</v>
      </c>
      <c r="D75" s="158" t="str">
        <f>+VLOOKUP($C75,$C$10:$D$43,2,FALSE)</f>
        <v>USD</v>
      </c>
      <c r="E75" s="158" t="s">
        <v>91</v>
      </c>
      <c r="F75" s="204">
        <v>0</v>
      </c>
      <c r="G75" s="204">
        <v>2.8918855299999993</v>
      </c>
      <c r="H75" s="204">
        <v>0</v>
      </c>
      <c r="I75" s="204">
        <v>2.891885519999998</v>
      </c>
      <c r="J75" s="204">
        <v>0</v>
      </c>
      <c r="K75" s="204">
        <v>2.891885519999998</v>
      </c>
      <c r="L75" s="204">
        <v>0</v>
      </c>
      <c r="M75" s="204">
        <v>2.891885519999998</v>
      </c>
      <c r="N75" s="204">
        <v>0</v>
      </c>
      <c r="O75" s="204">
        <v>2.891885519999998</v>
      </c>
      <c r="P75" s="204">
        <v>0</v>
      </c>
      <c r="Q75" s="204">
        <v>2.891885519999998</v>
      </c>
      <c r="R75" s="204">
        <v>0</v>
      </c>
      <c r="S75" s="204">
        <v>2.5303998299999986</v>
      </c>
      <c r="T75" s="69"/>
      <c r="U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row>
    <row r="76" spans="1:72" ht="27.95" customHeight="1" x14ac:dyDescent="0.3">
      <c r="A76" s="61"/>
      <c r="B76" s="158" t="s">
        <v>23</v>
      </c>
      <c r="C76" s="158" t="s">
        <v>24</v>
      </c>
      <c r="D76" s="158" t="str">
        <f>+VLOOKUP($C76,$C$10:$D$43,2,FALSE)</f>
        <v>USD</v>
      </c>
      <c r="E76" s="158" t="s">
        <v>91</v>
      </c>
      <c r="F76" s="204">
        <v>0</v>
      </c>
      <c r="G76" s="204">
        <v>0.76524536619708761</v>
      </c>
      <c r="H76" s="204">
        <v>0</v>
      </c>
      <c r="I76" s="204">
        <v>0.76524536619708761</v>
      </c>
      <c r="J76" s="204">
        <v>0</v>
      </c>
      <c r="K76" s="204">
        <v>0.76524536619708761</v>
      </c>
      <c r="L76" s="204">
        <v>0</v>
      </c>
      <c r="M76" s="204">
        <v>0.7652453661970875</v>
      </c>
      <c r="N76" s="204">
        <v>0</v>
      </c>
      <c r="O76" s="204">
        <v>0.76524536619708738</v>
      </c>
      <c r="P76" s="204">
        <v>0</v>
      </c>
      <c r="Q76" s="204">
        <v>0.7652453661970875</v>
      </c>
      <c r="R76" s="204">
        <v>0</v>
      </c>
      <c r="S76" s="204">
        <v>0.73581285211258363</v>
      </c>
      <c r="T76" s="69"/>
      <c r="U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row>
    <row r="77" spans="1:72" ht="27.95" customHeight="1" x14ac:dyDescent="0.3">
      <c r="A77" s="61"/>
      <c r="B77" s="158" t="s">
        <v>144</v>
      </c>
      <c r="C77" s="158" t="s">
        <v>215</v>
      </c>
      <c r="D77" s="158" t="s">
        <v>98</v>
      </c>
      <c r="E77" s="158" t="s">
        <v>91</v>
      </c>
      <c r="F77" s="204">
        <v>0</v>
      </c>
      <c r="G77" s="204">
        <v>0</v>
      </c>
      <c r="H77" s="204">
        <v>0</v>
      </c>
      <c r="I77" s="204">
        <v>0</v>
      </c>
      <c r="J77" s="204">
        <v>0</v>
      </c>
      <c r="K77" s="204">
        <v>0.40851429672769574</v>
      </c>
      <c r="L77" s="204">
        <v>0</v>
      </c>
      <c r="M77" s="204">
        <v>0.40851429672769574</v>
      </c>
      <c r="N77" s="204">
        <v>0</v>
      </c>
      <c r="O77" s="204">
        <v>0.40851429672769574</v>
      </c>
      <c r="P77" s="204">
        <v>0</v>
      </c>
      <c r="Q77" s="204">
        <v>0.40851429672769574</v>
      </c>
      <c r="R77" s="204">
        <v>0</v>
      </c>
      <c r="S77" s="204">
        <v>0.40851429672769574</v>
      </c>
      <c r="T77" s="69"/>
      <c r="U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row>
    <row r="78" spans="1:72" ht="27.95" customHeight="1" x14ac:dyDescent="0.3">
      <c r="A78" s="61"/>
      <c r="B78" s="158" t="s">
        <v>17</v>
      </c>
      <c r="C78" s="158" t="s">
        <v>18</v>
      </c>
      <c r="D78" s="158" t="s">
        <v>98</v>
      </c>
      <c r="E78" s="158" t="s">
        <v>91</v>
      </c>
      <c r="F78" s="204">
        <v>0</v>
      </c>
      <c r="G78" s="204">
        <v>4.8708098557142856</v>
      </c>
      <c r="H78" s="204">
        <v>0</v>
      </c>
      <c r="I78" s="204">
        <v>4.8708098514285698</v>
      </c>
      <c r="J78" s="204">
        <v>0</v>
      </c>
      <c r="K78" s="204">
        <v>0</v>
      </c>
      <c r="L78" s="204">
        <v>0</v>
      </c>
      <c r="M78" s="204">
        <v>0</v>
      </c>
      <c r="N78" s="204">
        <v>0</v>
      </c>
      <c r="O78" s="204">
        <v>0</v>
      </c>
      <c r="P78" s="204">
        <v>0</v>
      </c>
      <c r="Q78" s="204">
        <v>0</v>
      </c>
      <c r="R78" s="204">
        <v>0</v>
      </c>
      <c r="S78" s="204">
        <v>0</v>
      </c>
      <c r="T78" s="69"/>
      <c r="U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row>
    <row r="79" spans="1:72" ht="27.95" customHeight="1" x14ac:dyDescent="0.3">
      <c r="A79" s="61"/>
      <c r="B79" s="158" t="s">
        <v>21</v>
      </c>
      <c r="C79" s="158" t="s">
        <v>22</v>
      </c>
      <c r="D79" s="158" t="s">
        <v>98</v>
      </c>
      <c r="E79" s="158" t="s">
        <v>91</v>
      </c>
      <c r="F79" s="204">
        <v>0</v>
      </c>
      <c r="G79" s="204">
        <v>0.39381707014551065</v>
      </c>
      <c r="H79" s="204">
        <v>0</v>
      </c>
      <c r="I79" s="204">
        <v>0.3938170802910213</v>
      </c>
      <c r="J79" s="204">
        <v>0</v>
      </c>
      <c r="K79" s="204">
        <v>0.39381708029102125</v>
      </c>
      <c r="L79" s="204">
        <v>0</v>
      </c>
      <c r="M79" s="204">
        <v>0.39381708029102125</v>
      </c>
      <c r="N79" s="204">
        <v>0</v>
      </c>
      <c r="O79" s="204">
        <v>0.39381708029102136</v>
      </c>
      <c r="P79" s="204">
        <v>0</v>
      </c>
      <c r="Q79" s="204">
        <v>0.39381708029102136</v>
      </c>
      <c r="R79" s="204">
        <v>0</v>
      </c>
      <c r="S79" s="204">
        <v>0.39381708029102147</v>
      </c>
      <c r="T79" s="69"/>
      <c r="U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c r="BR79" s="70"/>
      <c r="BS79" s="70"/>
      <c r="BT79" s="70"/>
    </row>
    <row r="80" spans="1:72" ht="27.95" customHeight="1" x14ac:dyDescent="0.3">
      <c r="A80" s="61"/>
      <c r="B80" s="158" t="s">
        <v>27</v>
      </c>
      <c r="C80" s="158" t="s">
        <v>28</v>
      </c>
      <c r="D80" s="158" t="str">
        <f>+VLOOKUP($C80,$C$10:$D$43,2,FALSE)</f>
        <v>USD</v>
      </c>
      <c r="E80" s="158" t="s">
        <v>91</v>
      </c>
      <c r="F80" s="204">
        <v>0</v>
      </c>
      <c r="G80" s="204">
        <v>2.7128990000000002E-2</v>
      </c>
      <c r="H80" s="204">
        <v>0</v>
      </c>
      <c r="I80" s="204">
        <v>2.7453270000000002E-2</v>
      </c>
      <c r="J80" s="204">
        <v>0</v>
      </c>
      <c r="K80" s="204">
        <v>2.7781419999999998E-2</v>
      </c>
      <c r="L80" s="204">
        <v>0</v>
      </c>
      <c r="M80" s="204">
        <v>2.81135E-2</v>
      </c>
      <c r="N80" s="204">
        <v>0</v>
      </c>
      <c r="O80" s="204">
        <v>2.8449550000000004E-2</v>
      </c>
      <c r="P80" s="204">
        <v>0</v>
      </c>
      <c r="Q80" s="204">
        <v>2.878961E-2</v>
      </c>
      <c r="R80" s="204">
        <v>0</v>
      </c>
      <c r="S80" s="204">
        <v>2.7434261666666668E-2</v>
      </c>
      <c r="T80" s="69"/>
      <c r="U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row>
    <row r="81" spans="1:72" ht="27.95" customHeight="1" x14ac:dyDescent="0.3">
      <c r="A81" s="61"/>
      <c r="B81" s="158" t="s">
        <v>25</v>
      </c>
      <c r="C81" s="158" t="s">
        <v>26</v>
      </c>
      <c r="D81" s="158" t="str">
        <f>+VLOOKUP($C81,$C$10:$D$43,2,FALSE)</f>
        <v>USD</v>
      </c>
      <c r="E81" s="158" t="s">
        <v>91</v>
      </c>
      <c r="F81" s="204">
        <v>0</v>
      </c>
      <c r="G81" s="204">
        <v>0.24051971000000044</v>
      </c>
      <c r="H81" s="204">
        <v>0</v>
      </c>
      <c r="I81" s="204">
        <v>0</v>
      </c>
      <c r="J81" s="204">
        <v>0</v>
      </c>
      <c r="K81" s="204">
        <v>0</v>
      </c>
      <c r="L81" s="204">
        <v>0</v>
      </c>
      <c r="M81" s="204">
        <v>0</v>
      </c>
      <c r="N81" s="204">
        <v>0</v>
      </c>
      <c r="O81" s="204">
        <v>0</v>
      </c>
      <c r="P81" s="204">
        <v>0</v>
      </c>
      <c r="Q81" s="204">
        <v>0</v>
      </c>
      <c r="R81" s="204">
        <v>0</v>
      </c>
      <c r="S81" s="204">
        <v>0</v>
      </c>
      <c r="T81" s="69"/>
      <c r="U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c r="BS81" s="70"/>
      <c r="BT81" s="70"/>
    </row>
    <row r="82" spans="1:72" ht="27.95" customHeight="1" x14ac:dyDescent="0.3">
      <c r="A82" s="61"/>
      <c r="B82" s="158" t="s">
        <v>29</v>
      </c>
      <c r="C82" s="158" t="s">
        <v>30</v>
      </c>
      <c r="D82" s="158" t="str">
        <f>+VLOOKUP($C82,$C$10:$D$43,2,FALSE)</f>
        <v>USD</v>
      </c>
      <c r="E82" s="158" t="s">
        <v>91</v>
      </c>
      <c r="F82" s="204">
        <v>0</v>
      </c>
      <c r="G82" s="204">
        <v>0</v>
      </c>
      <c r="H82" s="204">
        <v>0</v>
      </c>
      <c r="I82" s="204">
        <v>0</v>
      </c>
      <c r="J82" s="204">
        <v>0</v>
      </c>
      <c r="K82" s="204">
        <v>0</v>
      </c>
      <c r="L82" s="204">
        <v>0</v>
      </c>
      <c r="M82" s="204">
        <v>0</v>
      </c>
      <c r="N82" s="204">
        <v>0</v>
      </c>
      <c r="O82" s="204">
        <v>0</v>
      </c>
      <c r="P82" s="204">
        <v>0</v>
      </c>
      <c r="Q82" s="204">
        <v>0</v>
      </c>
      <c r="R82" s="204">
        <v>0</v>
      </c>
      <c r="S82" s="204">
        <v>0</v>
      </c>
      <c r="T82" s="69"/>
      <c r="U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row>
    <row r="83" spans="1:72" ht="27.95" customHeight="1" x14ac:dyDescent="0.3">
      <c r="A83" s="61"/>
      <c r="B83" s="175" t="s">
        <v>31</v>
      </c>
      <c r="C83" s="175"/>
      <c r="D83" s="175"/>
      <c r="E83" s="175"/>
      <c r="F83" s="186">
        <f t="shared" ref="F83:S83" si="35">+SUM(F84:F86)</f>
        <v>0</v>
      </c>
      <c r="G83" s="186">
        <f t="shared" si="35"/>
        <v>1.7845577028571411</v>
      </c>
      <c r="H83" s="186">
        <f t="shared" si="35"/>
        <v>0</v>
      </c>
      <c r="I83" s="186">
        <f t="shared" si="35"/>
        <v>2.1846654392529645</v>
      </c>
      <c r="J83" s="186">
        <f t="shared" si="35"/>
        <v>0</v>
      </c>
      <c r="K83" s="186">
        <f t="shared" si="35"/>
        <v>2.2623273702324367</v>
      </c>
      <c r="L83" s="186">
        <f t="shared" si="35"/>
        <v>0</v>
      </c>
      <c r="M83" s="186">
        <f t="shared" si="35"/>
        <v>2.2623273702324367</v>
      </c>
      <c r="N83" s="186">
        <f t="shared" si="35"/>
        <v>0</v>
      </c>
      <c r="O83" s="186">
        <f t="shared" si="35"/>
        <v>2.2623273702324367</v>
      </c>
      <c r="P83" s="186">
        <f t="shared" si="35"/>
        <v>0</v>
      </c>
      <c r="Q83" s="186">
        <f t="shared" si="35"/>
        <v>2.2623273702324367</v>
      </c>
      <c r="R83" s="186">
        <f t="shared" si="35"/>
        <v>0</v>
      </c>
      <c r="S83" s="186">
        <f t="shared" si="35"/>
        <v>2.2605145333748387</v>
      </c>
      <c r="T83" s="108"/>
      <c r="AA83" s="108"/>
      <c r="AB83" s="108"/>
      <c r="AC83" s="108"/>
      <c r="AD83" s="108"/>
      <c r="AE83" s="108"/>
      <c r="AF83" s="108"/>
      <c r="AG83" s="108"/>
      <c r="AH83" s="108"/>
      <c r="AI83" s="108"/>
      <c r="AJ83" s="108"/>
      <c r="AK83" s="108"/>
      <c r="AL83" s="108"/>
      <c r="AM83" s="108"/>
      <c r="AN83" s="108"/>
      <c r="AO83" s="108"/>
      <c r="AP83" s="108"/>
      <c r="AQ83" s="108"/>
      <c r="AR83" s="108"/>
      <c r="AS83" s="108"/>
      <c r="AT83" s="108"/>
      <c r="AU83" s="108"/>
      <c r="AV83" s="108"/>
      <c r="AW83" s="108"/>
      <c r="AX83" s="108"/>
      <c r="AY83" s="108"/>
      <c r="AZ83" s="108"/>
      <c r="BA83" s="108"/>
      <c r="BB83" s="108"/>
      <c r="BC83" s="108"/>
      <c r="BD83" s="108"/>
      <c r="BE83" s="108"/>
      <c r="BF83" s="108"/>
      <c r="BG83" s="108"/>
      <c r="BH83" s="108"/>
      <c r="BI83" s="108"/>
      <c r="BJ83" s="108"/>
      <c r="BK83" s="108"/>
      <c r="BL83" s="108"/>
      <c r="BM83" s="108"/>
      <c r="BN83" s="108"/>
      <c r="BO83" s="108"/>
      <c r="BP83" s="108"/>
      <c r="BQ83" s="108"/>
      <c r="BR83" s="108"/>
      <c r="BS83" s="108"/>
      <c r="BT83" s="108"/>
    </row>
    <row r="84" spans="1:72" ht="27.95" customHeight="1" x14ac:dyDescent="0.3">
      <c r="A84" s="61"/>
      <c r="B84" s="158" t="s">
        <v>32</v>
      </c>
      <c r="C84" s="158" t="s">
        <v>33</v>
      </c>
      <c r="D84" s="158" t="str">
        <f>+VLOOKUP($C84,$C$10:$D$43,2,FALSE)</f>
        <v>USD</v>
      </c>
      <c r="E84" s="158" t="s">
        <v>91</v>
      </c>
      <c r="F84" s="204">
        <v>0</v>
      </c>
      <c r="G84" s="204">
        <v>1.7845577028571411</v>
      </c>
      <c r="H84" s="204">
        <v>0</v>
      </c>
      <c r="I84" s="204">
        <v>1.7845577028571411</v>
      </c>
      <c r="J84" s="204">
        <v>0</v>
      </c>
      <c r="K84" s="204">
        <v>1.7845577028571411</v>
      </c>
      <c r="L84" s="204">
        <v>0</v>
      </c>
      <c r="M84" s="204">
        <v>1.7845577028571411</v>
      </c>
      <c r="N84" s="204">
        <v>0</v>
      </c>
      <c r="O84" s="204">
        <v>1.7845577028571411</v>
      </c>
      <c r="P84" s="204">
        <v>0</v>
      </c>
      <c r="Q84" s="204">
        <v>1.7845577028571411</v>
      </c>
      <c r="R84" s="204">
        <v>0</v>
      </c>
      <c r="S84" s="204">
        <v>1.7845577028571407</v>
      </c>
      <c r="U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c r="BL84" s="70"/>
      <c r="BM84" s="70"/>
      <c r="BN84" s="70"/>
      <c r="BO84" s="70"/>
      <c r="BP84" s="70"/>
      <c r="BQ84" s="70"/>
      <c r="BR84" s="70"/>
      <c r="BS84" s="70"/>
      <c r="BT84" s="70"/>
    </row>
    <row r="85" spans="1:72" ht="27.95" customHeight="1" x14ac:dyDescent="0.3">
      <c r="A85" s="61"/>
      <c r="B85" s="158" t="s">
        <v>170</v>
      </c>
      <c r="C85" s="158" t="s">
        <v>171</v>
      </c>
      <c r="D85" s="158" t="s">
        <v>98</v>
      </c>
      <c r="E85" s="158" t="s">
        <v>91</v>
      </c>
      <c r="F85" s="204">
        <v>0</v>
      </c>
      <c r="G85" s="204">
        <v>0</v>
      </c>
      <c r="H85" s="204">
        <v>0</v>
      </c>
      <c r="I85" s="204">
        <v>0.40010773639582331</v>
      </c>
      <c r="J85" s="204">
        <v>0</v>
      </c>
      <c r="K85" s="204">
        <v>0.40010773639582331</v>
      </c>
      <c r="L85" s="204">
        <v>0</v>
      </c>
      <c r="M85" s="204">
        <v>0.40010773639582331</v>
      </c>
      <c r="N85" s="204">
        <v>0</v>
      </c>
      <c r="O85" s="204">
        <v>0.40010773639582331</v>
      </c>
      <c r="P85" s="204">
        <v>0</v>
      </c>
      <c r="Q85" s="204">
        <v>0.40010773639582331</v>
      </c>
      <c r="R85" s="204">
        <v>0</v>
      </c>
      <c r="S85" s="204">
        <v>0.40010773639582331</v>
      </c>
      <c r="U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row>
    <row r="86" spans="1:72" ht="27.95" customHeight="1" x14ac:dyDescent="0.3">
      <c r="A86" s="61"/>
      <c r="B86" s="158" t="s">
        <v>145</v>
      </c>
      <c r="C86" s="158" t="s">
        <v>146</v>
      </c>
      <c r="D86" s="158" t="s">
        <v>98</v>
      </c>
      <c r="E86" s="158" t="s">
        <v>91</v>
      </c>
      <c r="F86" s="204">
        <v>0</v>
      </c>
      <c r="G86" s="204">
        <v>0</v>
      </c>
      <c r="H86" s="204">
        <v>0</v>
      </c>
      <c r="I86" s="204">
        <v>0</v>
      </c>
      <c r="J86" s="204">
        <v>0</v>
      </c>
      <c r="K86" s="204">
        <v>7.7661930979472049E-2</v>
      </c>
      <c r="L86" s="204">
        <v>0</v>
      </c>
      <c r="M86" s="204">
        <v>7.7661930979472049E-2</v>
      </c>
      <c r="N86" s="204">
        <v>0</v>
      </c>
      <c r="O86" s="204">
        <v>7.7661930979472049E-2</v>
      </c>
      <c r="P86" s="204">
        <v>0</v>
      </c>
      <c r="Q86" s="204">
        <v>7.7661930979472049E-2</v>
      </c>
      <c r="R86" s="204">
        <v>0</v>
      </c>
      <c r="S86" s="204">
        <v>7.5849094121874683E-2</v>
      </c>
      <c r="U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c r="BL86" s="70"/>
      <c r="BM86" s="70"/>
      <c r="BN86" s="70"/>
      <c r="BO86" s="70"/>
      <c r="BP86" s="70"/>
      <c r="BQ86" s="70"/>
      <c r="BR86" s="70"/>
      <c r="BS86" s="70"/>
      <c r="BT86" s="70"/>
    </row>
    <row r="87" spans="1:72" ht="27.95" customHeight="1" x14ac:dyDescent="0.3">
      <c r="A87" s="61"/>
      <c r="B87" s="170" t="s">
        <v>92</v>
      </c>
      <c r="C87" s="170"/>
      <c r="D87" s="170"/>
      <c r="E87" s="170"/>
      <c r="F87" s="183">
        <f t="shared" ref="F87:S87" si="36">+SUM(F88:F96)</f>
        <v>27714.66559345257</v>
      </c>
      <c r="G87" s="183">
        <f t="shared" si="36"/>
        <v>79.695538459999995</v>
      </c>
      <c r="H87" s="183">
        <f t="shared" si="36"/>
        <v>40149.73637755082</v>
      </c>
      <c r="I87" s="183">
        <f t="shared" si="36"/>
        <v>79.695538461538462</v>
      </c>
      <c r="J87" s="183">
        <f t="shared" si="36"/>
        <v>14514.410309673332</v>
      </c>
      <c r="K87" s="183">
        <f t="shared" si="36"/>
        <v>79.695538461538462</v>
      </c>
      <c r="L87" s="183">
        <f t="shared" si="36"/>
        <v>7665.8150439933333</v>
      </c>
      <c r="M87" s="183">
        <f t="shared" si="36"/>
        <v>79.695538461538462</v>
      </c>
      <c r="N87" s="183">
        <f t="shared" si="36"/>
        <v>813.10897683333326</v>
      </c>
      <c r="O87" s="183">
        <f t="shared" si="36"/>
        <v>79.695538461538462</v>
      </c>
      <c r="P87" s="183">
        <f t="shared" si="36"/>
        <v>813.10897683333326</v>
      </c>
      <c r="Q87" s="183">
        <f t="shared" si="36"/>
        <v>39.847769230769231</v>
      </c>
      <c r="R87" s="183">
        <f t="shared" si="36"/>
        <v>609.83173262499997</v>
      </c>
      <c r="S87" s="183">
        <f t="shared" si="36"/>
        <v>0</v>
      </c>
      <c r="T87" s="105"/>
      <c r="AA87" s="105"/>
      <c r="AB87" s="105"/>
      <c r="AC87" s="105"/>
      <c r="AD87" s="105"/>
      <c r="AE87" s="105"/>
      <c r="AF87" s="105"/>
      <c r="AG87" s="105"/>
      <c r="AH87" s="105"/>
      <c r="AI87" s="105"/>
      <c r="AJ87" s="105"/>
      <c r="AK87" s="105"/>
      <c r="AL87" s="105"/>
      <c r="AM87" s="105"/>
      <c r="AN87" s="105"/>
      <c r="AO87" s="105"/>
      <c r="AP87" s="105"/>
      <c r="AQ87" s="105"/>
      <c r="AR87" s="105"/>
      <c r="AS87" s="105"/>
      <c r="AT87" s="105"/>
      <c r="AU87" s="105"/>
      <c r="AV87" s="105"/>
      <c r="AW87" s="105"/>
      <c r="AX87" s="105"/>
      <c r="AY87" s="105"/>
      <c r="AZ87" s="105"/>
      <c r="BA87" s="105"/>
      <c r="BB87" s="105"/>
      <c r="BC87" s="105"/>
      <c r="BD87" s="105"/>
      <c r="BE87" s="105"/>
      <c r="BF87" s="105"/>
      <c r="BG87" s="105"/>
      <c r="BH87" s="105"/>
      <c r="BI87" s="105"/>
      <c r="BJ87" s="105"/>
      <c r="BK87" s="105"/>
      <c r="BL87" s="105"/>
      <c r="BM87" s="105"/>
      <c r="BN87" s="105"/>
      <c r="BO87" s="105"/>
      <c r="BP87" s="105"/>
      <c r="BQ87" s="105"/>
      <c r="BR87" s="105"/>
      <c r="BS87" s="105"/>
      <c r="BT87" s="105"/>
    </row>
    <row r="88" spans="1:72" ht="27.95" customHeight="1" x14ac:dyDescent="0.3">
      <c r="A88" s="61"/>
      <c r="B88" s="158" t="s">
        <v>123</v>
      </c>
      <c r="C88" s="158" t="s">
        <v>122</v>
      </c>
      <c r="D88" s="158" t="str">
        <f>+VLOOKUP($C88,$C$10:$D$43,2,FALSE)</f>
        <v>USD</v>
      </c>
      <c r="E88" s="158" t="s">
        <v>92</v>
      </c>
      <c r="F88" s="204">
        <v>0</v>
      </c>
      <c r="G88" s="204">
        <v>79.695538459999995</v>
      </c>
      <c r="H88" s="204">
        <v>0</v>
      </c>
      <c r="I88" s="204">
        <v>79.695538461538462</v>
      </c>
      <c r="J88" s="204">
        <v>0</v>
      </c>
      <c r="K88" s="204">
        <v>79.695538461538462</v>
      </c>
      <c r="L88" s="204">
        <v>0</v>
      </c>
      <c r="M88" s="204">
        <v>79.695538461538462</v>
      </c>
      <c r="N88" s="204">
        <v>0</v>
      </c>
      <c r="O88" s="204">
        <v>79.695538461538462</v>
      </c>
      <c r="P88" s="204">
        <v>0</v>
      </c>
      <c r="Q88" s="204">
        <v>39.847769230769231</v>
      </c>
      <c r="R88" s="204">
        <v>0</v>
      </c>
      <c r="S88" s="204">
        <v>0</v>
      </c>
      <c r="U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c r="BL88" s="70"/>
      <c r="BM88" s="70"/>
      <c r="BN88" s="70"/>
      <c r="BO88" s="70"/>
      <c r="BP88" s="70"/>
      <c r="BQ88" s="70"/>
      <c r="BR88" s="70"/>
      <c r="BS88" s="70"/>
      <c r="BT88" s="70"/>
    </row>
    <row r="89" spans="1:72" ht="27.95" customHeight="1" x14ac:dyDescent="0.3">
      <c r="A89" s="61"/>
      <c r="B89" s="158" t="s">
        <v>234</v>
      </c>
      <c r="C89" s="158" t="s">
        <v>236</v>
      </c>
      <c r="D89" s="158" t="s">
        <v>238</v>
      </c>
      <c r="E89" s="158" t="s">
        <v>92</v>
      </c>
      <c r="F89" s="204">
        <v>0</v>
      </c>
      <c r="G89" s="204">
        <v>0</v>
      </c>
      <c r="H89" s="204">
        <v>37314.775999999998</v>
      </c>
      <c r="I89" s="204">
        <v>0</v>
      </c>
      <c r="J89" s="204">
        <v>0</v>
      </c>
      <c r="K89" s="204">
        <v>0</v>
      </c>
      <c r="L89" s="204">
        <v>0</v>
      </c>
      <c r="M89" s="204">
        <v>0</v>
      </c>
      <c r="N89" s="204">
        <v>0</v>
      </c>
      <c r="O89" s="204">
        <v>0</v>
      </c>
      <c r="P89" s="204">
        <v>0</v>
      </c>
      <c r="Q89" s="204">
        <v>0</v>
      </c>
      <c r="R89" s="204">
        <v>0</v>
      </c>
      <c r="S89" s="204">
        <v>0</v>
      </c>
      <c r="T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c r="BL89" s="70"/>
      <c r="BM89" s="70"/>
      <c r="BN89" s="70"/>
      <c r="BO89" s="70"/>
      <c r="BP89" s="70"/>
      <c r="BQ89" s="70"/>
      <c r="BR89" s="70"/>
      <c r="BS89" s="70"/>
      <c r="BT89" s="70"/>
    </row>
    <row r="90" spans="1:72" ht="27.95" customHeight="1" x14ac:dyDescent="0.3">
      <c r="A90" s="61"/>
      <c r="B90" s="158" t="s">
        <v>235</v>
      </c>
      <c r="C90" s="158" t="s">
        <v>237</v>
      </c>
      <c r="D90" s="158" t="s">
        <v>238</v>
      </c>
      <c r="E90" s="158" t="s">
        <v>92</v>
      </c>
      <c r="F90" s="204">
        <v>0</v>
      </c>
      <c r="G90" s="204">
        <v>0</v>
      </c>
      <c r="H90" s="204">
        <v>0</v>
      </c>
      <c r="I90" s="204">
        <v>0</v>
      </c>
      <c r="J90" s="204">
        <v>13701.301332839999</v>
      </c>
      <c r="K90" s="204">
        <v>0</v>
      </c>
      <c r="L90" s="204">
        <v>6852.7060671600002</v>
      </c>
      <c r="M90" s="204">
        <v>0</v>
      </c>
      <c r="N90" s="204">
        <v>0</v>
      </c>
      <c r="O90" s="204">
        <v>0</v>
      </c>
      <c r="P90" s="204">
        <v>0</v>
      </c>
      <c r="Q90" s="204">
        <v>0</v>
      </c>
      <c r="R90" s="204">
        <v>0</v>
      </c>
      <c r="S90" s="204">
        <v>0</v>
      </c>
      <c r="T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c r="BL90" s="70"/>
      <c r="BM90" s="70"/>
      <c r="BN90" s="70"/>
      <c r="BO90" s="70"/>
      <c r="BP90" s="70"/>
      <c r="BQ90" s="70"/>
      <c r="BR90" s="70"/>
      <c r="BS90" s="70"/>
      <c r="BT90" s="70"/>
    </row>
    <row r="91" spans="1:72" ht="27.95" customHeight="1" x14ac:dyDescent="0.3">
      <c r="A91" s="61"/>
      <c r="B91" s="158" t="s">
        <v>133</v>
      </c>
      <c r="C91" s="158" t="s">
        <v>134</v>
      </c>
      <c r="D91" s="158" t="str">
        <f>+VLOOKUP($C91,$C$10:$D$43,2,FALSE)</f>
        <v>Pesos</v>
      </c>
      <c r="E91" s="158" t="s">
        <v>92</v>
      </c>
      <c r="F91" s="204">
        <v>21109.516786017863</v>
      </c>
      <c r="G91" s="204">
        <v>0</v>
      </c>
      <c r="H91" s="204">
        <v>0</v>
      </c>
      <c r="I91" s="204">
        <v>0</v>
      </c>
      <c r="J91" s="204">
        <v>0</v>
      </c>
      <c r="K91" s="204">
        <v>0</v>
      </c>
      <c r="L91" s="204">
        <v>0</v>
      </c>
      <c r="M91" s="204">
        <v>0</v>
      </c>
      <c r="N91" s="204">
        <v>0</v>
      </c>
      <c r="O91" s="204">
        <v>0</v>
      </c>
      <c r="P91" s="204">
        <v>0</v>
      </c>
      <c r="Q91" s="204">
        <v>0</v>
      </c>
      <c r="R91" s="204">
        <v>0</v>
      </c>
      <c r="S91" s="204">
        <v>0</v>
      </c>
      <c r="T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c r="BL91" s="70"/>
      <c r="BM91" s="70"/>
      <c r="BN91" s="70"/>
      <c r="BO91" s="70"/>
      <c r="BP91" s="70"/>
      <c r="BQ91" s="70"/>
      <c r="BR91" s="70"/>
      <c r="BS91" s="70"/>
      <c r="BT91" s="70"/>
    </row>
    <row r="92" spans="1:72" ht="27.95" customHeight="1" x14ac:dyDescent="0.3">
      <c r="A92" s="61"/>
      <c r="B92" s="158" t="s">
        <v>135</v>
      </c>
      <c r="C92" s="158" t="s">
        <v>136</v>
      </c>
      <c r="D92" s="158" t="s">
        <v>2</v>
      </c>
      <c r="E92" s="158" t="s">
        <v>92</v>
      </c>
      <c r="F92" s="204">
        <v>0</v>
      </c>
      <c r="G92" s="204">
        <v>0</v>
      </c>
      <c r="H92" s="204">
        <v>406.55448841666663</v>
      </c>
      <c r="I92" s="204">
        <v>0</v>
      </c>
      <c r="J92" s="204">
        <v>813.10897683333326</v>
      </c>
      <c r="K92" s="204">
        <v>0</v>
      </c>
      <c r="L92" s="204">
        <v>813.10897683333326</v>
      </c>
      <c r="M92" s="204">
        <v>0</v>
      </c>
      <c r="N92" s="204">
        <v>813.10897683333326</v>
      </c>
      <c r="O92" s="204">
        <v>0</v>
      </c>
      <c r="P92" s="204">
        <v>813.10897683333326</v>
      </c>
      <c r="Q92" s="204">
        <v>0</v>
      </c>
      <c r="R92" s="204">
        <v>609.83173262499997</v>
      </c>
      <c r="S92" s="204">
        <v>0</v>
      </c>
      <c r="T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c r="BL92" s="70"/>
      <c r="BM92" s="70"/>
      <c r="BN92" s="70"/>
      <c r="BO92" s="70"/>
      <c r="BP92" s="70"/>
      <c r="BQ92" s="70"/>
      <c r="BR92" s="70"/>
      <c r="BS92" s="70"/>
      <c r="BT92" s="70"/>
    </row>
    <row r="93" spans="1:72" ht="27.95" customHeight="1" x14ac:dyDescent="0.3">
      <c r="A93" s="61"/>
      <c r="B93" s="158" t="s">
        <v>164</v>
      </c>
      <c r="C93" s="158" t="s">
        <v>166</v>
      </c>
      <c r="D93" s="158" t="s">
        <v>2</v>
      </c>
      <c r="E93" s="158" t="s">
        <v>92</v>
      </c>
      <c r="F93" s="204">
        <v>4035</v>
      </c>
      <c r="G93" s="204">
        <v>0</v>
      </c>
      <c r="H93" s="204">
        <v>2017.5</v>
      </c>
      <c r="I93" s="204">
        <v>0</v>
      </c>
      <c r="J93" s="204">
        <v>0</v>
      </c>
      <c r="K93" s="204">
        <v>0</v>
      </c>
      <c r="L93" s="204">
        <v>0</v>
      </c>
      <c r="M93" s="204">
        <v>0</v>
      </c>
      <c r="N93" s="204">
        <v>0</v>
      </c>
      <c r="O93" s="204">
        <v>0</v>
      </c>
      <c r="P93" s="204">
        <v>0</v>
      </c>
      <c r="Q93" s="204">
        <v>0</v>
      </c>
      <c r="R93" s="204">
        <v>0</v>
      </c>
      <c r="S93" s="204">
        <v>0</v>
      </c>
      <c r="T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c r="BL93" s="70"/>
      <c r="BM93" s="70"/>
      <c r="BN93" s="70"/>
      <c r="BO93" s="70"/>
      <c r="BP93" s="70"/>
      <c r="BQ93" s="70"/>
      <c r="BR93" s="70"/>
      <c r="BS93" s="70"/>
      <c r="BT93" s="70"/>
    </row>
    <row r="94" spans="1:72" ht="27.95" customHeight="1" x14ac:dyDescent="0.3">
      <c r="A94" s="61"/>
      <c r="B94" s="158" t="s">
        <v>165</v>
      </c>
      <c r="C94" s="158" t="s">
        <v>167</v>
      </c>
      <c r="D94" s="158" t="s">
        <v>2</v>
      </c>
      <c r="E94" s="158" t="s">
        <v>92</v>
      </c>
      <c r="F94" s="204">
        <v>1755.4136739999999</v>
      </c>
      <c r="G94" s="204">
        <v>0</v>
      </c>
      <c r="H94" s="204">
        <v>0</v>
      </c>
      <c r="I94" s="204">
        <v>0</v>
      </c>
      <c r="J94" s="204">
        <v>0</v>
      </c>
      <c r="K94" s="204">
        <v>0</v>
      </c>
      <c r="L94" s="204">
        <v>0</v>
      </c>
      <c r="M94" s="204">
        <v>0</v>
      </c>
      <c r="N94" s="204">
        <v>0</v>
      </c>
      <c r="O94" s="204">
        <v>0</v>
      </c>
      <c r="P94" s="204">
        <v>0</v>
      </c>
      <c r="Q94" s="204">
        <v>0</v>
      </c>
      <c r="R94" s="204">
        <v>0</v>
      </c>
      <c r="S94" s="204">
        <v>0</v>
      </c>
      <c r="T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c r="BL94" s="70"/>
      <c r="BM94" s="70"/>
      <c r="BN94" s="70"/>
      <c r="BO94" s="70"/>
      <c r="BP94" s="70"/>
      <c r="BQ94" s="70"/>
      <c r="BR94" s="70"/>
      <c r="BS94" s="70"/>
      <c r="BT94" s="70"/>
    </row>
    <row r="95" spans="1:72" ht="27.95" customHeight="1" x14ac:dyDescent="0.3">
      <c r="A95" s="61"/>
      <c r="B95" s="158" t="s">
        <v>127</v>
      </c>
      <c r="C95" s="158" t="s">
        <v>128</v>
      </c>
      <c r="D95" s="158" t="s">
        <v>2</v>
      </c>
      <c r="E95" s="158" t="s">
        <v>92</v>
      </c>
      <c r="F95" s="204">
        <v>807.69230769230774</v>
      </c>
      <c r="G95" s="204">
        <v>0</v>
      </c>
      <c r="H95" s="204">
        <v>403.84615384615387</v>
      </c>
      <c r="I95" s="204">
        <v>0</v>
      </c>
      <c r="J95" s="204">
        <v>0</v>
      </c>
      <c r="K95" s="204">
        <v>0</v>
      </c>
      <c r="L95" s="204">
        <v>0</v>
      </c>
      <c r="M95" s="204">
        <v>0</v>
      </c>
      <c r="N95" s="204">
        <v>0</v>
      </c>
      <c r="O95" s="204">
        <v>0</v>
      </c>
      <c r="P95" s="204">
        <v>0</v>
      </c>
      <c r="Q95" s="204">
        <v>0</v>
      </c>
      <c r="R95" s="204">
        <v>0</v>
      </c>
      <c r="S95" s="204">
        <v>0</v>
      </c>
      <c r="T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c r="BL95" s="70"/>
      <c r="BM95" s="70"/>
      <c r="BN95" s="70"/>
      <c r="BO95" s="70"/>
      <c r="BP95" s="70"/>
      <c r="BQ95" s="70"/>
      <c r="BR95" s="70"/>
      <c r="BS95" s="70"/>
      <c r="BT95" s="70"/>
    </row>
    <row r="96" spans="1:72" ht="27.95" customHeight="1" x14ac:dyDescent="0.3">
      <c r="A96" s="61"/>
      <c r="B96" s="158" t="s">
        <v>34</v>
      </c>
      <c r="C96" s="158" t="s">
        <v>35</v>
      </c>
      <c r="D96" s="158" t="s">
        <v>2</v>
      </c>
      <c r="E96" s="158" t="s">
        <v>92</v>
      </c>
      <c r="F96" s="204">
        <v>7.0428257423999998</v>
      </c>
      <c r="G96" s="204">
        <v>0</v>
      </c>
      <c r="H96" s="204">
        <v>7.0597352879999997</v>
      </c>
      <c r="I96" s="204">
        <v>0</v>
      </c>
      <c r="J96" s="204">
        <v>0</v>
      </c>
      <c r="K96" s="204">
        <v>0</v>
      </c>
      <c r="L96" s="204">
        <v>0</v>
      </c>
      <c r="M96" s="204">
        <v>0</v>
      </c>
      <c r="N96" s="204">
        <v>0</v>
      </c>
      <c r="O96" s="204">
        <v>0</v>
      </c>
      <c r="P96" s="204">
        <v>0</v>
      </c>
      <c r="Q96" s="204">
        <v>0</v>
      </c>
      <c r="R96" s="204">
        <v>0</v>
      </c>
      <c r="S96" s="204">
        <v>0</v>
      </c>
      <c r="T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c r="BL96" s="70"/>
      <c r="BM96" s="70"/>
      <c r="BN96" s="70"/>
      <c r="BO96" s="70"/>
      <c r="BP96" s="70"/>
      <c r="BQ96" s="70"/>
      <c r="BR96" s="70"/>
      <c r="BS96" s="70"/>
      <c r="BT96" s="70"/>
    </row>
    <row r="97" spans="1:86" ht="6.75" customHeight="1" x14ac:dyDescent="0.3">
      <c r="B97" s="14"/>
      <c r="C97" s="12"/>
      <c r="D97" s="12"/>
      <c r="E97" s="29"/>
      <c r="F97" s="29"/>
      <c r="G97" s="29"/>
      <c r="H97" s="29"/>
      <c r="I97" s="29"/>
      <c r="J97" s="29"/>
      <c r="K97" s="29"/>
      <c r="L97" s="29"/>
      <c r="M97" s="29"/>
      <c r="N97" s="29"/>
      <c r="O97" s="29"/>
      <c r="P97" s="29"/>
      <c r="Q97" s="29"/>
      <c r="R97" s="29"/>
      <c r="S97" s="29"/>
      <c r="T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row>
    <row r="98" spans="1:86" ht="29.25" customHeight="1" x14ac:dyDescent="0.3">
      <c r="B98" s="269" t="s">
        <v>36</v>
      </c>
      <c r="C98" s="270"/>
      <c r="D98" s="270"/>
      <c r="E98" s="271"/>
      <c r="F98" s="183">
        <f t="shared" ref="F98:S98" si="37">+F87+F70+F68+F62</f>
        <v>33604.146982385617</v>
      </c>
      <c r="G98" s="183">
        <f t="shared" si="37"/>
        <v>96.062215402602646</v>
      </c>
      <c r="H98" s="183">
        <f t="shared" si="37"/>
        <v>44751.870338870984</v>
      </c>
      <c r="I98" s="183">
        <f t="shared" si="37"/>
        <v>97.587877704085372</v>
      </c>
      <c r="J98" s="183">
        <f t="shared" si="37"/>
        <v>18973.988290597768</v>
      </c>
      <c r="K98" s="183">
        <f t="shared" si="37"/>
        <v>93.20357223036396</v>
      </c>
      <c r="L98" s="183">
        <f t="shared" si="37"/>
        <v>9567.6365485481547</v>
      </c>
      <c r="M98" s="183">
        <f t="shared" si="37"/>
        <v>93.203904310363953</v>
      </c>
      <c r="N98" s="183">
        <f t="shared" si="37"/>
        <v>920.3546605281548</v>
      </c>
      <c r="O98" s="183">
        <f t="shared" si="37"/>
        <v>93.204240360363968</v>
      </c>
      <c r="P98" s="183">
        <f t="shared" si="37"/>
        <v>920.3546605281548</v>
      </c>
      <c r="Q98" s="183">
        <f t="shared" si="37"/>
        <v>53.35681118959473</v>
      </c>
      <c r="R98" s="183">
        <f t="shared" si="37"/>
        <v>710.37456108889512</v>
      </c>
      <c r="S98" s="183">
        <f t="shared" si="37"/>
        <v>12.999447359502593</v>
      </c>
      <c r="T98" s="105"/>
      <c r="AA98" s="105"/>
      <c r="AB98" s="105"/>
      <c r="AC98" s="105"/>
      <c r="AD98" s="105"/>
      <c r="AE98" s="105"/>
      <c r="AF98" s="105"/>
      <c r="AG98" s="105"/>
      <c r="AH98" s="105"/>
      <c r="AI98" s="105"/>
      <c r="AJ98" s="105"/>
      <c r="AK98" s="105"/>
      <c r="AL98" s="105"/>
      <c r="AM98" s="105"/>
      <c r="AN98" s="105"/>
      <c r="AO98" s="105"/>
      <c r="AP98" s="105"/>
      <c r="AQ98" s="105"/>
      <c r="AR98" s="105"/>
      <c r="AS98" s="105"/>
      <c r="AT98" s="105"/>
      <c r="AU98" s="105"/>
      <c r="AV98" s="105"/>
      <c r="AW98" s="105"/>
      <c r="AX98" s="105"/>
      <c r="AY98" s="105"/>
      <c r="AZ98" s="105"/>
      <c r="BA98" s="105"/>
      <c r="BB98" s="105"/>
      <c r="BC98" s="105"/>
      <c r="BD98" s="105"/>
      <c r="BE98" s="105"/>
      <c r="BF98" s="105"/>
      <c r="BG98" s="105"/>
      <c r="BH98" s="105"/>
      <c r="BI98" s="105"/>
      <c r="BJ98" s="105"/>
      <c r="BK98" s="105"/>
      <c r="BL98" s="105"/>
      <c r="BM98" s="105"/>
      <c r="BN98" s="105"/>
      <c r="BO98" s="105"/>
      <c r="BP98" s="105"/>
      <c r="BQ98" s="105"/>
      <c r="BR98" s="105"/>
      <c r="BS98" s="105"/>
      <c r="BT98" s="105"/>
    </row>
    <row r="99" spans="1:86" x14ac:dyDescent="0.3">
      <c r="B99" s="34"/>
      <c r="C99" s="34"/>
      <c r="D99" s="34"/>
      <c r="E99" s="85"/>
      <c r="F99" s="138"/>
      <c r="G99" s="87"/>
      <c r="H99" s="87"/>
      <c r="I99" s="87"/>
      <c r="J99" s="87"/>
      <c r="K99" s="87"/>
      <c r="L99" s="87"/>
      <c r="M99" s="87"/>
      <c r="N99" s="87"/>
      <c r="O99" s="87"/>
      <c r="P99" s="87"/>
      <c r="Q99" s="87"/>
      <c r="R99" s="87"/>
      <c r="S99" s="87"/>
      <c r="T99" s="87"/>
      <c r="U99" s="87"/>
      <c r="V99" s="99"/>
      <c r="W99" s="99"/>
      <c r="X99" s="99"/>
      <c r="Y99" s="99"/>
      <c r="Z99" s="99"/>
      <c r="AA99" s="99"/>
      <c r="AB99" s="99"/>
      <c r="AC99" s="99"/>
      <c r="AD99" s="99"/>
      <c r="AE99" s="99"/>
      <c r="AF99" s="99"/>
      <c r="AG99" s="99"/>
      <c r="AH99" s="99"/>
      <c r="AI99" s="99"/>
      <c r="AJ99" s="99"/>
      <c r="AK99" s="99"/>
      <c r="AL99" s="99"/>
      <c r="AM99" s="99"/>
      <c r="AN99" s="99"/>
      <c r="AO99" s="99"/>
      <c r="AP99" s="99"/>
      <c r="AQ99" s="99"/>
      <c r="AR99" s="99"/>
      <c r="AS99" s="99"/>
      <c r="AT99" s="99"/>
      <c r="AU99" s="99"/>
      <c r="AV99" s="99"/>
      <c r="AW99" s="99"/>
      <c r="AX99" s="99"/>
      <c r="AY99" s="99"/>
      <c r="AZ99" s="99"/>
      <c r="BA99" s="99"/>
      <c r="BB99" s="99"/>
      <c r="BC99" s="99"/>
      <c r="BD99" s="99"/>
      <c r="BE99" s="99"/>
      <c r="BF99" s="99"/>
      <c r="BG99" s="99"/>
      <c r="BH99" s="99"/>
      <c r="BI99" s="99"/>
      <c r="BJ99" s="99"/>
      <c r="BK99" s="99"/>
      <c r="BL99" s="99"/>
      <c r="BM99" s="99"/>
      <c r="BN99" s="99"/>
      <c r="BO99" s="99"/>
      <c r="BP99" s="99"/>
      <c r="BQ99" s="99"/>
      <c r="BR99" s="99"/>
      <c r="BS99" s="99"/>
      <c r="BT99" s="99"/>
      <c r="BU99" s="99"/>
      <c r="BV99" s="99"/>
      <c r="BW99" s="99"/>
      <c r="BX99" s="99"/>
      <c r="BY99" s="99"/>
      <c r="BZ99" s="99"/>
      <c r="CA99" s="99"/>
      <c r="CB99" s="99"/>
      <c r="CC99" s="99"/>
      <c r="CD99" s="99"/>
      <c r="CE99" s="99"/>
      <c r="CF99" s="99"/>
      <c r="CG99" s="99"/>
      <c r="CH99" s="99"/>
    </row>
    <row r="100" spans="1:86" x14ac:dyDescent="0.3">
      <c r="B100" s="35"/>
      <c r="C100" s="35"/>
      <c r="D100" s="35"/>
      <c r="E100" s="35"/>
      <c r="F100" s="139"/>
      <c r="G100" s="35"/>
      <c r="H100" s="35"/>
      <c r="I100" s="35"/>
      <c r="J100" s="35"/>
      <c r="K100" s="35"/>
      <c r="L100" s="35"/>
      <c r="M100" s="35"/>
      <c r="N100" s="35"/>
      <c r="O100" s="35"/>
      <c r="P100" s="35"/>
      <c r="Q100" s="35"/>
      <c r="R100" s="35"/>
      <c r="S100" s="35"/>
      <c r="T100" s="35"/>
      <c r="U100" s="35"/>
      <c r="V100" s="35"/>
      <c r="W100" s="35"/>
      <c r="X100" s="35"/>
      <c r="Y100" s="35"/>
      <c r="Z100" s="35"/>
    </row>
    <row r="101" spans="1:86" x14ac:dyDescent="0.3">
      <c r="B101" s="35"/>
      <c r="C101" s="35"/>
      <c r="D101" s="35"/>
      <c r="E101" s="35"/>
      <c r="F101" s="139"/>
      <c r="G101" s="35"/>
      <c r="H101" s="35"/>
      <c r="I101" s="35"/>
      <c r="J101" s="35"/>
      <c r="K101" s="35"/>
      <c r="L101" s="35"/>
      <c r="M101" s="35"/>
      <c r="N101" s="35"/>
      <c r="O101" s="35"/>
      <c r="P101" s="35"/>
      <c r="Q101" s="35"/>
      <c r="R101" s="35"/>
      <c r="S101" s="35"/>
      <c r="T101" s="35"/>
      <c r="U101" s="35"/>
      <c r="V101" s="35"/>
      <c r="W101" s="35"/>
      <c r="X101" s="35"/>
      <c r="Y101" s="35"/>
      <c r="Z101" s="35"/>
    </row>
    <row r="102" spans="1:86" ht="20.25" x14ac:dyDescent="0.3">
      <c r="B102" s="259" t="s">
        <v>43</v>
      </c>
      <c r="C102" s="259"/>
      <c r="D102" s="259"/>
      <c r="E102" s="259"/>
      <c r="F102" s="259"/>
      <c r="G102" s="259"/>
      <c r="H102" s="259"/>
      <c r="I102" s="259"/>
      <c r="J102" s="259"/>
      <c r="K102" s="259"/>
      <c r="L102" s="259"/>
      <c r="M102" s="259"/>
      <c r="N102" s="259"/>
      <c r="O102" s="259"/>
      <c r="P102" s="259"/>
      <c r="Q102" s="259"/>
      <c r="R102" s="259"/>
      <c r="S102" s="259"/>
      <c r="T102" s="259"/>
      <c r="U102" s="259"/>
    </row>
    <row r="103" spans="1:86" ht="17.25" x14ac:dyDescent="0.3">
      <c r="B103" s="166" t="s">
        <v>46</v>
      </c>
      <c r="C103" s="2"/>
      <c r="D103" s="2"/>
      <c r="E103" s="2"/>
      <c r="F103" s="135"/>
      <c r="G103" s="2"/>
      <c r="H103" s="2"/>
      <c r="I103" s="2"/>
      <c r="J103" s="2"/>
      <c r="K103" s="2"/>
      <c r="L103" s="2"/>
      <c r="M103" s="2"/>
      <c r="N103" s="2"/>
      <c r="O103" s="2"/>
      <c r="P103" s="2"/>
      <c r="Q103" s="2"/>
      <c r="R103" s="1"/>
    </row>
    <row r="104" spans="1:86" x14ac:dyDescent="0.3">
      <c r="G104" s="137"/>
      <c r="H104" s="137"/>
      <c r="I104" s="137"/>
      <c r="J104" s="137"/>
      <c r="K104" s="137"/>
      <c r="L104" s="137"/>
      <c r="M104" s="137"/>
      <c r="N104" s="137"/>
      <c r="O104" s="137"/>
      <c r="P104" s="137"/>
      <c r="Q104" s="137"/>
      <c r="R104" s="137"/>
      <c r="S104" s="137"/>
    </row>
    <row r="105" spans="1:86" ht="32.25" customHeight="1" x14ac:dyDescent="0.3">
      <c r="F105" s="180">
        <v>2024</v>
      </c>
      <c r="G105" s="180">
        <v>2024</v>
      </c>
      <c r="H105" s="180">
        <v>2025</v>
      </c>
      <c r="I105" s="180">
        <v>2025</v>
      </c>
      <c r="J105" s="180">
        <v>2026</v>
      </c>
      <c r="K105" s="180">
        <v>2026</v>
      </c>
      <c r="L105" s="180">
        <v>2027</v>
      </c>
      <c r="M105" s="180">
        <v>2027</v>
      </c>
      <c r="N105" s="180">
        <v>2028</v>
      </c>
      <c r="O105" s="180">
        <v>2028</v>
      </c>
      <c r="P105" s="180">
        <v>2029</v>
      </c>
      <c r="Q105" s="180">
        <v>2029</v>
      </c>
      <c r="R105" s="181" t="s">
        <v>172</v>
      </c>
      <c r="S105" s="181" t="s">
        <v>172</v>
      </c>
      <c r="U105" s="103"/>
      <c r="AA105" s="104"/>
      <c r="AB105" s="103"/>
      <c r="AC105" s="103"/>
      <c r="AD105" s="103"/>
      <c r="AE105" s="103"/>
      <c r="AF105" s="103"/>
      <c r="AG105" s="103"/>
      <c r="AH105" s="103"/>
      <c r="AI105" s="103"/>
      <c r="AJ105" s="103"/>
      <c r="AK105" s="103"/>
      <c r="AL105" s="103"/>
      <c r="AM105" s="103"/>
      <c r="AN105" s="103"/>
      <c r="AO105" s="103"/>
      <c r="AP105" s="103"/>
      <c r="AQ105" s="103"/>
      <c r="AR105" s="103"/>
      <c r="AS105" s="103"/>
      <c r="AT105" s="103"/>
      <c r="AU105" s="103"/>
      <c r="AV105" s="103"/>
      <c r="AW105" s="103"/>
      <c r="AX105" s="103"/>
      <c r="AY105" s="103"/>
      <c r="AZ105" s="103"/>
      <c r="BA105" s="103"/>
      <c r="BB105" s="103"/>
      <c r="BC105" s="103"/>
      <c r="BD105" s="103"/>
      <c r="BE105" s="103"/>
      <c r="BF105" s="103"/>
      <c r="BG105" s="103"/>
      <c r="BH105" s="103"/>
      <c r="BI105" s="103"/>
      <c r="BJ105" s="103"/>
      <c r="BK105" s="103"/>
      <c r="BL105" s="103"/>
      <c r="BM105" s="103"/>
      <c r="BN105" s="103"/>
      <c r="BO105" s="103"/>
      <c r="BP105" s="103"/>
      <c r="BQ105" s="103"/>
      <c r="BR105" s="103"/>
      <c r="BS105" s="103"/>
      <c r="BT105" s="103"/>
    </row>
    <row r="106" spans="1:86" ht="33.75" customHeight="1" x14ac:dyDescent="0.3">
      <c r="B106" s="167" t="s">
        <v>0</v>
      </c>
      <c r="C106" s="167" t="s">
        <v>1</v>
      </c>
      <c r="D106" s="168" t="s">
        <v>131</v>
      </c>
      <c r="E106" s="168" t="s">
        <v>94</v>
      </c>
      <c r="F106" s="167" t="s">
        <v>2</v>
      </c>
      <c r="G106" s="182" t="s">
        <v>98</v>
      </c>
      <c r="H106" s="167" t="s">
        <v>2</v>
      </c>
      <c r="I106" s="182" t="s">
        <v>98</v>
      </c>
      <c r="J106" s="167" t="s">
        <v>2</v>
      </c>
      <c r="K106" s="182" t="s">
        <v>98</v>
      </c>
      <c r="L106" s="167" t="s">
        <v>2</v>
      </c>
      <c r="M106" s="182" t="s">
        <v>98</v>
      </c>
      <c r="N106" s="167" t="s">
        <v>2</v>
      </c>
      <c r="O106" s="182" t="s">
        <v>98</v>
      </c>
      <c r="P106" s="167" t="s">
        <v>2</v>
      </c>
      <c r="Q106" s="182" t="s">
        <v>98</v>
      </c>
      <c r="R106" s="167" t="s">
        <v>2</v>
      </c>
      <c r="S106" s="182" t="s">
        <v>98</v>
      </c>
      <c r="U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row>
    <row r="107" spans="1:86" ht="27.95" customHeight="1" x14ac:dyDescent="0.3">
      <c r="B107" s="170" t="s">
        <v>88</v>
      </c>
      <c r="C107" s="170"/>
      <c r="D107" s="170"/>
      <c r="E107" s="170"/>
      <c r="F107" s="183">
        <f t="shared" ref="F107:S107" si="38">+SUM(F108:F112)</f>
        <v>185.26798456397864</v>
      </c>
      <c r="G107" s="183">
        <f t="shared" si="38"/>
        <v>0</v>
      </c>
      <c r="H107" s="183">
        <f t="shared" si="38"/>
        <v>108.89385096598602</v>
      </c>
      <c r="I107" s="183">
        <f t="shared" si="38"/>
        <v>0</v>
      </c>
      <c r="J107" s="183">
        <f t="shared" si="38"/>
        <v>80.193386729012616</v>
      </c>
      <c r="K107" s="183">
        <f t="shared" si="38"/>
        <v>0</v>
      </c>
      <c r="L107" s="183">
        <f t="shared" si="38"/>
        <v>74.214894594769504</v>
      </c>
      <c r="M107" s="183">
        <f t="shared" si="38"/>
        <v>0</v>
      </c>
      <c r="N107" s="183">
        <f t="shared" si="38"/>
        <v>72.946276064399939</v>
      </c>
      <c r="O107" s="183">
        <f t="shared" si="38"/>
        <v>0</v>
      </c>
      <c r="P107" s="183">
        <f t="shared" si="38"/>
        <v>70.725825692566332</v>
      </c>
      <c r="Q107" s="183">
        <f t="shared" si="38"/>
        <v>0</v>
      </c>
      <c r="R107" s="183">
        <f t="shared" si="38"/>
        <v>66.366014519736908</v>
      </c>
      <c r="S107" s="183">
        <f t="shared" si="38"/>
        <v>0</v>
      </c>
      <c r="U107" s="105"/>
      <c r="AA107" s="105"/>
      <c r="AB107" s="105"/>
      <c r="AC107" s="105"/>
      <c r="AD107" s="105"/>
      <c r="AE107" s="105"/>
      <c r="AF107" s="105"/>
      <c r="AG107" s="105"/>
      <c r="AH107" s="105"/>
      <c r="AI107" s="105"/>
      <c r="AJ107" s="105"/>
      <c r="AK107" s="105"/>
      <c r="AL107" s="105"/>
      <c r="AM107" s="105"/>
      <c r="AN107" s="105"/>
      <c r="AO107" s="105"/>
      <c r="AP107" s="105"/>
      <c r="AQ107" s="105"/>
      <c r="AR107" s="105"/>
      <c r="AS107" s="105"/>
      <c r="AT107" s="105"/>
      <c r="AU107" s="105"/>
      <c r="AV107" s="105"/>
      <c r="AW107" s="105"/>
      <c r="AX107" s="105"/>
      <c r="AY107" s="105"/>
      <c r="AZ107" s="105"/>
      <c r="BA107" s="105"/>
      <c r="BB107" s="105"/>
      <c r="BC107" s="105"/>
      <c r="BD107" s="105"/>
      <c r="BE107" s="105"/>
      <c r="BF107" s="105"/>
      <c r="BG107" s="105"/>
      <c r="BH107" s="105"/>
      <c r="BI107" s="105"/>
      <c r="BJ107" s="105"/>
      <c r="BK107" s="105"/>
      <c r="BL107" s="105"/>
      <c r="BM107" s="105"/>
      <c r="BN107" s="105"/>
      <c r="BO107" s="105"/>
      <c r="BP107" s="105"/>
      <c r="BQ107" s="105"/>
      <c r="BR107" s="105"/>
      <c r="BS107" s="105"/>
      <c r="BT107" s="105"/>
    </row>
    <row r="108" spans="1:86" ht="27.95" customHeight="1" x14ac:dyDescent="0.3">
      <c r="A108" s="61"/>
      <c r="B108" s="158" t="s">
        <v>190</v>
      </c>
      <c r="C108" s="158" t="s">
        <v>241</v>
      </c>
      <c r="D108" s="158" t="str">
        <f>+VLOOKUP($C108,$C$10:$D$43,2,FALSE)</f>
        <v>Pesos</v>
      </c>
      <c r="E108" s="158" t="s">
        <v>88</v>
      </c>
      <c r="F108" s="204">
        <v>64.980537156773963</v>
      </c>
      <c r="G108" s="204">
        <v>0</v>
      </c>
      <c r="H108" s="204">
        <v>85.967144728257296</v>
      </c>
      <c r="I108" s="204">
        <v>0</v>
      </c>
      <c r="J108" s="204">
        <v>77.26804515245648</v>
      </c>
      <c r="K108" s="204">
        <v>0</v>
      </c>
      <c r="L108" s="204">
        <v>74.214894594769504</v>
      </c>
      <c r="M108" s="204">
        <v>0</v>
      </c>
      <c r="N108" s="204">
        <v>72.946276064399939</v>
      </c>
      <c r="O108" s="204">
        <v>0</v>
      </c>
      <c r="P108" s="204">
        <v>70.725825692566332</v>
      </c>
      <c r="Q108" s="204">
        <v>0</v>
      </c>
      <c r="R108" s="204">
        <v>66.366014519736908</v>
      </c>
      <c r="S108" s="204">
        <v>0</v>
      </c>
      <c r="U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c r="BL108" s="70"/>
      <c r="BM108" s="70"/>
      <c r="BN108" s="70"/>
      <c r="BO108" s="70"/>
      <c r="BP108" s="70"/>
      <c r="BQ108" s="70"/>
      <c r="BR108" s="70"/>
      <c r="BS108" s="70"/>
      <c r="BT108" s="70"/>
    </row>
    <row r="109" spans="1:86" ht="27.95" customHeight="1" x14ac:dyDescent="0.3">
      <c r="A109" s="61"/>
      <c r="B109" s="158" t="s">
        <v>5</v>
      </c>
      <c r="C109" s="158" t="s">
        <v>6</v>
      </c>
      <c r="D109" s="158" t="str">
        <f>+VLOOKUP($C109,$C$10:$D$43,2,FALSE)</f>
        <v>Pesos</v>
      </c>
      <c r="E109" s="158" t="s">
        <v>88</v>
      </c>
      <c r="F109" s="204">
        <v>18.70312234</v>
      </c>
      <c r="G109" s="204">
        <v>0</v>
      </c>
      <c r="H109" s="204">
        <v>9.4739079400000019</v>
      </c>
      <c r="I109" s="204">
        <v>0</v>
      </c>
      <c r="J109" s="204">
        <v>0.25711503000000002</v>
      </c>
      <c r="K109" s="204">
        <v>0</v>
      </c>
      <c r="L109" s="204">
        <v>0</v>
      </c>
      <c r="M109" s="204">
        <v>0</v>
      </c>
      <c r="N109" s="204">
        <v>0</v>
      </c>
      <c r="O109" s="204">
        <v>0</v>
      </c>
      <c r="P109" s="204">
        <v>0</v>
      </c>
      <c r="Q109" s="204">
        <v>0</v>
      </c>
      <c r="R109" s="204">
        <v>0</v>
      </c>
      <c r="S109" s="204">
        <v>0</v>
      </c>
      <c r="U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c r="BL109" s="70"/>
      <c r="BM109" s="70"/>
      <c r="BN109" s="70"/>
      <c r="BO109" s="70"/>
      <c r="BP109" s="70"/>
      <c r="BQ109" s="70"/>
      <c r="BR109" s="70"/>
      <c r="BS109" s="70"/>
      <c r="BT109" s="70"/>
    </row>
    <row r="110" spans="1:86" ht="27.95" customHeight="1" x14ac:dyDescent="0.3">
      <c r="A110" s="61"/>
      <c r="B110" s="158" t="s">
        <v>3</v>
      </c>
      <c r="C110" s="158" t="s">
        <v>4</v>
      </c>
      <c r="D110" s="158" t="str">
        <f>+VLOOKUP($C110,$C$10:$D$43,2,FALSE)</f>
        <v>Pesos</v>
      </c>
      <c r="E110" s="158" t="s">
        <v>88</v>
      </c>
      <c r="F110" s="204">
        <v>44.692968010000001</v>
      </c>
      <c r="G110" s="204">
        <v>0</v>
      </c>
      <c r="H110" s="204">
        <v>0</v>
      </c>
      <c r="I110" s="204">
        <v>0</v>
      </c>
      <c r="J110" s="204">
        <v>0</v>
      </c>
      <c r="K110" s="204">
        <v>0</v>
      </c>
      <c r="L110" s="204">
        <v>0</v>
      </c>
      <c r="M110" s="204">
        <v>0</v>
      </c>
      <c r="N110" s="204">
        <v>0</v>
      </c>
      <c r="O110" s="204">
        <v>0</v>
      </c>
      <c r="P110" s="204">
        <v>0</v>
      </c>
      <c r="Q110" s="204">
        <v>0</v>
      </c>
      <c r="R110" s="204">
        <v>0</v>
      </c>
      <c r="S110" s="204">
        <v>0</v>
      </c>
      <c r="U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c r="BL110" s="70"/>
      <c r="BM110" s="70"/>
      <c r="BN110" s="70"/>
      <c r="BO110" s="70"/>
      <c r="BP110" s="70"/>
      <c r="BQ110" s="70"/>
      <c r="BR110" s="70"/>
      <c r="BS110" s="70"/>
      <c r="BT110" s="70"/>
    </row>
    <row r="111" spans="1:86" ht="27.95" customHeight="1" x14ac:dyDescent="0.3">
      <c r="A111" s="61"/>
      <c r="B111" s="158" t="s">
        <v>7</v>
      </c>
      <c r="C111" s="158" t="s">
        <v>8</v>
      </c>
      <c r="D111" s="158" t="str">
        <f>+VLOOKUP($C111,$C$10:$D$43,2,FALSE)</f>
        <v>Pesos</v>
      </c>
      <c r="E111" s="158" t="s">
        <v>88</v>
      </c>
      <c r="F111" s="204">
        <v>54.83928714999999</v>
      </c>
      <c r="G111" s="204">
        <v>0</v>
      </c>
      <c r="H111" s="204">
        <v>12.547687849999999</v>
      </c>
      <c r="I111" s="204">
        <v>0</v>
      </c>
      <c r="J111" s="204">
        <v>2.6587777099999998</v>
      </c>
      <c r="K111" s="204">
        <v>0</v>
      </c>
      <c r="L111" s="204">
        <v>0</v>
      </c>
      <c r="M111" s="204">
        <v>0</v>
      </c>
      <c r="N111" s="204">
        <v>0</v>
      </c>
      <c r="O111" s="204">
        <v>0</v>
      </c>
      <c r="P111" s="204">
        <v>0</v>
      </c>
      <c r="Q111" s="204">
        <v>0</v>
      </c>
      <c r="R111" s="204">
        <v>0</v>
      </c>
      <c r="S111" s="204">
        <v>0</v>
      </c>
      <c r="U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c r="BL111" s="70"/>
      <c r="BM111" s="70"/>
      <c r="BN111" s="70"/>
      <c r="BO111" s="70"/>
      <c r="BP111" s="70"/>
      <c r="BQ111" s="70"/>
      <c r="BR111" s="70"/>
      <c r="BS111" s="70"/>
      <c r="BT111" s="70"/>
    </row>
    <row r="112" spans="1:86" ht="27.95" customHeight="1" x14ac:dyDescent="0.3">
      <c r="A112" s="61"/>
      <c r="B112" s="158" t="s">
        <v>9</v>
      </c>
      <c r="C112" s="158" t="s">
        <v>10</v>
      </c>
      <c r="D112" s="158" t="str">
        <f>+VLOOKUP($C112,$C$10:$D$43,2,FALSE)</f>
        <v>Pesos</v>
      </c>
      <c r="E112" s="158" t="s">
        <v>88</v>
      </c>
      <c r="F112" s="204">
        <v>2.0520699072046833</v>
      </c>
      <c r="G112" s="204">
        <v>0</v>
      </c>
      <c r="H112" s="204">
        <v>0.90511044772871352</v>
      </c>
      <c r="I112" s="204">
        <v>0</v>
      </c>
      <c r="J112" s="204">
        <v>9.4488365561422212E-3</v>
      </c>
      <c r="K112" s="204">
        <v>0</v>
      </c>
      <c r="L112" s="204">
        <v>0</v>
      </c>
      <c r="M112" s="204">
        <v>0</v>
      </c>
      <c r="N112" s="204">
        <v>0</v>
      </c>
      <c r="O112" s="204">
        <v>0</v>
      </c>
      <c r="P112" s="204">
        <v>0</v>
      </c>
      <c r="Q112" s="204">
        <v>0</v>
      </c>
      <c r="R112" s="204">
        <v>0</v>
      </c>
      <c r="S112" s="204">
        <v>0</v>
      </c>
      <c r="U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c r="BL112" s="70"/>
      <c r="BM112" s="70"/>
      <c r="BN112" s="70"/>
      <c r="BO112" s="70"/>
      <c r="BP112" s="70"/>
      <c r="BQ112" s="70"/>
      <c r="BR112" s="70"/>
      <c r="BS112" s="70"/>
      <c r="BT112" s="70"/>
    </row>
    <row r="113" spans="1:72" ht="27.95" customHeight="1" x14ac:dyDescent="0.3">
      <c r="A113" s="61"/>
      <c r="B113" s="170" t="s">
        <v>89</v>
      </c>
      <c r="C113" s="170"/>
      <c r="D113" s="170"/>
      <c r="E113" s="170"/>
      <c r="F113" s="183">
        <f t="shared" ref="F113:S113" si="39">+F114</f>
        <v>9334.2645272173941</v>
      </c>
      <c r="G113" s="183">
        <f t="shared" si="39"/>
        <v>0</v>
      </c>
      <c r="H113" s="183">
        <f t="shared" si="39"/>
        <v>3344.9173464186488</v>
      </c>
      <c r="I113" s="183">
        <f t="shared" si="39"/>
        <v>0</v>
      </c>
      <c r="J113" s="183">
        <f t="shared" si="39"/>
        <v>1105.8762150441733</v>
      </c>
      <c r="K113" s="183">
        <f t="shared" si="39"/>
        <v>0</v>
      </c>
      <c r="L113" s="183">
        <f t="shared" si="39"/>
        <v>43.679137228019549</v>
      </c>
      <c r="M113" s="183">
        <f t="shared" si="39"/>
        <v>0</v>
      </c>
      <c r="N113" s="183">
        <f t="shared" si="39"/>
        <v>0</v>
      </c>
      <c r="O113" s="183">
        <f t="shared" si="39"/>
        <v>0</v>
      </c>
      <c r="P113" s="183">
        <f t="shared" si="39"/>
        <v>0</v>
      </c>
      <c r="Q113" s="183">
        <f t="shared" si="39"/>
        <v>0</v>
      </c>
      <c r="R113" s="183">
        <f t="shared" si="39"/>
        <v>0</v>
      </c>
      <c r="S113" s="183">
        <f t="shared" si="39"/>
        <v>0</v>
      </c>
      <c r="U113" s="105"/>
      <c r="AA113" s="105"/>
      <c r="AB113" s="105"/>
      <c r="AC113" s="105"/>
      <c r="AD113" s="105"/>
      <c r="AE113" s="105"/>
      <c r="AF113" s="105"/>
      <c r="AG113" s="105"/>
      <c r="AH113" s="105"/>
      <c r="AI113" s="105"/>
      <c r="AJ113" s="105"/>
      <c r="AK113" s="105"/>
      <c r="AL113" s="105"/>
      <c r="AM113" s="105"/>
      <c r="AN113" s="105"/>
      <c r="AO113" s="105"/>
      <c r="AP113" s="105"/>
      <c r="AQ113" s="105"/>
      <c r="AR113" s="105"/>
      <c r="AS113" s="105"/>
      <c r="AT113" s="105"/>
      <c r="AU113" s="105"/>
      <c r="AV113" s="105"/>
      <c r="AW113" s="105"/>
      <c r="AX113" s="105"/>
      <c r="AY113" s="105"/>
      <c r="AZ113" s="105"/>
      <c r="BA113" s="105"/>
      <c r="BB113" s="105"/>
      <c r="BC113" s="105"/>
      <c r="BD113" s="105"/>
      <c r="BE113" s="105"/>
      <c r="BF113" s="105"/>
      <c r="BG113" s="105"/>
      <c r="BH113" s="105"/>
      <c r="BI113" s="105"/>
      <c r="BJ113" s="105"/>
      <c r="BK113" s="105"/>
      <c r="BL113" s="105"/>
      <c r="BM113" s="105"/>
      <c r="BN113" s="105"/>
      <c r="BO113" s="105"/>
      <c r="BP113" s="105"/>
      <c r="BQ113" s="105"/>
      <c r="BR113" s="105"/>
      <c r="BS113" s="105"/>
      <c r="BT113" s="105"/>
    </row>
    <row r="114" spans="1:72" ht="27.95" customHeight="1" x14ac:dyDescent="0.3">
      <c r="A114" s="61"/>
      <c r="B114" s="158" t="s">
        <v>141</v>
      </c>
      <c r="C114" s="158" t="s">
        <v>142</v>
      </c>
      <c r="D114" s="158" t="str">
        <f>+VLOOKUP($C114,$C$10:$D$43,2,FALSE)</f>
        <v>Pesos</v>
      </c>
      <c r="E114" s="158" t="s">
        <v>89</v>
      </c>
      <c r="F114" s="204">
        <v>9334.2645272173941</v>
      </c>
      <c r="G114" s="204">
        <v>0</v>
      </c>
      <c r="H114" s="204">
        <v>3344.9173464186488</v>
      </c>
      <c r="I114" s="204">
        <v>0</v>
      </c>
      <c r="J114" s="204">
        <v>1105.8762150441733</v>
      </c>
      <c r="K114" s="204">
        <v>0</v>
      </c>
      <c r="L114" s="204">
        <v>43.679137228019549</v>
      </c>
      <c r="M114" s="204">
        <v>0</v>
      </c>
      <c r="N114" s="204">
        <v>0</v>
      </c>
      <c r="O114" s="204">
        <v>0</v>
      </c>
      <c r="P114" s="204">
        <v>0</v>
      </c>
      <c r="Q114" s="204">
        <v>0</v>
      </c>
      <c r="R114" s="204">
        <v>0</v>
      </c>
      <c r="S114" s="204">
        <v>0</v>
      </c>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c r="BL114" s="70"/>
      <c r="BM114" s="70"/>
      <c r="BN114" s="70"/>
      <c r="BO114" s="70"/>
      <c r="BP114" s="70"/>
      <c r="BQ114" s="70"/>
      <c r="BR114" s="70"/>
      <c r="BS114" s="70"/>
      <c r="BT114" s="70"/>
    </row>
    <row r="115" spans="1:72" ht="27.95" customHeight="1" x14ac:dyDescent="0.3">
      <c r="A115" s="61"/>
      <c r="B115" s="170" t="s">
        <v>11</v>
      </c>
      <c r="C115" s="170"/>
      <c r="D115" s="170"/>
      <c r="E115" s="170"/>
      <c r="F115" s="183">
        <f t="shared" ref="F115:S115" si="40">+F116+F128</f>
        <v>0</v>
      </c>
      <c r="G115" s="183">
        <f t="shared" si="40"/>
        <v>11.512253191315283</v>
      </c>
      <c r="H115" s="183">
        <f t="shared" si="40"/>
        <v>0</v>
      </c>
      <c r="I115" s="183">
        <f t="shared" si="40"/>
        <v>10.465939821361559</v>
      </c>
      <c r="J115" s="183">
        <f>+J114</f>
        <v>1105.8762150441733</v>
      </c>
      <c r="K115" s="183">
        <f t="shared" si="40"/>
        <v>7.8944261240190006</v>
      </c>
      <c r="L115" s="183">
        <f t="shared" si="40"/>
        <v>0</v>
      </c>
      <c r="M115" s="183">
        <f t="shared" si="40"/>
        <v>6.6248888699542681</v>
      </c>
      <c r="N115" s="183">
        <f t="shared" si="40"/>
        <v>0</v>
      </c>
      <c r="O115" s="183">
        <f t="shared" si="40"/>
        <v>5.6993235883936064</v>
      </c>
      <c r="P115" s="183">
        <f t="shared" si="40"/>
        <v>0</v>
      </c>
      <c r="Q115" s="183">
        <f t="shared" si="40"/>
        <v>4.5403099457280867</v>
      </c>
      <c r="R115" s="183">
        <f t="shared" si="40"/>
        <v>0</v>
      </c>
      <c r="S115" s="183">
        <f t="shared" si="40"/>
        <v>2.1298333859235026</v>
      </c>
      <c r="U115" s="105"/>
      <c r="AA115" s="105"/>
      <c r="AB115" s="105"/>
      <c r="AC115" s="105"/>
      <c r="AD115" s="105"/>
      <c r="AE115" s="105"/>
      <c r="AF115" s="105"/>
      <c r="AG115" s="105"/>
      <c r="AH115" s="105"/>
      <c r="AI115" s="105"/>
      <c r="AJ115" s="105"/>
      <c r="AK115" s="105"/>
      <c r="AL115" s="105"/>
      <c r="AM115" s="105"/>
      <c r="AN115" s="105"/>
      <c r="AO115" s="105"/>
      <c r="AP115" s="105"/>
      <c r="AQ115" s="105"/>
      <c r="AR115" s="105"/>
      <c r="AS115" s="105"/>
      <c r="AT115" s="105"/>
      <c r="AU115" s="105"/>
      <c r="AV115" s="105"/>
      <c r="AW115" s="105"/>
      <c r="AX115" s="105"/>
      <c r="AY115" s="105"/>
      <c r="AZ115" s="105"/>
      <c r="BA115" s="105"/>
      <c r="BB115" s="105"/>
      <c r="BC115" s="105"/>
      <c r="BD115" s="105"/>
      <c r="BE115" s="105"/>
      <c r="BF115" s="105"/>
      <c r="BG115" s="105"/>
      <c r="BH115" s="105"/>
      <c r="BI115" s="105"/>
      <c r="BJ115" s="105"/>
      <c r="BK115" s="105"/>
      <c r="BL115" s="105"/>
      <c r="BM115" s="105"/>
      <c r="BN115" s="105"/>
      <c r="BO115" s="105"/>
      <c r="BP115" s="105"/>
      <c r="BQ115" s="105"/>
      <c r="BR115" s="105"/>
      <c r="BS115" s="105"/>
      <c r="BT115" s="105"/>
    </row>
    <row r="116" spans="1:72" ht="27.95" customHeight="1" x14ac:dyDescent="0.3">
      <c r="A116" s="61"/>
      <c r="B116" s="175" t="s">
        <v>12</v>
      </c>
      <c r="C116" s="175"/>
      <c r="D116" s="175"/>
      <c r="E116" s="175"/>
      <c r="F116" s="186">
        <f t="shared" ref="F116:R116" si="41">+SUM(F117:F127)</f>
        <v>0</v>
      </c>
      <c r="G116" s="186">
        <f t="shared" si="41"/>
        <v>10.081702853279648</v>
      </c>
      <c r="H116" s="186">
        <f t="shared" si="41"/>
        <v>0</v>
      </c>
      <c r="I116" s="186">
        <f t="shared" si="41"/>
        <v>8.4726989291017851</v>
      </c>
      <c r="J116" s="186">
        <f t="shared" si="41"/>
        <v>0</v>
      </c>
      <c r="K116" s="186">
        <f t="shared" si="41"/>
        <v>6.3509556107842453</v>
      </c>
      <c r="L116" s="186">
        <f t="shared" si="41"/>
        <v>0</v>
      </c>
      <c r="M116" s="186">
        <f t="shared" si="41"/>
        <v>5.3429703166856273</v>
      </c>
      <c r="N116" s="186">
        <f t="shared" si="41"/>
        <v>0</v>
      </c>
      <c r="O116" s="186">
        <f t="shared" si="41"/>
        <v>4.5427096932784208</v>
      </c>
      <c r="P116" s="186">
        <f t="shared" si="41"/>
        <v>0</v>
      </c>
      <c r="Q116" s="186">
        <f t="shared" si="41"/>
        <v>3.4938293178257021</v>
      </c>
      <c r="R116" s="186">
        <f t="shared" si="41"/>
        <v>0</v>
      </c>
      <c r="S116" s="186">
        <f>+SUM(S117:S127)</f>
        <v>1.6206217581119353</v>
      </c>
      <c r="U116" s="108"/>
      <c r="AA116" s="108"/>
      <c r="AB116" s="108"/>
      <c r="AC116" s="108"/>
      <c r="AD116" s="108"/>
      <c r="AE116" s="108"/>
      <c r="AF116" s="108"/>
      <c r="AG116" s="108"/>
      <c r="AH116" s="108"/>
      <c r="AI116" s="108"/>
      <c r="AJ116" s="108"/>
      <c r="AK116" s="108"/>
      <c r="AL116" s="108"/>
      <c r="AM116" s="108"/>
      <c r="AN116" s="108"/>
      <c r="AO116" s="108"/>
      <c r="AP116" s="108"/>
      <c r="AQ116" s="108"/>
      <c r="AR116" s="108"/>
      <c r="AS116" s="108"/>
      <c r="AT116" s="108"/>
      <c r="AU116" s="108"/>
      <c r="AV116" s="108"/>
      <c r="AW116" s="108"/>
      <c r="AX116" s="108"/>
      <c r="AY116" s="108"/>
      <c r="AZ116" s="108"/>
      <c r="BA116" s="108"/>
      <c r="BB116" s="108"/>
      <c r="BC116" s="108"/>
      <c r="BD116" s="108"/>
      <c r="BE116" s="108"/>
      <c r="BF116" s="108"/>
      <c r="BG116" s="108"/>
      <c r="BH116" s="108"/>
      <c r="BI116" s="108"/>
      <c r="BJ116" s="108"/>
      <c r="BK116" s="108"/>
      <c r="BL116" s="108"/>
      <c r="BM116" s="108"/>
      <c r="BN116" s="108"/>
      <c r="BO116" s="108"/>
      <c r="BP116" s="108"/>
      <c r="BQ116" s="108"/>
      <c r="BR116" s="108"/>
      <c r="BS116" s="108"/>
      <c r="BT116" s="108"/>
    </row>
    <row r="117" spans="1:72" ht="27.95" customHeight="1" x14ac:dyDescent="0.3">
      <c r="A117" s="61"/>
      <c r="B117" s="158" t="s">
        <v>19</v>
      </c>
      <c r="C117" s="158" t="s">
        <v>20</v>
      </c>
      <c r="D117" s="158" t="str">
        <f>+VLOOKUP($C117,$C$10:$D$43,2,FALSE)</f>
        <v>USD</v>
      </c>
      <c r="E117" s="158" t="s">
        <v>91</v>
      </c>
      <c r="F117" s="204">
        <v>0</v>
      </c>
      <c r="G117" s="204">
        <v>2.8011069599999998</v>
      </c>
      <c r="H117" s="204">
        <v>0</v>
      </c>
      <c r="I117" s="204">
        <v>2.2419144819773389</v>
      </c>
      <c r="J117" s="204">
        <v>0</v>
      </c>
      <c r="K117" s="204">
        <v>1.6972030169692487</v>
      </c>
      <c r="L117" s="204">
        <v>0</v>
      </c>
      <c r="M117" s="204">
        <v>1.423648056076231</v>
      </c>
      <c r="N117" s="204">
        <v>0</v>
      </c>
      <c r="O117" s="204">
        <v>1.2566959703429592</v>
      </c>
      <c r="P117" s="204">
        <v>0</v>
      </c>
      <c r="Q117" s="204">
        <v>0.96540217628731462</v>
      </c>
      <c r="R117" s="204">
        <v>0</v>
      </c>
      <c r="S117" s="204">
        <v>0.43934709102873276</v>
      </c>
      <c r="U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c r="BL117" s="70"/>
      <c r="BM117" s="70"/>
      <c r="BN117" s="70"/>
      <c r="BO117" s="70"/>
      <c r="BP117" s="70"/>
      <c r="BQ117" s="70"/>
      <c r="BR117" s="70"/>
      <c r="BS117" s="70"/>
      <c r="BT117" s="70"/>
    </row>
    <row r="118" spans="1:72" ht="27.95" customHeight="1" x14ac:dyDescent="0.3">
      <c r="A118" s="61"/>
      <c r="B118" s="158" t="s">
        <v>13</v>
      </c>
      <c r="C118" s="158" t="s">
        <v>14</v>
      </c>
      <c r="D118" s="158" t="str">
        <f>+VLOOKUP($C118,$C$10:$D$43,2,FALSE)</f>
        <v>USD</v>
      </c>
      <c r="E118" s="158" t="s">
        <v>91</v>
      </c>
      <c r="F118" s="204">
        <v>0</v>
      </c>
      <c r="G118" s="204">
        <v>2.0726838859180483</v>
      </c>
      <c r="H118" s="204">
        <v>0</v>
      </c>
      <c r="I118" s="204">
        <v>1.7705287772380021</v>
      </c>
      <c r="J118" s="204">
        <v>0</v>
      </c>
      <c r="K118" s="204">
        <v>1.3723560697979169</v>
      </c>
      <c r="L118" s="204">
        <v>0</v>
      </c>
      <c r="M118" s="204">
        <v>1.1630602546280753</v>
      </c>
      <c r="N118" s="204">
        <v>0</v>
      </c>
      <c r="O118" s="204">
        <v>0.9531921799351929</v>
      </c>
      <c r="P118" s="204">
        <v>0</v>
      </c>
      <c r="Q118" s="204">
        <v>0.72850512263098111</v>
      </c>
      <c r="R118" s="204">
        <v>0</v>
      </c>
      <c r="S118" s="204">
        <v>0.35196382516183694</v>
      </c>
      <c r="U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c r="BL118" s="70"/>
      <c r="BM118" s="70"/>
      <c r="BN118" s="70"/>
      <c r="BO118" s="70"/>
      <c r="BP118" s="70"/>
      <c r="BQ118" s="70"/>
      <c r="BR118" s="70"/>
      <c r="BS118" s="70"/>
      <c r="BT118" s="70"/>
    </row>
    <row r="119" spans="1:72" ht="27.95" customHeight="1" x14ac:dyDescent="0.3">
      <c r="A119" s="61"/>
      <c r="B119" s="158" t="s">
        <v>124</v>
      </c>
      <c r="C119" s="158" t="s">
        <v>125</v>
      </c>
      <c r="D119" s="158" t="str">
        <f>+VLOOKUP($C119,$C$10:$D$43,2,FALSE)</f>
        <v>USD</v>
      </c>
      <c r="E119" s="158" t="s">
        <v>91</v>
      </c>
      <c r="F119" s="204">
        <v>0</v>
      </c>
      <c r="G119" s="204">
        <v>1.8082097941095889</v>
      </c>
      <c r="H119" s="204">
        <v>0</v>
      </c>
      <c r="I119" s="204">
        <v>1.4582812463013697</v>
      </c>
      <c r="J119" s="204">
        <v>0</v>
      </c>
      <c r="K119" s="204">
        <v>1.1582929491780822</v>
      </c>
      <c r="L119" s="204">
        <v>0</v>
      </c>
      <c r="M119" s="204">
        <v>1.0156794632876711</v>
      </c>
      <c r="N119" s="204">
        <v>0</v>
      </c>
      <c r="O119" s="204">
        <v>0.88705986349315047</v>
      </c>
      <c r="P119" s="204">
        <v>0</v>
      </c>
      <c r="Q119" s="204">
        <v>0.71173610383561625</v>
      </c>
      <c r="R119" s="204">
        <v>0</v>
      </c>
      <c r="S119" s="204">
        <v>0.34836957304109545</v>
      </c>
      <c r="U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c r="BL119" s="70"/>
      <c r="BM119" s="70"/>
      <c r="BN119" s="70"/>
      <c r="BO119" s="70"/>
      <c r="BP119" s="70"/>
      <c r="BQ119" s="70"/>
      <c r="BR119" s="70"/>
      <c r="BS119" s="70"/>
      <c r="BT119" s="70"/>
    </row>
    <row r="120" spans="1:72" ht="27.95" customHeight="1" x14ac:dyDescent="0.3">
      <c r="A120" s="61"/>
      <c r="B120" s="158" t="s">
        <v>15</v>
      </c>
      <c r="C120" s="158" t="s">
        <v>16</v>
      </c>
      <c r="D120" s="158" t="str">
        <f>+VLOOKUP($C120,$C$10:$D$43,2,FALSE)</f>
        <v>USD</v>
      </c>
      <c r="E120" s="158" t="s">
        <v>91</v>
      </c>
      <c r="F120" s="204">
        <v>0</v>
      </c>
      <c r="G120" s="204">
        <v>1.3809655300000001</v>
      </c>
      <c r="H120" s="204">
        <v>0</v>
      </c>
      <c r="I120" s="204">
        <v>1.5372055200000001</v>
      </c>
      <c r="J120" s="204">
        <v>0</v>
      </c>
      <c r="K120" s="204">
        <v>1.14943854</v>
      </c>
      <c r="L120" s="204">
        <v>0</v>
      </c>
      <c r="M120" s="204">
        <v>0.92297023</v>
      </c>
      <c r="N120" s="204">
        <v>0</v>
      </c>
      <c r="O120" s="204">
        <v>0.73717332000000002</v>
      </c>
      <c r="P120" s="204">
        <v>0</v>
      </c>
      <c r="Q120" s="204">
        <v>0.52012939000000002</v>
      </c>
      <c r="R120" s="204">
        <v>0</v>
      </c>
      <c r="S120" s="204">
        <v>0.21259518757323287</v>
      </c>
      <c r="U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c r="BL120" s="70"/>
      <c r="BM120" s="70"/>
      <c r="BN120" s="70"/>
      <c r="BO120" s="70"/>
      <c r="BP120" s="70"/>
      <c r="BQ120" s="70"/>
      <c r="BR120" s="70"/>
      <c r="BS120" s="70"/>
      <c r="BT120" s="70"/>
    </row>
    <row r="121" spans="1:72" ht="27.95" customHeight="1" x14ac:dyDescent="0.3">
      <c r="A121" s="61"/>
      <c r="B121" s="158" t="s">
        <v>23</v>
      </c>
      <c r="C121" s="158" t="s">
        <v>24</v>
      </c>
      <c r="D121" s="158" t="str">
        <f>+VLOOKUP($C121,$C$10:$D$43,2,FALSE)</f>
        <v>USD</v>
      </c>
      <c r="E121" s="158" t="s">
        <v>91</v>
      </c>
      <c r="F121" s="204">
        <v>0</v>
      </c>
      <c r="G121" s="204">
        <v>0.91239323501722702</v>
      </c>
      <c r="H121" s="204">
        <v>0</v>
      </c>
      <c r="I121" s="204">
        <v>0.73079601154540919</v>
      </c>
      <c r="J121" s="204">
        <v>0</v>
      </c>
      <c r="K121" s="204">
        <v>0.5686818207323947</v>
      </c>
      <c r="L121" s="204">
        <v>0</v>
      </c>
      <c r="M121" s="204">
        <v>0.48978554761813675</v>
      </c>
      <c r="N121" s="204">
        <v>0</v>
      </c>
      <c r="O121" s="204">
        <v>0.4297704983912698</v>
      </c>
      <c r="P121" s="204">
        <v>0</v>
      </c>
      <c r="Q121" s="204">
        <v>0.33684140733920737</v>
      </c>
      <c r="R121" s="204">
        <v>0</v>
      </c>
      <c r="S121" s="204">
        <v>0.15743979956313867</v>
      </c>
      <c r="U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c r="BL121" s="70"/>
      <c r="BM121" s="70"/>
      <c r="BN121" s="70"/>
      <c r="BO121" s="70"/>
      <c r="BP121" s="70"/>
      <c r="BQ121" s="70"/>
      <c r="BR121" s="70"/>
      <c r="BS121" s="70"/>
      <c r="BT121" s="70"/>
    </row>
    <row r="122" spans="1:72" ht="27.95" customHeight="1" x14ac:dyDescent="0.3">
      <c r="A122" s="61"/>
      <c r="B122" s="158" t="s">
        <v>144</v>
      </c>
      <c r="C122" s="158" t="s">
        <v>215</v>
      </c>
      <c r="D122" s="158" t="s">
        <v>98</v>
      </c>
      <c r="E122" s="158" t="s">
        <v>91</v>
      </c>
      <c r="F122" s="204">
        <v>0</v>
      </c>
      <c r="G122" s="204">
        <v>0.30642318999999996</v>
      </c>
      <c r="H122" s="204">
        <v>0</v>
      </c>
      <c r="I122" s="204">
        <v>0.32089403576523579</v>
      </c>
      <c r="J122" s="204">
        <v>0</v>
      </c>
      <c r="K122" s="204">
        <v>0.2569361664878102</v>
      </c>
      <c r="L122" s="204">
        <v>0</v>
      </c>
      <c r="M122" s="204">
        <v>0.20947333955483718</v>
      </c>
      <c r="N122" s="204">
        <v>0</v>
      </c>
      <c r="O122" s="204">
        <v>0.18623556289562856</v>
      </c>
      <c r="P122" s="204">
        <v>0</v>
      </c>
      <c r="Q122" s="204">
        <v>0.16669361324463028</v>
      </c>
      <c r="R122" s="204">
        <v>0</v>
      </c>
      <c r="S122" s="204">
        <v>8.1031255178355105E-2</v>
      </c>
      <c r="U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c r="BL122" s="70"/>
      <c r="BM122" s="70"/>
      <c r="BN122" s="70"/>
      <c r="BO122" s="70"/>
      <c r="BP122" s="70"/>
      <c r="BQ122" s="70"/>
      <c r="BR122" s="70"/>
      <c r="BS122" s="70"/>
      <c r="BT122" s="70"/>
    </row>
    <row r="123" spans="1:72" ht="27.95" customHeight="1" x14ac:dyDescent="0.3">
      <c r="A123" s="61"/>
      <c r="B123" s="158" t="s">
        <v>17</v>
      </c>
      <c r="C123" s="158" t="s">
        <v>18</v>
      </c>
      <c r="D123" s="158" t="s">
        <v>98</v>
      </c>
      <c r="E123" s="158" t="s">
        <v>91</v>
      </c>
      <c r="F123" s="204">
        <v>0</v>
      </c>
      <c r="G123" s="204">
        <v>0.5776725835237857</v>
      </c>
      <c r="H123" s="204">
        <v>0</v>
      </c>
      <c r="I123" s="204">
        <v>0.21548595976578874</v>
      </c>
      <c r="J123" s="204">
        <v>0</v>
      </c>
      <c r="K123" s="204">
        <v>0</v>
      </c>
      <c r="L123" s="204">
        <v>0</v>
      </c>
      <c r="M123" s="204">
        <v>0</v>
      </c>
      <c r="N123" s="204">
        <v>0</v>
      </c>
      <c r="O123" s="204">
        <v>0</v>
      </c>
      <c r="P123" s="204">
        <v>0</v>
      </c>
      <c r="Q123" s="204">
        <v>0</v>
      </c>
      <c r="R123" s="204">
        <v>0</v>
      </c>
      <c r="S123" s="204">
        <v>0</v>
      </c>
      <c r="U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c r="BL123" s="70"/>
      <c r="BM123" s="70"/>
      <c r="BN123" s="70"/>
      <c r="BO123" s="70"/>
      <c r="BP123" s="70"/>
      <c r="BQ123" s="70"/>
      <c r="BR123" s="70"/>
      <c r="BS123" s="70"/>
      <c r="BT123" s="70"/>
    </row>
    <row r="124" spans="1:72" ht="27.95" customHeight="1" x14ac:dyDescent="0.3">
      <c r="A124" s="61"/>
      <c r="B124" s="158" t="s">
        <v>21</v>
      </c>
      <c r="C124" s="158" t="s">
        <v>22</v>
      </c>
      <c r="D124" s="158" t="s">
        <v>98</v>
      </c>
      <c r="E124" s="158" t="s">
        <v>91</v>
      </c>
      <c r="F124" s="204">
        <v>0</v>
      </c>
      <c r="G124" s="204">
        <v>0.20862745220469725</v>
      </c>
      <c r="H124" s="204">
        <v>0</v>
      </c>
      <c r="I124" s="204">
        <v>0.19408330720101191</v>
      </c>
      <c r="J124" s="204">
        <v>0</v>
      </c>
      <c r="K124" s="204">
        <v>0.14486561298505216</v>
      </c>
      <c r="L124" s="204">
        <v>0</v>
      </c>
      <c r="M124" s="204">
        <v>0.11550406806227527</v>
      </c>
      <c r="N124" s="204">
        <v>0</v>
      </c>
      <c r="O124" s="204">
        <v>9.0068987325090319E-2</v>
      </c>
      <c r="P124" s="204">
        <v>0</v>
      </c>
      <c r="Q124" s="204">
        <v>6.2348256990950569E-2</v>
      </c>
      <c r="R124" s="204">
        <v>0</v>
      </c>
      <c r="S124" s="204">
        <v>2.8926673760554199E-2</v>
      </c>
      <c r="U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c r="BL124" s="70"/>
      <c r="BM124" s="70"/>
      <c r="BN124" s="70"/>
      <c r="BO124" s="70"/>
      <c r="BP124" s="70"/>
      <c r="BQ124" s="70"/>
      <c r="BR124" s="70"/>
      <c r="BS124" s="70"/>
      <c r="BT124" s="70"/>
    </row>
    <row r="125" spans="1:72" ht="27.95" customHeight="1" x14ac:dyDescent="0.3">
      <c r="A125" s="61"/>
      <c r="B125" s="158" t="s">
        <v>27</v>
      </c>
      <c r="C125" s="158" t="s">
        <v>28</v>
      </c>
      <c r="D125" s="158" t="str">
        <f>+VLOOKUP($C125,$C$10:$D$43,2,FALSE)</f>
        <v>USD</v>
      </c>
      <c r="E125" s="158" t="s">
        <v>91</v>
      </c>
      <c r="F125" s="204">
        <v>0</v>
      </c>
      <c r="G125" s="204">
        <v>3.8338678127242355E-3</v>
      </c>
      <c r="H125" s="204">
        <v>0</v>
      </c>
      <c r="I125" s="204">
        <v>3.5095893076293205E-3</v>
      </c>
      <c r="J125" s="204">
        <v>0</v>
      </c>
      <c r="K125" s="204">
        <v>3.181434633739902E-3</v>
      </c>
      <c r="L125" s="204">
        <v>0</v>
      </c>
      <c r="M125" s="204">
        <v>2.8493574583996852E-3</v>
      </c>
      <c r="N125" s="204">
        <v>0</v>
      </c>
      <c r="O125" s="204">
        <v>2.5133108951284266E-3</v>
      </c>
      <c r="P125" s="204">
        <v>0</v>
      </c>
      <c r="Q125" s="204">
        <v>2.1732474970019913E-3</v>
      </c>
      <c r="R125" s="204">
        <v>0</v>
      </c>
      <c r="S125" s="204">
        <v>9.4835280498913076E-4</v>
      </c>
      <c r="U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c r="BL125" s="70"/>
      <c r="BM125" s="70"/>
      <c r="BN125" s="70"/>
      <c r="BO125" s="70"/>
      <c r="BP125" s="70"/>
      <c r="BQ125" s="70"/>
      <c r="BR125" s="70"/>
      <c r="BS125" s="70"/>
      <c r="BT125" s="70"/>
    </row>
    <row r="126" spans="1:72" ht="27.95" customHeight="1" x14ac:dyDescent="0.3">
      <c r="A126" s="61"/>
      <c r="B126" s="158" t="s">
        <v>25</v>
      </c>
      <c r="C126" s="158" t="s">
        <v>26</v>
      </c>
      <c r="D126" s="158" t="str">
        <f>+VLOOKUP($C126,$C$10:$D$43,2,FALSE)</f>
        <v>USD</v>
      </c>
      <c r="E126" s="158" t="s">
        <v>91</v>
      </c>
      <c r="F126" s="204">
        <v>0</v>
      </c>
      <c r="G126" s="204">
        <v>9.7863546935784557E-3</v>
      </c>
      <c r="H126" s="204">
        <v>0</v>
      </c>
      <c r="I126" s="204">
        <v>0</v>
      </c>
      <c r="J126" s="204">
        <v>0</v>
      </c>
      <c r="K126" s="204">
        <v>0</v>
      </c>
      <c r="L126" s="204">
        <v>0</v>
      </c>
      <c r="M126" s="204">
        <v>0</v>
      </c>
      <c r="N126" s="204">
        <v>0</v>
      </c>
      <c r="O126" s="204">
        <v>0</v>
      </c>
      <c r="P126" s="204">
        <v>0</v>
      </c>
      <c r="Q126" s="204">
        <v>0</v>
      </c>
      <c r="R126" s="204">
        <v>0</v>
      </c>
      <c r="S126" s="204">
        <v>0</v>
      </c>
      <c r="U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c r="BL126" s="70"/>
      <c r="BM126" s="70"/>
      <c r="BN126" s="70"/>
      <c r="BO126" s="70"/>
      <c r="BP126" s="70"/>
      <c r="BQ126" s="70"/>
      <c r="BR126" s="70"/>
      <c r="BS126" s="70"/>
      <c r="BT126" s="70"/>
    </row>
    <row r="127" spans="1:72" ht="27.95" customHeight="1" x14ac:dyDescent="0.3">
      <c r="A127" s="61"/>
      <c r="B127" s="158" t="s">
        <v>29</v>
      </c>
      <c r="C127" s="158" t="s">
        <v>30</v>
      </c>
      <c r="D127" s="158" t="str">
        <f>+VLOOKUP($C127,$C$10:$D$43,2,FALSE)</f>
        <v>USD</v>
      </c>
      <c r="E127" s="158" t="s">
        <v>91</v>
      </c>
      <c r="F127" s="204">
        <v>0</v>
      </c>
      <c r="G127" s="204">
        <v>0</v>
      </c>
      <c r="H127" s="204">
        <v>0</v>
      </c>
      <c r="I127" s="204">
        <v>0</v>
      </c>
      <c r="J127" s="204">
        <v>0</v>
      </c>
      <c r="K127" s="204">
        <v>0</v>
      </c>
      <c r="L127" s="204">
        <v>0</v>
      </c>
      <c r="M127" s="204">
        <v>0</v>
      </c>
      <c r="N127" s="204">
        <v>0</v>
      </c>
      <c r="O127" s="204">
        <v>0</v>
      </c>
      <c r="P127" s="204">
        <v>0</v>
      </c>
      <c r="Q127" s="204">
        <v>0</v>
      </c>
      <c r="R127" s="204">
        <v>0</v>
      </c>
      <c r="S127" s="204">
        <v>0</v>
      </c>
      <c r="U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c r="BL127" s="70"/>
      <c r="BM127" s="70"/>
      <c r="BN127" s="70"/>
      <c r="BO127" s="70"/>
      <c r="BP127" s="70"/>
      <c r="BQ127" s="70"/>
      <c r="BR127" s="70"/>
      <c r="BS127" s="70"/>
      <c r="BT127" s="70"/>
    </row>
    <row r="128" spans="1:72" ht="27.95" customHeight="1" x14ac:dyDescent="0.3">
      <c r="A128" s="61"/>
      <c r="B128" s="175" t="s">
        <v>31</v>
      </c>
      <c r="C128" s="175"/>
      <c r="D128" s="175"/>
      <c r="E128" s="175"/>
      <c r="F128" s="186">
        <f t="shared" ref="F128:R128" si="42">+SUM(F129:F131)</f>
        <v>0</v>
      </c>
      <c r="G128" s="186">
        <f t="shared" si="42"/>
        <v>1.4305503380356355</v>
      </c>
      <c r="H128" s="186">
        <f t="shared" si="42"/>
        <v>0</v>
      </c>
      <c r="I128" s="186">
        <f t="shared" si="42"/>
        <v>1.9932408922597735</v>
      </c>
      <c r="J128" s="186">
        <f t="shared" si="42"/>
        <v>0</v>
      </c>
      <c r="K128" s="186">
        <f t="shared" si="42"/>
        <v>1.5434705132347553</v>
      </c>
      <c r="L128" s="186">
        <f t="shared" si="42"/>
        <v>0</v>
      </c>
      <c r="M128" s="186">
        <f t="shared" si="42"/>
        <v>1.2819185532686408</v>
      </c>
      <c r="N128" s="186">
        <f t="shared" si="42"/>
        <v>0</v>
      </c>
      <c r="O128" s="186">
        <f t="shared" si="42"/>
        <v>1.1566138951151856</v>
      </c>
      <c r="P128" s="186">
        <f t="shared" si="42"/>
        <v>0</v>
      </c>
      <c r="Q128" s="186">
        <f t="shared" si="42"/>
        <v>1.0464806279023846</v>
      </c>
      <c r="R128" s="186">
        <f t="shared" si="42"/>
        <v>0</v>
      </c>
      <c r="S128" s="186">
        <f>+SUM(S129:S131)</f>
        <v>0.50921162781156715</v>
      </c>
      <c r="T128" s="108"/>
      <c r="U128" s="108"/>
      <c r="AA128" s="108"/>
      <c r="AB128" s="108"/>
      <c r="AC128" s="108"/>
      <c r="AD128" s="108"/>
      <c r="AE128" s="108"/>
      <c r="AF128" s="108"/>
      <c r="AG128" s="108"/>
      <c r="AH128" s="108"/>
      <c r="AI128" s="108"/>
      <c r="AJ128" s="108"/>
      <c r="AK128" s="108"/>
      <c r="AL128" s="108"/>
      <c r="AM128" s="108"/>
      <c r="AN128" s="108"/>
      <c r="AO128" s="108"/>
      <c r="AP128" s="108"/>
      <c r="AQ128" s="108"/>
      <c r="AR128" s="108"/>
      <c r="AS128" s="108"/>
      <c r="AT128" s="108"/>
      <c r="AU128" s="108"/>
      <c r="AV128" s="108"/>
      <c r="AW128" s="108"/>
      <c r="AX128" s="108"/>
      <c r="AY128" s="108"/>
      <c r="AZ128" s="108"/>
      <c r="BA128" s="108"/>
      <c r="BB128" s="108"/>
      <c r="BC128" s="108"/>
      <c r="BD128" s="108"/>
      <c r="BE128" s="108"/>
      <c r="BF128" s="108"/>
      <c r="BG128" s="108"/>
      <c r="BH128" s="108"/>
      <c r="BI128" s="108"/>
      <c r="BJ128" s="108"/>
      <c r="BK128" s="108"/>
      <c r="BL128" s="108"/>
      <c r="BM128" s="108"/>
      <c r="BN128" s="108"/>
      <c r="BO128" s="108"/>
      <c r="BP128" s="108"/>
      <c r="BQ128" s="108"/>
      <c r="BR128" s="108"/>
      <c r="BS128" s="108"/>
      <c r="BT128" s="108"/>
    </row>
    <row r="129" spans="1:86" ht="27.95" customHeight="1" x14ac:dyDescent="0.3">
      <c r="A129" s="61"/>
      <c r="B129" s="158" t="s">
        <v>32</v>
      </c>
      <c r="C129" s="158" t="s">
        <v>33</v>
      </c>
      <c r="D129" s="158" t="str">
        <f>+VLOOKUP($C129,$C$10:$D$43,2,FALSE)</f>
        <v>USD</v>
      </c>
      <c r="E129" s="158" t="s">
        <v>91</v>
      </c>
      <c r="F129" s="204">
        <v>0</v>
      </c>
      <c r="G129" s="204">
        <v>0.99025598765287248</v>
      </c>
      <c r="H129" s="204">
        <v>0</v>
      </c>
      <c r="I129" s="204">
        <v>1.5490556390478476</v>
      </c>
      <c r="J129" s="204">
        <v>0</v>
      </c>
      <c r="K129" s="204">
        <v>1.2064284481792391</v>
      </c>
      <c r="L129" s="204">
        <v>0</v>
      </c>
      <c r="M129" s="204">
        <v>1.0074049849570568</v>
      </c>
      <c r="N129" s="204">
        <v>0</v>
      </c>
      <c r="O129" s="204">
        <v>0.91214218829188176</v>
      </c>
      <c r="P129" s="204">
        <v>0</v>
      </c>
      <c r="Q129" s="204">
        <v>0.82496235534888562</v>
      </c>
      <c r="R129" s="204">
        <v>0</v>
      </c>
      <c r="S129" s="204">
        <v>0.40207318343420323</v>
      </c>
      <c r="U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c r="BL129" s="70"/>
      <c r="BM129" s="70"/>
      <c r="BN129" s="70"/>
      <c r="BO129" s="70"/>
      <c r="BP129" s="70"/>
      <c r="BQ129" s="70"/>
      <c r="BR129" s="70"/>
      <c r="BS129" s="70"/>
      <c r="BT129" s="70"/>
    </row>
    <row r="130" spans="1:86" ht="27.95" customHeight="1" x14ac:dyDescent="0.3">
      <c r="A130" s="61"/>
      <c r="B130" s="158" t="s">
        <v>170</v>
      </c>
      <c r="C130" s="158" t="s">
        <v>171</v>
      </c>
      <c r="D130" s="158" t="s">
        <v>98</v>
      </c>
      <c r="E130" s="158" t="s">
        <v>91</v>
      </c>
      <c r="F130" s="204">
        <v>0</v>
      </c>
      <c r="G130" s="204">
        <v>0.3371442703827629</v>
      </c>
      <c r="H130" s="204">
        <v>0</v>
      </c>
      <c r="I130" s="204">
        <v>0.31932643321192589</v>
      </c>
      <c r="J130" s="204">
        <v>0</v>
      </c>
      <c r="K130" s="204">
        <v>0.23624827505551613</v>
      </c>
      <c r="L130" s="204">
        <v>0</v>
      </c>
      <c r="M130" s="204">
        <v>0.18838150831158398</v>
      </c>
      <c r="N130" s="204">
        <v>0</v>
      </c>
      <c r="O130" s="204">
        <v>0.16364663682330399</v>
      </c>
      <c r="P130" s="204">
        <v>0</v>
      </c>
      <c r="Q130" s="204">
        <v>0.14453238255349896</v>
      </c>
      <c r="R130" s="204">
        <v>0</v>
      </c>
      <c r="S130" s="204">
        <v>6.995904675831624E-2</v>
      </c>
      <c r="U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c r="BL130" s="70"/>
      <c r="BM130" s="70"/>
      <c r="BN130" s="70"/>
      <c r="BO130" s="70"/>
      <c r="BP130" s="70"/>
      <c r="BQ130" s="70"/>
      <c r="BR130" s="70"/>
      <c r="BS130" s="70"/>
      <c r="BT130" s="70"/>
    </row>
    <row r="131" spans="1:86" ht="27.95" customHeight="1" x14ac:dyDescent="0.3">
      <c r="A131" s="61"/>
      <c r="B131" s="158" t="s">
        <v>145</v>
      </c>
      <c r="C131" s="158" t="s">
        <v>146</v>
      </c>
      <c r="D131" s="158" t="s">
        <v>98</v>
      </c>
      <c r="E131" s="158" t="s">
        <v>91</v>
      </c>
      <c r="F131" s="204">
        <v>0</v>
      </c>
      <c r="G131" s="204">
        <v>0.10315008000000001</v>
      </c>
      <c r="H131" s="204">
        <v>0</v>
      </c>
      <c r="I131" s="204">
        <v>0.12485882000000001</v>
      </c>
      <c r="J131" s="204">
        <v>0</v>
      </c>
      <c r="K131" s="204">
        <v>0.10079379000000001</v>
      </c>
      <c r="L131" s="204">
        <v>0</v>
      </c>
      <c r="M131" s="204">
        <v>8.6132059999999996E-2</v>
      </c>
      <c r="N131" s="204">
        <v>0</v>
      </c>
      <c r="O131" s="204">
        <v>8.0825070000000013E-2</v>
      </c>
      <c r="P131" s="204">
        <v>0</v>
      </c>
      <c r="Q131" s="204">
        <v>7.6985890000000001E-2</v>
      </c>
      <c r="R131" s="204">
        <v>0</v>
      </c>
      <c r="S131" s="204">
        <v>3.7179397619047629E-2</v>
      </c>
      <c r="U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c r="BL131" s="70"/>
      <c r="BM131" s="70"/>
      <c r="BN131" s="70"/>
      <c r="BO131" s="70"/>
      <c r="BP131" s="70"/>
      <c r="BQ131" s="70"/>
      <c r="BR131" s="70"/>
      <c r="BS131" s="70"/>
      <c r="BT131" s="70"/>
    </row>
    <row r="132" spans="1:86" ht="27.95" customHeight="1" x14ac:dyDescent="0.3">
      <c r="A132" s="61"/>
      <c r="B132" s="170" t="s">
        <v>92</v>
      </c>
      <c r="C132" s="170"/>
      <c r="D132" s="170"/>
      <c r="E132" s="170"/>
      <c r="F132" s="183">
        <f t="shared" ref="F132:S132" si="43">+SUM(F133:F141)</f>
        <v>8657.828012085818</v>
      </c>
      <c r="G132" s="183">
        <f t="shared" si="43"/>
        <v>24.058090670000002</v>
      </c>
      <c r="H132" s="183">
        <f t="shared" si="43"/>
        <v>2099.5466651285001</v>
      </c>
      <c r="I132" s="183">
        <f t="shared" si="43"/>
        <v>19.475597211538471</v>
      </c>
      <c r="J132" s="183">
        <f t="shared" si="43"/>
        <v>826.97408974485404</v>
      </c>
      <c r="K132" s="183">
        <f t="shared" si="43"/>
        <v>14.893103750000007</v>
      </c>
      <c r="L132" s="183">
        <f t="shared" si="43"/>
        <v>152.26688814683766</v>
      </c>
      <c r="M132" s="183">
        <f t="shared" si="43"/>
        <v>10.310610288461547</v>
      </c>
      <c r="N132" s="183">
        <f t="shared" si="43"/>
        <v>119.58083866482393</v>
      </c>
      <c r="O132" s="183">
        <f t="shared" si="43"/>
        <v>5.7281168269230855</v>
      </c>
      <c r="P132" s="183">
        <f t="shared" si="43"/>
        <v>79.448289440791484</v>
      </c>
      <c r="Q132" s="183">
        <f t="shared" si="43"/>
        <v>1.1456233653846195</v>
      </c>
      <c r="R132" s="183">
        <f t="shared" si="43"/>
        <v>22.29888589856348</v>
      </c>
      <c r="S132" s="183">
        <f t="shared" si="43"/>
        <v>0</v>
      </c>
      <c r="U132" s="105"/>
      <c r="AA132" s="105"/>
      <c r="AB132" s="105"/>
      <c r="AC132" s="105"/>
      <c r="AD132" s="105"/>
      <c r="AE132" s="105"/>
      <c r="AF132" s="105"/>
      <c r="AG132" s="105"/>
      <c r="AH132" s="105"/>
      <c r="AI132" s="105"/>
      <c r="AJ132" s="105"/>
      <c r="AK132" s="105"/>
      <c r="AL132" s="105"/>
      <c r="AM132" s="105"/>
      <c r="AN132" s="105"/>
      <c r="AO132" s="105"/>
      <c r="AP132" s="105"/>
      <c r="AQ132" s="105"/>
      <c r="AR132" s="105"/>
      <c r="AS132" s="105"/>
      <c r="AT132" s="105"/>
      <c r="AU132" s="105"/>
      <c r="AV132" s="105"/>
      <c r="AW132" s="105"/>
      <c r="AX132" s="105"/>
      <c r="AY132" s="105"/>
      <c r="AZ132" s="105"/>
      <c r="BA132" s="105"/>
      <c r="BB132" s="105"/>
      <c r="BC132" s="105"/>
      <c r="BD132" s="105"/>
      <c r="BE132" s="105"/>
      <c r="BF132" s="105"/>
      <c r="BG132" s="105"/>
      <c r="BH132" s="105"/>
      <c r="BI132" s="105"/>
      <c r="BJ132" s="105"/>
      <c r="BK132" s="105"/>
      <c r="BL132" s="105"/>
      <c r="BM132" s="105"/>
      <c r="BN132" s="105"/>
      <c r="BO132" s="105"/>
      <c r="BP132" s="105"/>
      <c r="BQ132" s="105"/>
      <c r="BR132" s="105"/>
      <c r="BS132" s="105"/>
      <c r="BT132" s="105"/>
    </row>
    <row r="133" spans="1:86" ht="27.95" customHeight="1" x14ac:dyDescent="0.3">
      <c r="A133" s="61"/>
      <c r="B133" s="158" t="s">
        <v>123</v>
      </c>
      <c r="C133" s="158" t="s">
        <v>122</v>
      </c>
      <c r="D133" s="158" t="str">
        <f>+VLOOKUP($C133,$C$10:$D$43,2,FALSE)</f>
        <v>USD</v>
      </c>
      <c r="E133" s="158" t="s">
        <v>92</v>
      </c>
      <c r="F133" s="204">
        <v>0</v>
      </c>
      <c r="G133" s="204">
        <v>24.058090670000002</v>
      </c>
      <c r="H133" s="204">
        <v>0</v>
      </c>
      <c r="I133" s="204">
        <v>19.475597211538471</v>
      </c>
      <c r="J133" s="204">
        <v>0</v>
      </c>
      <c r="K133" s="204">
        <v>14.893103750000007</v>
      </c>
      <c r="L133" s="204">
        <v>0</v>
      </c>
      <c r="M133" s="204">
        <v>10.310610288461547</v>
      </c>
      <c r="N133" s="204">
        <v>0</v>
      </c>
      <c r="O133" s="204">
        <v>5.7281168269230855</v>
      </c>
      <c r="P133" s="204">
        <v>0</v>
      </c>
      <c r="Q133" s="204">
        <v>1.1456233653846195</v>
      </c>
      <c r="R133" s="204">
        <v>0</v>
      </c>
      <c r="S133" s="204">
        <v>0</v>
      </c>
      <c r="U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c r="BL133" s="70"/>
      <c r="BM133" s="70"/>
      <c r="BN133" s="70"/>
      <c r="BO133" s="70"/>
      <c r="BP133" s="70"/>
      <c r="BQ133" s="70"/>
      <c r="BR133" s="70"/>
      <c r="BS133" s="70"/>
      <c r="BT133" s="70"/>
    </row>
    <row r="134" spans="1:86" ht="27.95" customHeight="1" x14ac:dyDescent="0.3">
      <c r="A134" s="61"/>
      <c r="B134" s="158" t="s">
        <v>234</v>
      </c>
      <c r="C134" s="158" t="s">
        <v>236</v>
      </c>
      <c r="D134" s="158" t="s">
        <v>238</v>
      </c>
      <c r="E134" s="158" t="s">
        <v>92</v>
      </c>
      <c r="F134" s="204">
        <v>0</v>
      </c>
      <c r="G134" s="204">
        <v>0</v>
      </c>
      <c r="H134" s="204">
        <v>0</v>
      </c>
      <c r="I134" s="204">
        <v>0</v>
      </c>
      <c r="J134" s="204">
        <v>0</v>
      </c>
      <c r="K134" s="204">
        <v>0</v>
      </c>
      <c r="L134" s="204">
        <v>0</v>
      </c>
      <c r="M134" s="204">
        <v>0</v>
      </c>
      <c r="N134" s="204">
        <v>0</v>
      </c>
      <c r="O134" s="204">
        <v>0</v>
      </c>
      <c r="P134" s="204">
        <v>0</v>
      </c>
      <c r="Q134" s="204">
        <v>0</v>
      </c>
      <c r="R134" s="204">
        <v>0</v>
      </c>
      <c r="S134" s="204">
        <v>0</v>
      </c>
      <c r="U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c r="BL134" s="70"/>
      <c r="BM134" s="70"/>
      <c r="BN134" s="70"/>
      <c r="BO134" s="70"/>
      <c r="BP134" s="70"/>
      <c r="BQ134" s="70"/>
      <c r="BR134" s="70"/>
      <c r="BS134" s="70"/>
      <c r="BT134" s="70"/>
    </row>
    <row r="135" spans="1:86" ht="27.95" customHeight="1" x14ac:dyDescent="0.3">
      <c r="A135" s="61"/>
      <c r="B135" s="158" t="s">
        <v>235</v>
      </c>
      <c r="C135" s="158" t="s">
        <v>237</v>
      </c>
      <c r="D135" s="158" t="s">
        <v>238</v>
      </c>
      <c r="E135" s="158" t="s">
        <v>92</v>
      </c>
      <c r="F135" s="204">
        <v>0</v>
      </c>
      <c r="G135" s="204">
        <v>0</v>
      </c>
      <c r="H135" s="204">
        <v>0</v>
      </c>
      <c r="I135" s="204">
        <v>0</v>
      </c>
      <c r="J135" s="204">
        <v>0</v>
      </c>
      <c r="K135" s="204">
        <v>0</v>
      </c>
      <c r="L135" s="204">
        <v>0</v>
      </c>
      <c r="M135" s="204">
        <v>0</v>
      </c>
      <c r="N135" s="204">
        <v>0</v>
      </c>
      <c r="O135" s="204">
        <v>0</v>
      </c>
      <c r="P135" s="204">
        <v>0</v>
      </c>
      <c r="Q135" s="204">
        <v>0</v>
      </c>
      <c r="R135" s="204">
        <v>0</v>
      </c>
      <c r="S135" s="204">
        <v>0</v>
      </c>
      <c r="U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c r="BL135" s="70"/>
      <c r="BM135" s="70"/>
      <c r="BN135" s="70"/>
      <c r="BO135" s="70"/>
      <c r="BP135" s="70"/>
      <c r="BQ135" s="70"/>
      <c r="BR135" s="70"/>
      <c r="BS135" s="70"/>
      <c r="BT135" s="70"/>
    </row>
    <row r="136" spans="1:86" ht="27.95" customHeight="1" x14ac:dyDescent="0.3">
      <c r="A136" s="61"/>
      <c r="B136" s="158" t="s">
        <v>133</v>
      </c>
      <c r="C136" s="158" t="s">
        <v>134</v>
      </c>
      <c r="D136" s="158" t="str">
        <f>+VLOOKUP($C136,$C$10:$D$43,2,FALSE)</f>
        <v>Pesos</v>
      </c>
      <c r="E136" s="158" t="s">
        <v>92</v>
      </c>
      <c r="F136" s="204">
        <v>674.7430494089034</v>
      </c>
      <c r="G136" s="204">
        <v>0</v>
      </c>
      <c r="H136" s="204">
        <v>0</v>
      </c>
      <c r="I136" s="204">
        <v>0</v>
      </c>
      <c r="J136" s="204">
        <v>0</v>
      </c>
      <c r="K136" s="204">
        <v>0</v>
      </c>
      <c r="L136" s="204">
        <v>0</v>
      </c>
      <c r="M136" s="204">
        <v>0</v>
      </c>
      <c r="N136" s="204">
        <v>0</v>
      </c>
      <c r="O136" s="204">
        <v>0</v>
      </c>
      <c r="P136" s="204">
        <v>0</v>
      </c>
      <c r="Q136" s="204">
        <v>0</v>
      </c>
      <c r="R136" s="204">
        <v>0</v>
      </c>
      <c r="S136" s="204">
        <v>0</v>
      </c>
      <c r="U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c r="BL136" s="70"/>
      <c r="BM136" s="70"/>
      <c r="BN136" s="70"/>
      <c r="BO136" s="70"/>
      <c r="BP136" s="70"/>
      <c r="BQ136" s="70"/>
      <c r="BR136" s="70"/>
      <c r="BS136" s="70"/>
      <c r="BT136" s="70"/>
    </row>
    <row r="137" spans="1:86" ht="27.95" customHeight="1" x14ac:dyDescent="0.3">
      <c r="A137" s="61"/>
      <c r="B137" s="158" t="s">
        <v>135</v>
      </c>
      <c r="C137" s="158" t="s">
        <v>136</v>
      </c>
      <c r="D137" s="158" t="s">
        <v>2</v>
      </c>
      <c r="E137" s="158" t="s">
        <v>92</v>
      </c>
      <c r="F137" s="204">
        <v>3053.5355530995221</v>
      </c>
      <c r="G137" s="204">
        <v>0</v>
      </c>
      <c r="H137" s="204">
        <v>1701.0496308819149</v>
      </c>
      <c r="I137" s="204">
        <v>0</v>
      </c>
      <c r="J137" s="204">
        <v>826.97408974485404</v>
      </c>
      <c r="K137" s="204">
        <v>0</v>
      </c>
      <c r="L137" s="204">
        <v>152.26688814683766</v>
      </c>
      <c r="M137" s="204">
        <v>0</v>
      </c>
      <c r="N137" s="204">
        <v>119.58083866482393</v>
      </c>
      <c r="O137" s="204">
        <v>0</v>
      </c>
      <c r="P137" s="204">
        <v>79.448289440791484</v>
      </c>
      <c r="Q137" s="204">
        <v>0</v>
      </c>
      <c r="R137" s="204">
        <v>22.29888589856348</v>
      </c>
      <c r="S137" s="204">
        <v>0</v>
      </c>
      <c r="U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c r="BI137" s="70"/>
      <c r="BJ137" s="70"/>
      <c r="BK137" s="70"/>
      <c r="BL137" s="70"/>
      <c r="BM137" s="70"/>
      <c r="BN137" s="70"/>
      <c r="BO137" s="70"/>
      <c r="BP137" s="70"/>
      <c r="BQ137" s="70"/>
      <c r="BR137" s="70"/>
      <c r="BS137" s="70"/>
      <c r="BT137" s="70"/>
    </row>
    <row r="138" spans="1:86" ht="27.95" customHeight="1" x14ac:dyDescent="0.3">
      <c r="A138" s="61"/>
      <c r="B138" s="158" t="s">
        <v>164</v>
      </c>
      <c r="C138" s="158" t="s">
        <v>166</v>
      </c>
      <c r="D138" s="158" t="s">
        <v>2</v>
      </c>
      <c r="E138" s="158" t="s">
        <v>92</v>
      </c>
      <c r="F138" s="204">
        <v>3337.9683427199998</v>
      </c>
      <c r="G138" s="204">
        <v>0</v>
      </c>
      <c r="H138" s="204">
        <v>332.07824635000003</v>
      </c>
      <c r="I138" s="204">
        <v>0</v>
      </c>
      <c r="J138" s="204">
        <v>0</v>
      </c>
      <c r="K138" s="204">
        <v>0</v>
      </c>
      <c r="L138" s="204">
        <v>0</v>
      </c>
      <c r="M138" s="204">
        <v>0</v>
      </c>
      <c r="N138" s="204">
        <v>0</v>
      </c>
      <c r="O138" s="204">
        <v>0</v>
      </c>
      <c r="P138" s="204">
        <v>0</v>
      </c>
      <c r="Q138" s="204">
        <v>0</v>
      </c>
      <c r="R138" s="204">
        <v>0</v>
      </c>
      <c r="S138" s="204">
        <v>0</v>
      </c>
      <c r="U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c r="BI138" s="70"/>
      <c r="BJ138" s="70"/>
      <c r="BK138" s="70"/>
      <c r="BL138" s="70"/>
      <c r="BM138" s="70"/>
      <c r="BN138" s="70"/>
      <c r="BO138" s="70"/>
      <c r="BP138" s="70"/>
      <c r="BQ138" s="70"/>
      <c r="BR138" s="70"/>
      <c r="BS138" s="70"/>
      <c r="BT138" s="70"/>
    </row>
    <row r="139" spans="1:86" ht="27.95" customHeight="1" x14ac:dyDescent="0.3">
      <c r="A139" s="61"/>
      <c r="B139" s="158" t="s">
        <v>165</v>
      </c>
      <c r="C139" s="158" t="s">
        <v>167</v>
      </c>
      <c r="D139" s="158" t="s">
        <v>2</v>
      </c>
      <c r="E139" s="158" t="s">
        <v>92</v>
      </c>
      <c r="F139" s="204">
        <v>862.41232602056152</v>
      </c>
      <c r="G139" s="204">
        <v>0</v>
      </c>
      <c r="H139" s="204">
        <v>0</v>
      </c>
      <c r="I139" s="204">
        <v>0</v>
      </c>
      <c r="J139" s="204">
        <v>0</v>
      </c>
      <c r="K139" s="204">
        <v>0</v>
      </c>
      <c r="L139" s="204">
        <v>0</v>
      </c>
      <c r="M139" s="204">
        <v>0</v>
      </c>
      <c r="N139" s="204">
        <v>0</v>
      </c>
      <c r="O139" s="204">
        <v>0</v>
      </c>
      <c r="P139" s="204">
        <v>0</v>
      </c>
      <c r="Q139" s="204">
        <v>0</v>
      </c>
      <c r="R139" s="204">
        <v>0</v>
      </c>
      <c r="S139" s="204">
        <v>0</v>
      </c>
      <c r="U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c r="BI139" s="70"/>
      <c r="BJ139" s="70"/>
      <c r="BK139" s="70"/>
      <c r="BL139" s="70"/>
      <c r="BM139" s="70"/>
      <c r="BN139" s="70"/>
      <c r="BO139" s="70"/>
      <c r="BP139" s="70"/>
      <c r="BQ139" s="70"/>
      <c r="BR139" s="70"/>
      <c r="BS139" s="70"/>
      <c r="BT139" s="70"/>
    </row>
    <row r="140" spans="1:86" ht="27.95" customHeight="1" x14ac:dyDescent="0.3">
      <c r="A140" s="61"/>
      <c r="B140" s="158" t="s">
        <v>127</v>
      </c>
      <c r="C140" s="158" t="s">
        <v>128</v>
      </c>
      <c r="D140" s="158" t="s">
        <v>2</v>
      </c>
      <c r="E140" s="158" t="s">
        <v>92</v>
      </c>
      <c r="F140" s="204">
        <v>716.37280456461394</v>
      </c>
      <c r="G140" s="204">
        <v>0</v>
      </c>
      <c r="H140" s="204">
        <v>64.376772510734867</v>
      </c>
      <c r="I140" s="204">
        <v>0</v>
      </c>
      <c r="J140" s="204">
        <v>0</v>
      </c>
      <c r="K140" s="204">
        <v>0</v>
      </c>
      <c r="L140" s="204">
        <v>0</v>
      </c>
      <c r="M140" s="204">
        <v>0</v>
      </c>
      <c r="N140" s="204">
        <v>0</v>
      </c>
      <c r="O140" s="204">
        <v>0</v>
      </c>
      <c r="P140" s="204">
        <v>0</v>
      </c>
      <c r="Q140" s="204">
        <v>0</v>
      </c>
      <c r="R140" s="204">
        <v>0</v>
      </c>
      <c r="S140" s="204">
        <v>0</v>
      </c>
      <c r="U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c r="BI140" s="70"/>
      <c r="BJ140" s="70"/>
      <c r="BK140" s="70"/>
      <c r="BL140" s="70"/>
      <c r="BM140" s="70"/>
      <c r="BN140" s="70"/>
      <c r="BO140" s="70"/>
      <c r="BP140" s="70"/>
      <c r="BQ140" s="70"/>
      <c r="BR140" s="70"/>
      <c r="BS140" s="70"/>
      <c r="BT140" s="70"/>
    </row>
    <row r="141" spans="1:86" ht="27.95" customHeight="1" x14ac:dyDescent="0.3">
      <c r="A141" s="61"/>
      <c r="B141" s="158" t="s">
        <v>34</v>
      </c>
      <c r="C141" s="158" t="s">
        <v>35</v>
      </c>
      <c r="D141" s="158" t="s">
        <v>2</v>
      </c>
      <c r="E141" s="158" t="s">
        <v>92</v>
      </c>
      <c r="F141" s="204">
        <v>12.795936272217405</v>
      </c>
      <c r="G141" s="204">
        <v>0</v>
      </c>
      <c r="H141" s="204">
        <v>2.0420153858504264</v>
      </c>
      <c r="I141" s="204">
        <v>0</v>
      </c>
      <c r="J141" s="204">
        <v>0</v>
      </c>
      <c r="K141" s="204">
        <v>0</v>
      </c>
      <c r="L141" s="204">
        <v>0</v>
      </c>
      <c r="M141" s="204">
        <v>0</v>
      </c>
      <c r="N141" s="204">
        <v>0</v>
      </c>
      <c r="O141" s="204">
        <v>0</v>
      </c>
      <c r="P141" s="204">
        <v>0</v>
      </c>
      <c r="Q141" s="204">
        <v>0</v>
      </c>
      <c r="R141" s="204">
        <v>0</v>
      </c>
      <c r="S141" s="204">
        <v>0</v>
      </c>
      <c r="U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c r="BI141" s="70"/>
      <c r="BJ141" s="70"/>
      <c r="BK141" s="70"/>
      <c r="BL141" s="70"/>
      <c r="BM141" s="70"/>
      <c r="BN141" s="70"/>
      <c r="BO141" s="70"/>
      <c r="BP141" s="70"/>
      <c r="BQ141" s="70"/>
      <c r="BR141" s="70"/>
      <c r="BS141" s="70"/>
      <c r="BT141" s="70"/>
    </row>
    <row r="142" spans="1:86" ht="6.75" customHeight="1" x14ac:dyDescent="0.3">
      <c r="B142" s="14"/>
      <c r="C142" s="12"/>
      <c r="D142" s="12"/>
      <c r="F142" s="70"/>
      <c r="G142" s="70"/>
      <c r="H142" s="70"/>
      <c r="I142" s="70"/>
      <c r="J142" s="70"/>
      <c r="K142" s="70"/>
      <c r="L142" s="70"/>
      <c r="M142" s="70"/>
      <c r="N142" s="70"/>
      <c r="O142" s="70"/>
      <c r="P142" s="70"/>
      <c r="Q142" s="70"/>
      <c r="R142" s="69"/>
      <c r="S142" s="69"/>
      <c r="U142" s="70"/>
      <c r="AA142" s="69"/>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c r="BI142" s="70"/>
      <c r="BJ142" s="70"/>
      <c r="BK142" s="70"/>
      <c r="BL142" s="70"/>
      <c r="BM142" s="70"/>
      <c r="BN142" s="70"/>
      <c r="BO142" s="70"/>
      <c r="BP142" s="70"/>
      <c r="BQ142" s="70"/>
      <c r="BR142" s="70"/>
      <c r="BS142" s="70"/>
      <c r="BT142" s="70"/>
    </row>
    <row r="143" spans="1:86" ht="29.25" customHeight="1" x14ac:dyDescent="0.3">
      <c r="B143" s="272" t="s">
        <v>36</v>
      </c>
      <c r="C143" s="273"/>
      <c r="D143" s="273"/>
      <c r="E143" s="274"/>
      <c r="F143" s="183">
        <f t="shared" ref="F143:S143" si="44">+F132+F115+F107+F113</f>
        <v>18177.360523867192</v>
      </c>
      <c r="G143" s="183">
        <f t="shared" si="44"/>
        <v>35.570343861315287</v>
      </c>
      <c r="H143" s="183">
        <f t="shared" si="44"/>
        <v>5553.3578625131349</v>
      </c>
      <c r="I143" s="183">
        <f t="shared" si="44"/>
        <v>29.94153703290003</v>
      </c>
      <c r="J143" s="183">
        <f t="shared" si="44"/>
        <v>3118.9199065622133</v>
      </c>
      <c r="K143" s="183">
        <f t="shared" si="44"/>
        <v>22.787529874019008</v>
      </c>
      <c r="L143" s="183">
        <f t="shared" si="44"/>
        <v>270.16091996962672</v>
      </c>
      <c r="M143" s="183">
        <f t="shared" si="44"/>
        <v>16.935499158415816</v>
      </c>
      <c r="N143" s="183">
        <f t="shared" si="44"/>
        <v>192.52711472922385</v>
      </c>
      <c r="O143" s="183">
        <f t="shared" si="44"/>
        <v>11.427440415316692</v>
      </c>
      <c r="P143" s="183">
        <f t="shared" si="44"/>
        <v>150.17411513335782</v>
      </c>
      <c r="Q143" s="183">
        <f t="shared" si="44"/>
        <v>5.6859333111127057</v>
      </c>
      <c r="R143" s="183">
        <f t="shared" si="44"/>
        <v>88.664900418300391</v>
      </c>
      <c r="S143" s="183">
        <f t="shared" si="44"/>
        <v>2.1298333859235026</v>
      </c>
      <c r="U143" s="105"/>
      <c r="AA143" s="105"/>
      <c r="AB143" s="105"/>
      <c r="AC143" s="105"/>
      <c r="AD143" s="105"/>
      <c r="AE143" s="105"/>
      <c r="AF143" s="105"/>
      <c r="AG143" s="105"/>
      <c r="AH143" s="105"/>
      <c r="AI143" s="105"/>
      <c r="AJ143" s="105"/>
      <c r="AK143" s="105"/>
      <c r="AL143" s="105"/>
      <c r="AM143" s="105"/>
      <c r="AN143" s="105"/>
      <c r="AO143" s="105"/>
      <c r="AP143" s="105"/>
      <c r="AQ143" s="105"/>
      <c r="AR143" s="105"/>
      <c r="AS143" s="105"/>
      <c r="AT143" s="105"/>
      <c r="AU143" s="105"/>
      <c r="AV143" s="105"/>
      <c r="AW143" s="105"/>
      <c r="AX143" s="105"/>
      <c r="AY143" s="105"/>
      <c r="AZ143" s="105"/>
      <c r="BA143" s="105"/>
      <c r="BB143" s="105"/>
      <c r="BC143" s="105"/>
      <c r="BD143" s="105"/>
      <c r="BE143" s="105"/>
      <c r="BF143" s="105"/>
      <c r="BG143" s="105"/>
      <c r="BH143" s="105"/>
      <c r="BI143" s="105"/>
      <c r="BJ143" s="105"/>
      <c r="BK143" s="105"/>
      <c r="BL143" s="105"/>
      <c r="BM143" s="105"/>
      <c r="BN143" s="105"/>
      <c r="BO143" s="105"/>
      <c r="BP143" s="105"/>
      <c r="BQ143" s="105"/>
      <c r="BR143" s="105"/>
      <c r="BS143" s="105"/>
      <c r="BT143" s="105"/>
    </row>
    <row r="144" spans="1:86" x14ac:dyDescent="0.3">
      <c r="B144" s="35"/>
      <c r="C144" s="35"/>
      <c r="D144" s="35"/>
      <c r="E144" s="85"/>
      <c r="F144" s="138"/>
      <c r="G144" s="87"/>
      <c r="H144" s="87"/>
      <c r="I144" s="87"/>
      <c r="J144" s="87"/>
      <c r="K144" s="87"/>
      <c r="L144" s="87"/>
      <c r="M144" s="87"/>
      <c r="N144" s="87"/>
      <c r="O144" s="87"/>
      <c r="P144" s="87"/>
      <c r="Q144" s="87"/>
      <c r="R144" s="87"/>
      <c r="S144" s="87"/>
      <c r="T144" s="87"/>
      <c r="U144" s="87"/>
      <c r="V144" s="99"/>
      <c r="W144" s="99"/>
      <c r="X144" s="99"/>
      <c r="Y144" s="99"/>
      <c r="Z144" s="99"/>
      <c r="AA144" s="99"/>
      <c r="AB144" s="99"/>
      <c r="AC144" s="99"/>
      <c r="AD144" s="99"/>
      <c r="AE144" s="99"/>
      <c r="AF144" s="99"/>
      <c r="AG144" s="99"/>
      <c r="AH144" s="99"/>
      <c r="AI144" s="99"/>
      <c r="AJ144" s="99"/>
      <c r="AK144" s="99"/>
      <c r="AL144" s="99"/>
      <c r="AM144" s="99"/>
      <c r="AN144" s="99"/>
      <c r="AO144" s="99"/>
      <c r="AP144" s="99"/>
      <c r="AQ144" s="99"/>
      <c r="AR144" s="99"/>
      <c r="AS144" s="99"/>
      <c r="AT144" s="99"/>
      <c r="AU144" s="99"/>
      <c r="AV144" s="99"/>
      <c r="AW144" s="99"/>
      <c r="AX144" s="99"/>
      <c r="AY144" s="99"/>
      <c r="AZ144" s="99"/>
      <c r="BA144" s="99"/>
      <c r="BB144" s="99"/>
      <c r="BC144" s="99"/>
      <c r="BD144" s="99"/>
      <c r="BE144" s="99"/>
      <c r="BF144" s="99"/>
      <c r="BG144" s="99"/>
      <c r="BH144" s="99"/>
      <c r="BI144" s="99"/>
      <c r="BJ144" s="99"/>
      <c r="BK144" s="99"/>
      <c r="BL144" s="99"/>
      <c r="BM144" s="99"/>
      <c r="BN144" s="99"/>
      <c r="BO144" s="99"/>
      <c r="BP144" s="99"/>
      <c r="BQ144" s="99"/>
      <c r="BR144" s="99"/>
      <c r="BS144" s="99"/>
      <c r="BT144" s="99"/>
      <c r="BU144" s="99"/>
      <c r="BV144" s="99"/>
      <c r="BW144" s="99"/>
      <c r="BX144" s="99"/>
      <c r="BY144" s="99"/>
      <c r="BZ144" s="99"/>
      <c r="CA144" s="99"/>
      <c r="CB144" s="99"/>
      <c r="CC144" s="99"/>
      <c r="CD144" s="99"/>
      <c r="CE144" s="99"/>
      <c r="CF144" s="99"/>
      <c r="CG144" s="99"/>
      <c r="CH144" s="99"/>
    </row>
  </sheetData>
  <sortState xmlns:xlrd2="http://schemas.microsoft.com/office/spreadsheetml/2017/richdata2" ref="A122:CR123">
    <sortCondition ref="C122:C123"/>
  </sortState>
  <mergeCells count="22">
    <mergeCell ref="B57:U57"/>
    <mergeCell ref="B102:U102"/>
    <mergeCell ref="B45:D45"/>
    <mergeCell ref="B98:E98"/>
    <mergeCell ref="B143:E143"/>
    <mergeCell ref="B50:N50"/>
    <mergeCell ref="B48:N48"/>
    <mergeCell ref="B49:N49"/>
    <mergeCell ref="B2:U2"/>
    <mergeCell ref="B6:B8"/>
    <mergeCell ref="C6:C8"/>
    <mergeCell ref="G6:G8"/>
    <mergeCell ref="D6:D8"/>
    <mergeCell ref="J6:J8"/>
    <mergeCell ref="N6:N8"/>
    <mergeCell ref="H6:H8"/>
    <mergeCell ref="I6:I8"/>
    <mergeCell ref="K6:K8"/>
    <mergeCell ref="L6:L8"/>
    <mergeCell ref="E6:E7"/>
    <mergeCell ref="F6:F7"/>
    <mergeCell ref="M6:M8"/>
  </mergeCells>
  <hyperlinks>
    <hyperlink ref="C72" location="BIDF40!A1" display="BIDF40" xr:uid="{00000000-0004-0000-0000-000000000000}"/>
    <hyperlink ref="C81" location="BIDO24!A1" display="BIDO24" xr:uid="{00000000-0004-0000-0000-000001000000}"/>
    <hyperlink ref="C84" location="BIRS38!A1" display="BIRS38" xr:uid="{00000000-0004-0000-0000-000002000000}"/>
    <hyperlink ref="C80" location="BIDS34!A1" display="BIDS34" xr:uid="{00000000-0004-0000-0000-000003000000}"/>
    <hyperlink ref="C117" location="BIDF40!A1" display="BIDF40" xr:uid="{00000000-0004-0000-0000-000006000000}"/>
    <hyperlink ref="C126" location="BIDO24!A1" display="BIDO24" xr:uid="{00000000-0004-0000-0000-000007000000}"/>
    <hyperlink ref="C129" location="BIRS38!A1" display="BIRS38" xr:uid="{00000000-0004-0000-0000-000008000000}"/>
    <hyperlink ref="C125" location="BIDS34!A1" display="BIDS34" xr:uid="{00000000-0004-0000-0000-000009000000}"/>
    <hyperlink ref="C127" location="BIDS23!A1" display="BIDS23" xr:uid="{00000000-0004-0000-0000-00000A000000}"/>
    <hyperlink ref="C19" location="BIDF40!A1" display="BIDF40" xr:uid="{00000000-0004-0000-0000-00000D000000}"/>
    <hyperlink ref="C28" location="BIDO24!A1" display="BIDO24" xr:uid="{00000000-0004-0000-0000-00000E000000}"/>
    <hyperlink ref="C26" location="BIDN32!A1" display="BIDN32" xr:uid="{00000000-0004-0000-0000-00000F000000}"/>
    <hyperlink ref="C31" location="BIRS38!A1" display="BIRS38" xr:uid="{00000000-0004-0000-0000-000010000000}"/>
    <hyperlink ref="C27" location="BIDS34!A1" display="BIDS34" xr:uid="{00000000-0004-0000-0000-000011000000}"/>
    <hyperlink ref="C29" location="BIDS23!A1" display="BIDS23" xr:uid="{00000000-0004-0000-0000-000012000000}"/>
    <hyperlink ref="C23" location="BIDY42!A1" display="BIDY42" xr:uid="{00000000-0004-0000-0000-000013000000}"/>
    <hyperlink ref="C11" location="FFFIRF26!A1" display="FFFIRF26" xr:uid="{00000000-0004-0000-0000-000015000000}"/>
    <hyperlink ref="C13" location="IPVO26!A1" display="IPVO26" xr:uid="{00000000-0004-0000-0000-000017000000}"/>
    <hyperlink ref="C14" location="FFFIRE26!A1" display="FFFIRE26" xr:uid="{00000000-0004-0000-0000-000018000000}"/>
    <hyperlink ref="C43" location="'PMG25'!A1" display="PMG25" xr:uid="{00000000-0004-0000-0000-000019000000}"/>
    <hyperlink ref="C74" location="BIDN44!A1" display="BIDN44" xr:uid="{00000000-0004-0000-0000-00001C000000}"/>
    <hyperlink ref="C119" location="BIDN44!A1" display="BIDN44" xr:uid="{00000000-0004-0000-0000-00001D000000}"/>
    <hyperlink ref="C42" location="'PMY25'!A1" display="PMY25" xr:uid="{00000000-0004-0000-0000-00001E000000}"/>
    <hyperlink ref="C96" location="'PMY25'!A1" display="PMY25" xr:uid="{00000000-0004-0000-0000-00001F000000}"/>
    <hyperlink ref="C141" location="'PMY25'!A1" display="PMY25" xr:uid="{00000000-0004-0000-0000-000020000000}"/>
    <hyperlink ref="C38" location="'PMD24'!A1" display="PMD24" xr:uid="{00000000-0004-0000-0000-000021000000}"/>
    <hyperlink ref="C69" location="BNAM27!A1" display="BNAM27" xr:uid="{00000000-0004-0000-0000-000022000000}"/>
    <hyperlink ref="C16" location="BNAM27!A1" display="BNAM27" xr:uid="{00000000-0004-0000-0000-000023000000}"/>
    <hyperlink ref="C114" location="BNAM27!A1" display="BNAM27" xr:uid="{00000000-0004-0000-0000-000024000000}"/>
    <hyperlink ref="C85" location="BIRFE50!A1" display="BIRFE50" xr:uid="{00000000-0004-0000-0000-000025000000}"/>
    <hyperlink ref="C82" location="BIDS23!A1" display="BIDS23" xr:uid="{00000000-0004-0000-0000-000026000000}"/>
    <hyperlink ref="C64" location="FFFIRF26!A1" display="FFFIRF26" xr:uid="{00000000-0004-0000-0000-000028000000}"/>
    <hyperlink ref="C66" location="IPVO26!A1" display="IPVO26" xr:uid="{00000000-0004-0000-0000-000029000000}"/>
    <hyperlink ref="C67" location="FFFIRE26!A1" display="FFFIRE26" xr:uid="{00000000-0004-0000-0000-00002A000000}"/>
    <hyperlink ref="C76" location="BIDY42!A1" display="BIDY42" xr:uid="{00000000-0004-0000-0000-00002D000000}"/>
    <hyperlink ref="C79" location="BIDN32!A1" display="BIDN32" xr:uid="{00000000-0004-0000-0000-00002E000000}"/>
    <hyperlink ref="C110" location="FFFIRO24!A1" display="FFFIRO24" xr:uid="{00000000-0004-0000-0000-00002F000000}"/>
    <hyperlink ref="C109" location="FFFIRF26!A1" display="FFFIRF26" xr:uid="{00000000-0004-0000-0000-000030000000}"/>
    <hyperlink ref="C111" location="IPVO26!A1" display="IPVO26" xr:uid="{00000000-0004-0000-0000-000031000000}"/>
    <hyperlink ref="C112" location="FFFIRE26!A1" display="FFFIRE26" xr:uid="{00000000-0004-0000-0000-000032000000}"/>
    <hyperlink ref="C121" location="BIDY42!A1" display="BIDY42" xr:uid="{00000000-0004-0000-0000-000035000000}"/>
    <hyperlink ref="C123" location="BIDY42!A1" display="BIDY42" xr:uid="{00000000-0004-0000-0000-000036000000}"/>
    <hyperlink ref="C124" location="BIDN32!A1" display="BIDN32" xr:uid="{00000000-0004-0000-0000-000037000000}"/>
    <hyperlink ref="C65" location="FFFIRO24!A1" display="FFFIRO24" xr:uid="{00000000-0004-0000-0000-000027000000}"/>
    <hyperlink ref="C12" location="FFFIRO24!A1" display="FFFIRO24" xr:uid="{00000000-0004-0000-0000-000014000000}"/>
  </hyperlinks>
  <pageMargins left="0.7" right="0.7" top="0.75" bottom="0.75" header="0.3" footer="0.3"/>
  <pageSetup paperSize="9"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32"/>
  <sheetViews>
    <sheetView topLeftCell="A2" zoomScaleNormal="100" workbookViewId="0">
      <selection activeCell="P45" sqref="P3:P45"/>
    </sheetView>
  </sheetViews>
  <sheetFormatPr baseColWidth="10" defaultRowHeight="15" x14ac:dyDescent="0.25"/>
  <cols>
    <col min="17" max="17" width="11.85546875" bestFit="1" customWidth="1"/>
  </cols>
  <sheetData>
    <row r="1" spans="1:16" x14ac:dyDescent="0.25">
      <c r="L1" t="s">
        <v>216</v>
      </c>
    </row>
    <row r="2" spans="1:16" x14ac:dyDescent="0.25">
      <c r="A2" s="162" t="s">
        <v>183</v>
      </c>
      <c r="B2" s="162" t="s">
        <v>184</v>
      </c>
      <c r="C2" t="s">
        <v>185</v>
      </c>
      <c r="D2" t="s">
        <v>186</v>
      </c>
      <c r="E2" s="162" t="s">
        <v>187</v>
      </c>
      <c r="G2" t="s">
        <v>183</v>
      </c>
      <c r="H2" t="s">
        <v>188</v>
      </c>
      <c r="M2" t="s">
        <v>187</v>
      </c>
    </row>
    <row r="3" spans="1:16" x14ac:dyDescent="0.25">
      <c r="A3" s="125">
        <v>41609</v>
      </c>
      <c r="C3" s="127">
        <v>544.12</v>
      </c>
      <c r="E3" s="130">
        <f>+C3</f>
        <v>544.12</v>
      </c>
      <c r="G3" s="125">
        <v>41699</v>
      </c>
      <c r="H3">
        <f>+AVERAGE($E$118:$E$120)/AVERAGE(E4:E6)</f>
        <v>46.469125421312214</v>
      </c>
      <c r="J3">
        <v>29.541577188732788</v>
      </c>
      <c r="M3" s="161">
        <f t="shared" ref="M3:M43" si="0">+_xlfn.XLOOKUP($G$45,$A:$A,$E:$E)/_xlfn.XLOOKUP(G3,$A:$A,$E:$E)</f>
        <v>151.74393320410712</v>
      </c>
      <c r="N3" s="126"/>
      <c r="P3">
        <v>151.74393320410712</v>
      </c>
    </row>
    <row r="4" spans="1:16" x14ac:dyDescent="0.25">
      <c r="A4" s="125">
        <f>+EDATE(A3,1)</f>
        <v>41640</v>
      </c>
      <c r="C4" s="127">
        <v>561.83000000000004</v>
      </c>
      <c r="D4" s="113">
        <f>+C4/C3-1</f>
        <v>3.2547967360141206E-2</v>
      </c>
      <c r="E4" s="130">
        <f t="shared" ref="E4:E39" si="1">+C4</f>
        <v>561.83000000000004</v>
      </c>
      <c r="G4" s="125">
        <f>+EDATE(G3,3)</f>
        <v>41791</v>
      </c>
      <c r="H4">
        <f>+AVERAGE($E$118:$E$120)/AVERAGE(E7:E9)</f>
        <v>41.207247270905874</v>
      </c>
      <c r="I4" s="126">
        <f>+H4/H3-1</f>
        <v>-0.11323385371899153</v>
      </c>
      <c r="J4">
        <v>27.497746740226049</v>
      </c>
      <c r="K4" s="126">
        <f>+J4/J3-1</f>
        <v>-6.9184879177211278E-2</v>
      </c>
      <c r="M4" s="161">
        <f t="shared" si="0"/>
        <v>139.40601631070308</v>
      </c>
      <c r="N4" s="126"/>
      <c r="P4">
        <v>139.40601631070308</v>
      </c>
    </row>
    <row r="5" spans="1:16" x14ac:dyDescent="0.25">
      <c r="A5" s="125">
        <f>+EDATE(A4,1)</f>
        <v>41671</v>
      </c>
      <c r="C5" s="127">
        <v>585.34</v>
      </c>
      <c r="D5" s="113">
        <f t="shared" ref="D5:D68" si="2">+C5/C4-1</f>
        <v>4.1845398074150442E-2</v>
      </c>
      <c r="E5" s="130">
        <f t="shared" si="1"/>
        <v>585.34</v>
      </c>
      <c r="G5" s="125">
        <f t="shared" ref="G5:G45" si="3">+EDATE(G4,3)</f>
        <v>41883</v>
      </c>
      <c r="H5">
        <f>+AVERAGE($E$118:$E$120)/AVERAGE(E10:E12)</f>
        <v>38.702787690084968</v>
      </c>
      <c r="I5" s="126">
        <f t="shared" ref="I5:I40" si="4">+H5/H4-1</f>
        <v>-6.0777162918843275E-2</v>
      </c>
      <c r="J5">
        <v>25.741624627759919</v>
      </c>
      <c r="K5" s="126">
        <f t="shared" ref="K5:K40" si="5">+J5/J4-1</f>
        <v>-6.3864218732407108E-2</v>
      </c>
      <c r="M5" s="161">
        <f t="shared" si="0"/>
        <v>131.0047812196035</v>
      </c>
      <c r="N5" s="126"/>
      <c r="P5">
        <v>131.0047812196035</v>
      </c>
    </row>
    <row r="6" spans="1:16" x14ac:dyDescent="0.25">
      <c r="A6" s="125">
        <f t="shared" ref="A6:A36" si="6">+EDATE(A5,1)</f>
        <v>41699</v>
      </c>
      <c r="C6" s="127">
        <v>627.32000000000005</v>
      </c>
      <c r="D6" s="113">
        <f t="shared" si="2"/>
        <v>7.1719000922540799E-2</v>
      </c>
      <c r="E6" s="130">
        <f t="shared" si="1"/>
        <v>627.32000000000005</v>
      </c>
      <c r="G6" s="125">
        <f t="shared" si="3"/>
        <v>41974</v>
      </c>
      <c r="H6">
        <f>+AVERAGE($E$118:$E$120)/AVERAGE(E13:E15)</f>
        <v>36.209742571715282</v>
      </c>
      <c r="I6" s="126">
        <f t="shared" si="4"/>
        <v>-6.4415130463802872E-2</v>
      </c>
      <c r="J6">
        <v>24.609303887173208</v>
      </c>
      <c r="K6" s="126">
        <f t="shared" si="5"/>
        <v>-4.3987928382950958E-2</v>
      </c>
      <c r="M6" s="161">
        <f t="shared" si="0"/>
        <v>123.68380564627682</v>
      </c>
      <c r="N6" s="126"/>
      <c r="P6">
        <v>123.68380564627682</v>
      </c>
    </row>
    <row r="7" spans="1:16" x14ac:dyDescent="0.25">
      <c r="A7" s="125">
        <f t="shared" si="6"/>
        <v>41730</v>
      </c>
      <c r="C7" s="127">
        <v>652.39</v>
      </c>
      <c r="D7" s="113">
        <f t="shared" si="2"/>
        <v>3.9963654912962943E-2</v>
      </c>
      <c r="E7" s="130">
        <f t="shared" si="1"/>
        <v>652.39</v>
      </c>
      <c r="G7" s="125">
        <f t="shared" si="3"/>
        <v>42064</v>
      </c>
      <c r="H7">
        <f>+AVERAGE($E$118:$E$120)/AVERAGE(E16:E18)</f>
        <v>34.612607087512416</v>
      </c>
      <c r="I7" s="126">
        <f t="shared" si="4"/>
        <v>-4.4107893919423935E-2</v>
      </c>
      <c r="J7">
        <v>23.267931578378025</v>
      </c>
      <c r="K7" s="126">
        <f t="shared" si="5"/>
        <v>-5.4506714815867996E-2</v>
      </c>
      <c r="M7" s="161">
        <f t="shared" si="0"/>
        <v>117.72301131274718</v>
      </c>
      <c r="N7" s="126"/>
      <c r="P7">
        <v>117.72301131274718</v>
      </c>
    </row>
    <row r="8" spans="1:16" x14ac:dyDescent="0.25">
      <c r="A8" s="125">
        <f t="shared" si="6"/>
        <v>41760</v>
      </c>
      <c r="C8" s="127">
        <v>665.85</v>
      </c>
      <c r="D8" s="113">
        <f t="shared" si="2"/>
        <v>2.063183065344365E-2</v>
      </c>
      <c r="E8" s="130">
        <f t="shared" si="1"/>
        <v>665.85</v>
      </c>
      <c r="G8" s="125">
        <f t="shared" si="3"/>
        <v>42156</v>
      </c>
      <c r="H8">
        <f>+AVERAGE($E$118:$E$120)/AVERAGE(E19:E21)</f>
        <v>32.692375665120835</v>
      </c>
      <c r="I8" s="126">
        <f t="shared" si="4"/>
        <v>-5.5477803724422792E-2</v>
      </c>
      <c r="J8">
        <v>22.093317965256286</v>
      </c>
      <c r="K8" s="126">
        <f t="shared" si="5"/>
        <v>-5.0482081278477753E-2</v>
      </c>
      <c r="M8" s="161">
        <f t="shared" si="0"/>
        <v>111.10955970025969</v>
      </c>
      <c r="N8" s="126"/>
      <c r="P8">
        <v>111.10955970025969</v>
      </c>
    </row>
    <row r="9" spans="1:16" x14ac:dyDescent="0.25">
      <c r="A9" s="125">
        <f t="shared" si="6"/>
        <v>41791</v>
      </c>
      <c r="C9" s="127">
        <v>682.84</v>
      </c>
      <c r="D9" s="113">
        <f t="shared" si="2"/>
        <v>2.551625741533381E-2</v>
      </c>
      <c r="E9" s="130">
        <f t="shared" si="1"/>
        <v>682.84</v>
      </c>
      <c r="G9" s="125">
        <f t="shared" si="3"/>
        <v>42248</v>
      </c>
      <c r="H9">
        <f>+AVERAGE($E$118:$E$120)/AVERAGE(E22:E24)</f>
        <v>31.050518281417791</v>
      </c>
      <c r="I9" s="126">
        <f t="shared" si="4"/>
        <v>-5.0221415553312831E-2</v>
      </c>
      <c r="J9">
        <v>20.881330193908372</v>
      </c>
      <c r="K9" s="126">
        <f t="shared" si="5"/>
        <v>-5.4857662088323433E-2</v>
      </c>
      <c r="M9" s="161">
        <f t="shared" si="0"/>
        <v>105.39649259018191</v>
      </c>
      <c r="N9" s="126"/>
      <c r="P9">
        <v>105.39649259018191</v>
      </c>
    </row>
    <row r="10" spans="1:16" x14ac:dyDescent="0.25">
      <c r="A10" s="125">
        <f t="shared" si="6"/>
        <v>41821</v>
      </c>
      <c r="C10" s="127">
        <v>695.13</v>
      </c>
      <c r="D10" s="113">
        <f t="shared" si="2"/>
        <v>1.7998359791459251E-2</v>
      </c>
      <c r="E10" s="130">
        <f t="shared" si="1"/>
        <v>695.13</v>
      </c>
      <c r="G10" s="125">
        <f t="shared" si="3"/>
        <v>42339</v>
      </c>
      <c r="H10">
        <f>+AVERAGE($E$118:$E$120)/AVERAGE(E25:E27)</f>
        <v>29.15579352697609</v>
      </c>
      <c r="I10" s="126">
        <f t="shared" si="4"/>
        <v>-6.1020712674403232E-2</v>
      </c>
      <c r="J10">
        <v>19.172189011428014</v>
      </c>
      <c r="K10" s="126">
        <f t="shared" si="5"/>
        <v>-8.1850206218134547E-2</v>
      </c>
      <c r="M10" s="161">
        <f t="shared" si="0"/>
        <v>98.648652977947776</v>
      </c>
      <c r="N10" s="126"/>
      <c r="P10">
        <v>98.648652977947776</v>
      </c>
    </row>
    <row r="11" spans="1:16" x14ac:dyDescent="0.25">
      <c r="A11" s="125">
        <f t="shared" si="6"/>
        <v>41852</v>
      </c>
      <c r="C11" s="127">
        <v>708.81</v>
      </c>
      <c r="D11" s="113">
        <f t="shared" si="2"/>
        <v>1.9679772128954331E-2</v>
      </c>
      <c r="E11" s="130">
        <f t="shared" si="1"/>
        <v>708.81</v>
      </c>
      <c r="G11" s="125">
        <f t="shared" si="3"/>
        <v>42430</v>
      </c>
      <c r="H11">
        <f>+AVERAGE($E$118:$E$120)/AVERAGE(E28:E30)</f>
        <v>25.786003705294338</v>
      </c>
      <c r="I11" s="126">
        <f t="shared" si="4"/>
        <v>-0.11557873801527274</v>
      </c>
      <c r="J11">
        <v>17.31764991747065</v>
      </c>
      <c r="K11" s="126">
        <f t="shared" si="5"/>
        <v>-9.6730691151225567E-2</v>
      </c>
      <c r="M11" s="161">
        <f t="shared" si="0"/>
        <v>86.564942052634891</v>
      </c>
      <c r="N11" s="126"/>
      <c r="P11">
        <v>86.564942052634891</v>
      </c>
    </row>
    <row r="12" spans="1:16" x14ac:dyDescent="0.25">
      <c r="A12" s="125">
        <f t="shared" si="6"/>
        <v>41883</v>
      </c>
      <c r="C12" s="128">
        <v>726.63</v>
      </c>
      <c r="D12" s="113">
        <f t="shared" si="2"/>
        <v>2.5140728827189207E-2</v>
      </c>
      <c r="E12" s="130">
        <f t="shared" si="1"/>
        <v>726.63</v>
      </c>
      <c r="G12" s="125">
        <f t="shared" si="3"/>
        <v>42522</v>
      </c>
      <c r="H12">
        <f>+AVERAGE($E$118:$E$120)/AVERAGE(E31:E33)</f>
        <v>23.405372108741311</v>
      </c>
      <c r="I12" s="126">
        <f t="shared" si="4"/>
        <v>-9.2322626792465723E-2</v>
      </c>
      <c r="J12">
        <v>15.357014315529433</v>
      </c>
      <c r="K12" s="126">
        <f t="shared" si="5"/>
        <v>-0.1132160316951123</v>
      </c>
      <c r="M12" s="161">
        <f t="shared" si="0"/>
        <v>78.035187790074687</v>
      </c>
      <c r="N12" s="126"/>
      <c r="P12">
        <v>78.035187790074687</v>
      </c>
    </row>
    <row r="13" spans="1:16" x14ac:dyDescent="0.25">
      <c r="A13" s="125">
        <f t="shared" si="6"/>
        <v>41913</v>
      </c>
      <c r="C13" s="128">
        <v>749.11</v>
      </c>
      <c r="D13" s="113">
        <f t="shared" si="2"/>
        <v>3.093734087499822E-2</v>
      </c>
      <c r="E13" s="130">
        <f t="shared" si="1"/>
        <v>749.11</v>
      </c>
      <c r="G13" s="125">
        <f t="shared" si="3"/>
        <v>42614</v>
      </c>
      <c r="H13">
        <f>+AVERAGE($E$118:$E$120)/AVERAGE(E34:E36)</f>
        <v>21.830200585304368</v>
      </c>
      <c r="I13" s="126">
        <f t="shared" si="4"/>
        <v>-6.7299571915314993E-2</v>
      </c>
      <c r="J13">
        <v>15.308841624632819</v>
      </c>
      <c r="K13" s="126">
        <f t="shared" si="5"/>
        <v>-3.1368526398976027E-3</v>
      </c>
      <c r="M13" s="161">
        <f t="shared" si="0"/>
        <v>74.73073023834236</v>
      </c>
      <c r="N13" s="126"/>
      <c r="P13">
        <v>74.73073023834236</v>
      </c>
    </row>
    <row r="14" spans="1:16" x14ac:dyDescent="0.25">
      <c r="A14" s="125">
        <f t="shared" si="6"/>
        <v>41944</v>
      </c>
      <c r="C14" s="128">
        <v>758.51</v>
      </c>
      <c r="D14" s="113">
        <f t="shared" si="2"/>
        <v>1.2548223892352217E-2</v>
      </c>
      <c r="E14" s="130">
        <f t="shared" si="1"/>
        <v>758.51</v>
      </c>
      <c r="G14" s="125">
        <f t="shared" si="3"/>
        <v>42705</v>
      </c>
      <c r="H14">
        <f>+AVERAGE($E$118:$E$120)/AVERAGE(E37:E39)</f>
        <v>20.844560875872578</v>
      </c>
      <c r="I14" s="126">
        <f t="shared" si="4"/>
        <v>-4.5150281857478824E-2</v>
      </c>
      <c r="J14">
        <v>14.313991251839109</v>
      </c>
      <c r="K14" s="126">
        <f t="shared" si="5"/>
        <v>-6.4985346193204951E-2</v>
      </c>
      <c r="M14" s="161">
        <f t="shared" si="0"/>
        <v>71.090800867500477</v>
      </c>
      <c r="N14" s="126"/>
      <c r="P14">
        <v>71.090800867500477</v>
      </c>
    </row>
    <row r="15" spans="1:16" x14ac:dyDescent="0.25">
      <c r="A15" s="125">
        <f t="shared" si="6"/>
        <v>41974</v>
      </c>
      <c r="C15" s="128">
        <v>769.64</v>
      </c>
      <c r="D15" s="113">
        <f t="shared" si="2"/>
        <v>1.4673504634085344E-2</v>
      </c>
      <c r="E15" s="130">
        <f t="shared" si="1"/>
        <v>769.64</v>
      </c>
      <c r="G15" s="125">
        <f t="shared" si="3"/>
        <v>42795</v>
      </c>
      <c r="H15">
        <f>+AVERAGE($E$118:$E$120)/AVERAGE(E40:E42)</f>
        <v>19.765770470689553</v>
      </c>
      <c r="I15" s="126">
        <f t="shared" si="4"/>
        <v>-5.1754048051533497E-2</v>
      </c>
      <c r="J15">
        <v>13.446086420628284</v>
      </c>
      <c r="K15" s="126">
        <f t="shared" si="5"/>
        <v>-6.0633321338610879E-2</v>
      </c>
      <c r="M15" s="161">
        <f t="shared" si="0"/>
        <v>66.925866085982207</v>
      </c>
      <c r="N15" s="126"/>
      <c r="P15">
        <v>66.925866085982207</v>
      </c>
    </row>
    <row r="16" spans="1:16" x14ac:dyDescent="0.25">
      <c r="A16" s="125">
        <f t="shared" si="6"/>
        <v>42005</v>
      </c>
      <c r="C16" s="128">
        <v>780.99</v>
      </c>
      <c r="D16" s="113">
        <f t="shared" si="2"/>
        <v>1.474715451379871E-2</v>
      </c>
      <c r="E16" s="130">
        <f t="shared" si="1"/>
        <v>780.99</v>
      </c>
      <c r="G16" s="125">
        <f t="shared" si="3"/>
        <v>42887</v>
      </c>
      <c r="H16">
        <f>+AVERAGE($E$118:$E$120)/AVERAGE(E43:E45)</f>
        <v>18.567932882206119</v>
      </c>
      <c r="I16" s="126">
        <f t="shared" si="4"/>
        <v>-6.0601613797938936E-2</v>
      </c>
      <c r="J16">
        <v>12.727396684747387</v>
      </c>
      <c r="K16" s="126">
        <f t="shared" si="5"/>
        <v>-5.3449733505975483E-2</v>
      </c>
      <c r="M16" s="161">
        <f t="shared" si="0"/>
        <v>63.504585982312996</v>
      </c>
      <c r="N16" s="126"/>
      <c r="P16">
        <v>63.504585982312996</v>
      </c>
    </row>
    <row r="17" spans="1:16" x14ac:dyDescent="0.25">
      <c r="A17" s="125">
        <f t="shared" si="6"/>
        <v>42036</v>
      </c>
      <c r="C17" s="128">
        <v>792.74</v>
      </c>
      <c r="D17" s="113">
        <f t="shared" si="2"/>
        <v>1.5045006978322339E-2</v>
      </c>
      <c r="E17" s="130">
        <f t="shared" si="1"/>
        <v>792.74</v>
      </c>
      <c r="G17" s="125">
        <f t="shared" si="3"/>
        <v>42979</v>
      </c>
      <c r="H17">
        <f>+AVERAGE($E$118:$E$120)/AVERAGE(E46:E48)</f>
        <v>17.750531214228261</v>
      </c>
      <c r="I17" s="126">
        <f t="shared" si="4"/>
        <v>-4.4022222245384324E-2</v>
      </c>
      <c r="J17">
        <v>12.057536986645186</v>
      </c>
      <c r="K17" s="126">
        <f t="shared" si="5"/>
        <v>-5.2631320818731564E-2</v>
      </c>
      <c r="M17" s="161">
        <f t="shared" si="0"/>
        <v>60.432699869383065</v>
      </c>
      <c r="N17" s="126"/>
      <c r="P17">
        <v>60.432699869383065</v>
      </c>
    </row>
    <row r="18" spans="1:16" x14ac:dyDescent="0.25">
      <c r="A18" s="125">
        <f t="shared" si="6"/>
        <v>42064</v>
      </c>
      <c r="C18" s="128">
        <v>808.61</v>
      </c>
      <c r="D18" s="113">
        <f t="shared" si="2"/>
        <v>2.0019174004087148E-2</v>
      </c>
      <c r="E18" s="130">
        <f t="shared" si="1"/>
        <v>808.61</v>
      </c>
      <c r="G18" s="125">
        <f t="shared" si="3"/>
        <v>43070</v>
      </c>
      <c r="H18">
        <f>+AVERAGE($E$118:$E$120)/AVERAGE(E49:E51)</f>
        <v>16.857860301662608</v>
      </c>
      <c r="I18" s="126">
        <f t="shared" si="4"/>
        <v>-5.0289813966249985E-2</v>
      </c>
      <c r="J18">
        <v>11.485513799432496</v>
      </c>
      <c r="K18" s="126">
        <f t="shared" si="5"/>
        <v>-4.7441130626118544E-2</v>
      </c>
      <c r="M18" s="161">
        <f t="shared" si="0"/>
        <v>56.952046501877135</v>
      </c>
      <c r="N18" s="126"/>
      <c r="P18">
        <v>56.952046501877135</v>
      </c>
    </row>
    <row r="19" spans="1:16" x14ac:dyDescent="0.25">
      <c r="A19" s="125">
        <f t="shared" si="6"/>
        <v>42095</v>
      </c>
      <c r="C19" s="128">
        <v>825.24</v>
      </c>
      <c r="D19" s="113">
        <f t="shared" si="2"/>
        <v>2.0566156738106134E-2</v>
      </c>
      <c r="E19" s="130">
        <f t="shared" si="1"/>
        <v>825.24</v>
      </c>
      <c r="G19" s="125">
        <f>+EDATE(G18,3)</f>
        <v>43160</v>
      </c>
      <c r="H19">
        <f>+AVERAGE($E$118:$E$120)/AVERAGE(E52:E54)</f>
        <v>15.777611897306077</v>
      </c>
      <c r="I19" s="126">
        <f t="shared" si="4"/>
        <v>-6.4079805208137386E-2</v>
      </c>
      <c r="J19">
        <v>10.554406787053709</v>
      </c>
      <c r="K19" s="126">
        <f t="shared" si="5"/>
        <v>-8.1067945991653678E-2</v>
      </c>
      <c r="M19" s="161">
        <f t="shared" si="0"/>
        <v>53.405497633015678</v>
      </c>
      <c r="N19" s="126"/>
      <c r="P19">
        <v>53.405497633015678</v>
      </c>
    </row>
    <row r="20" spans="1:16" x14ac:dyDescent="0.25">
      <c r="A20" s="125">
        <f t="shared" si="6"/>
        <v>42125</v>
      </c>
      <c r="C20" s="128">
        <v>840.29</v>
      </c>
      <c r="D20" s="113">
        <f t="shared" si="2"/>
        <v>1.8237118898744464E-2</v>
      </c>
      <c r="E20" s="130">
        <f t="shared" si="1"/>
        <v>840.29</v>
      </c>
      <c r="G20" s="125">
        <f t="shared" si="3"/>
        <v>43252</v>
      </c>
      <c r="H20">
        <f>+AVERAGE($E$118:$E$120)/AVERAGE(E55:E57)</f>
        <v>14.626278406033149</v>
      </c>
      <c r="I20" s="126">
        <f t="shared" si="4"/>
        <v>-7.2972608197411026E-2</v>
      </c>
      <c r="J20">
        <v>9.5689306435149799</v>
      </c>
      <c r="K20" s="126">
        <f t="shared" si="5"/>
        <v>-9.3371059446707982E-2</v>
      </c>
      <c r="M20" s="161">
        <f t="shared" si="0"/>
        <v>49.114646672524813</v>
      </c>
      <c r="N20" s="126"/>
      <c r="P20">
        <v>49.114646672524813</v>
      </c>
    </row>
    <row r="21" spans="1:16" x14ac:dyDescent="0.25">
      <c r="A21" s="125">
        <f t="shared" si="6"/>
        <v>42156</v>
      </c>
      <c r="C21" s="128">
        <v>856.74</v>
      </c>
      <c r="D21" s="113">
        <f t="shared" si="2"/>
        <v>1.9576574753954024E-2</v>
      </c>
      <c r="E21" s="130">
        <f t="shared" si="1"/>
        <v>856.74</v>
      </c>
      <c r="G21" s="125">
        <f t="shared" si="3"/>
        <v>43344</v>
      </c>
      <c r="H21">
        <f>+AVERAGE($E$118:$E$120)/AVERAGE(E58:E60)</f>
        <v>13.118839580620737</v>
      </c>
      <c r="I21" s="126">
        <f t="shared" si="4"/>
        <v>-0.10306373115327916</v>
      </c>
      <c r="J21">
        <v>8.3727761850591236</v>
      </c>
      <c r="K21" s="126">
        <f t="shared" si="5"/>
        <v>-0.12500398456399198</v>
      </c>
      <c r="M21" s="161">
        <f t="shared" si="0"/>
        <v>43.051392519229488</v>
      </c>
      <c r="N21" s="126"/>
      <c r="P21">
        <v>43.051392519229488</v>
      </c>
    </row>
    <row r="22" spans="1:16" x14ac:dyDescent="0.25">
      <c r="A22" s="125">
        <f t="shared" si="6"/>
        <v>42186</v>
      </c>
      <c r="C22" s="128">
        <v>866.25</v>
      </c>
      <c r="D22" s="113">
        <f t="shared" si="2"/>
        <v>1.1100217102038012E-2</v>
      </c>
      <c r="E22" s="130">
        <f t="shared" si="1"/>
        <v>866.25</v>
      </c>
      <c r="G22" s="125">
        <f t="shared" si="3"/>
        <v>43435</v>
      </c>
      <c r="H22">
        <f>+AVERAGE($E$118:$E$120)/AVERAGE(E61:E63)</f>
        <v>11.447450577827684</v>
      </c>
      <c r="I22" s="126">
        <f t="shared" si="4"/>
        <v>-0.12740372290717261</v>
      </c>
      <c r="J22">
        <v>7.471963674237208</v>
      </c>
      <c r="K22" s="126">
        <f t="shared" si="5"/>
        <v>-0.10758827071352728</v>
      </c>
      <c r="M22" s="161">
        <f t="shared" si="0"/>
        <v>38.576207984627771</v>
      </c>
      <c r="N22" s="126"/>
      <c r="P22">
        <v>38.576207984627771</v>
      </c>
    </row>
    <row r="23" spans="1:16" x14ac:dyDescent="0.25">
      <c r="A23" s="125">
        <f t="shared" si="6"/>
        <v>42217</v>
      </c>
      <c r="C23" s="128">
        <v>886.21</v>
      </c>
      <c r="D23" s="113">
        <f t="shared" si="2"/>
        <v>2.3041847041846975E-2</v>
      </c>
      <c r="E23" s="130">
        <f t="shared" si="1"/>
        <v>886.21</v>
      </c>
      <c r="G23" s="125">
        <f t="shared" si="3"/>
        <v>43525</v>
      </c>
      <c r="H23">
        <f>+AVERAGE($E$118:$E$120)/AVERAGE(E64:E66)</f>
        <v>10.392534242642332</v>
      </c>
      <c r="I23" s="126">
        <f t="shared" si="4"/>
        <v>-9.2152949515990623E-2</v>
      </c>
      <c r="J23">
        <v>6.7301633734570832</v>
      </c>
      <c r="K23" s="126">
        <f t="shared" si="5"/>
        <v>-9.927782482907388E-2</v>
      </c>
      <c r="M23" s="161">
        <f t="shared" si="0"/>
        <v>34.495315751332882</v>
      </c>
      <c r="N23" s="126"/>
      <c r="P23">
        <v>34.495315751332882</v>
      </c>
    </row>
    <row r="24" spans="1:16" x14ac:dyDescent="0.25">
      <c r="A24" s="125">
        <f t="shared" si="6"/>
        <v>42248</v>
      </c>
      <c r="C24" s="128">
        <v>903.18</v>
      </c>
      <c r="D24" s="113">
        <f t="shared" si="2"/>
        <v>1.9148960178738683E-2</v>
      </c>
      <c r="E24" s="130">
        <f t="shared" si="1"/>
        <v>903.18</v>
      </c>
      <c r="G24" s="125">
        <f t="shared" si="3"/>
        <v>43617</v>
      </c>
      <c r="H24">
        <f>+AVERAGE($E$118:$E$120)/AVERAGE(E67:E69)</f>
        <v>9.3527989972173771</v>
      </c>
      <c r="I24" s="126">
        <f t="shared" si="4"/>
        <v>-0.10004636223941843</v>
      </c>
      <c r="J24">
        <v>6.1370062640075211</v>
      </c>
      <c r="K24" s="126">
        <f t="shared" si="5"/>
        <v>-8.8134132343487992E-2</v>
      </c>
      <c r="M24" s="161">
        <f t="shared" si="0"/>
        <v>31.507248404112321</v>
      </c>
      <c r="N24" s="126"/>
      <c r="P24">
        <v>31.507248404112321</v>
      </c>
    </row>
    <row r="25" spans="1:16" x14ac:dyDescent="0.25">
      <c r="A25" s="125">
        <f t="shared" si="6"/>
        <v>42278</v>
      </c>
      <c r="C25" s="128">
        <v>925.23</v>
      </c>
      <c r="D25" s="113">
        <f t="shared" si="2"/>
        <v>2.4413738125290685E-2</v>
      </c>
      <c r="E25" s="130">
        <f t="shared" si="1"/>
        <v>925.23</v>
      </c>
      <c r="G25" s="125">
        <f t="shared" si="3"/>
        <v>43709</v>
      </c>
      <c r="H25">
        <f>+AVERAGE($E$118:$E$120)/AVERAGE(E70:E72)</f>
        <v>8.5011847851415858</v>
      </c>
      <c r="I25" s="126">
        <f t="shared" si="4"/>
        <v>-9.1054476026819486E-2</v>
      </c>
      <c r="J25">
        <v>5.4471201512400098</v>
      </c>
      <c r="K25" s="126">
        <f t="shared" si="5"/>
        <v>-0.1124141125313125</v>
      </c>
      <c r="M25" s="161">
        <f t="shared" si="0"/>
        <v>27.991764890815936</v>
      </c>
      <c r="N25" s="126"/>
      <c r="P25">
        <v>27.991764890815936</v>
      </c>
    </row>
    <row r="26" spans="1:16" x14ac:dyDescent="0.25">
      <c r="A26" s="125">
        <f t="shared" si="6"/>
        <v>42309</v>
      </c>
      <c r="C26" s="128">
        <v>938.03</v>
      </c>
      <c r="D26" s="113">
        <f t="shared" si="2"/>
        <v>1.3834397933486731E-2</v>
      </c>
      <c r="E26" s="130">
        <f t="shared" si="1"/>
        <v>938.03</v>
      </c>
      <c r="G26" s="125">
        <f t="shared" si="3"/>
        <v>43800</v>
      </c>
      <c r="H26">
        <f>+AVERAGE($E$118:$E$120)/AVERAGE(E73:E75)</f>
        <v>7.5123249836668791</v>
      </c>
      <c r="I26" s="126">
        <f t="shared" si="4"/>
        <v>-0.11632023376353862</v>
      </c>
      <c r="J26">
        <v>4.8584125061970376</v>
      </c>
      <c r="K26" s="126">
        <f t="shared" si="5"/>
        <v>-0.10807686056070487</v>
      </c>
      <c r="M26" s="161">
        <f t="shared" si="0"/>
        <v>25.053412867598691</v>
      </c>
      <c r="N26" s="126"/>
      <c r="P26">
        <v>25.053412867598691</v>
      </c>
    </row>
    <row r="27" spans="1:16" x14ac:dyDescent="0.25">
      <c r="A27" s="125">
        <f>+EDATE(A26,1)</f>
        <v>42339</v>
      </c>
      <c r="C27" s="128">
        <v>964.96</v>
      </c>
      <c r="D27" s="113">
        <f t="shared" si="2"/>
        <v>2.870910312036945E-2</v>
      </c>
      <c r="E27" s="130">
        <f t="shared" si="1"/>
        <v>964.96</v>
      </c>
      <c r="G27" s="125">
        <f t="shared" si="3"/>
        <v>43891</v>
      </c>
      <c r="H27">
        <f>+AVERAGE($E$118:$E$120)/AVERAGE(E76:E78)</f>
        <v>6.9019692633489749</v>
      </c>
      <c r="I27" s="126">
        <f t="shared" si="4"/>
        <v>-8.1247246577447751E-2</v>
      </c>
      <c r="J27">
        <v>4.4871206410969489</v>
      </c>
      <c r="K27" s="126">
        <f t="shared" si="5"/>
        <v>-7.6422466109350662E-2</v>
      </c>
      <c r="M27" s="161">
        <f t="shared" si="0"/>
        <v>23.24292433566966</v>
      </c>
      <c r="N27" s="126"/>
      <c r="P27">
        <v>23.24292433566966</v>
      </c>
    </row>
    <row r="28" spans="1:16" x14ac:dyDescent="0.25">
      <c r="A28" s="125">
        <f t="shared" si="6"/>
        <v>42370</v>
      </c>
      <c r="C28" s="128">
        <v>1027.54</v>
      </c>
      <c r="D28" s="113">
        <f t="shared" si="2"/>
        <v>6.4852429116232679E-2</v>
      </c>
      <c r="E28" s="130">
        <f t="shared" si="1"/>
        <v>1027.54</v>
      </c>
      <c r="G28" s="125">
        <f t="shared" si="3"/>
        <v>43983</v>
      </c>
      <c r="H28">
        <f>+AVERAGE($E$118:$E$120)/AVERAGE(E79:E81)</f>
        <v>6.4987648903078989</v>
      </c>
      <c r="I28" s="126">
        <f t="shared" si="4"/>
        <v>-5.8418743644974347E-2</v>
      </c>
      <c r="J28">
        <v>4.295881608164879</v>
      </c>
      <c r="K28" s="126">
        <f t="shared" si="5"/>
        <v>-4.2619543406196114E-2</v>
      </c>
      <c r="M28" s="161">
        <f t="shared" si="0"/>
        <v>22.075359666667598</v>
      </c>
      <c r="N28" s="126"/>
      <c r="P28">
        <v>22.075359666667598</v>
      </c>
    </row>
    <row r="29" spans="1:16" x14ac:dyDescent="0.25">
      <c r="A29" s="125">
        <f t="shared" si="6"/>
        <v>42401</v>
      </c>
      <c r="C29" s="128">
        <v>1070.6199999999999</v>
      </c>
      <c r="D29" s="113">
        <f t="shared" si="2"/>
        <v>4.1925375167876533E-2</v>
      </c>
      <c r="E29" s="130">
        <f t="shared" si="1"/>
        <v>1070.6199999999999</v>
      </c>
      <c r="G29" s="125">
        <f t="shared" si="3"/>
        <v>44075</v>
      </c>
      <c r="H29">
        <f>+AVERAGE($E$118:$E$120)/AVERAGE(E82:E84)</f>
        <v>6.087402761250587</v>
      </c>
      <c r="I29" s="126">
        <f t="shared" si="4"/>
        <v>-6.3298509178383644E-2</v>
      </c>
      <c r="J29">
        <v>3.9922132064905664</v>
      </c>
      <c r="K29" s="126">
        <f t="shared" si="5"/>
        <v>-7.0688261309890699E-2</v>
      </c>
      <c r="M29" s="161">
        <f t="shared" si="0"/>
        <v>20.519654585140874</v>
      </c>
      <c r="N29" s="126"/>
      <c r="P29">
        <v>20.519654585140874</v>
      </c>
    </row>
    <row r="30" spans="1:16" x14ac:dyDescent="0.25">
      <c r="A30" s="125">
        <f t="shared" si="6"/>
        <v>42430</v>
      </c>
      <c r="C30" s="128">
        <v>1099.6600000000001</v>
      </c>
      <c r="D30" s="113">
        <f t="shared" si="2"/>
        <v>2.7124469933309747E-2</v>
      </c>
      <c r="E30" s="130">
        <f t="shared" si="1"/>
        <v>1099.6600000000001</v>
      </c>
      <c r="G30" s="125">
        <f t="shared" si="3"/>
        <v>44166</v>
      </c>
      <c r="H30">
        <f>+AVERAGE($E$118:$E$120)/AVERAGE(E85:E87)</f>
        <v>5.514542786676115</v>
      </c>
      <c r="I30" s="126">
        <f t="shared" si="4"/>
        <v>-9.4105811138539552E-2</v>
      </c>
      <c r="J30">
        <v>3.5717171558502021</v>
      </c>
      <c r="K30" s="126">
        <f t="shared" si="5"/>
        <v>-0.10532905656359215</v>
      </c>
      <c r="M30" s="161">
        <f t="shared" si="0"/>
        <v>18.418728903504981</v>
      </c>
      <c r="N30" s="126"/>
      <c r="P30">
        <v>18.418728903504981</v>
      </c>
    </row>
    <row r="31" spans="1:16" x14ac:dyDescent="0.25">
      <c r="A31" s="125">
        <f t="shared" si="6"/>
        <v>42461</v>
      </c>
      <c r="C31" s="128">
        <v>1132.3900000000001</v>
      </c>
      <c r="D31" s="113">
        <f t="shared" si="2"/>
        <v>2.9763745157594279E-2</v>
      </c>
      <c r="E31" s="130">
        <f t="shared" si="1"/>
        <v>1132.3900000000001</v>
      </c>
      <c r="G31" s="125">
        <f t="shared" si="3"/>
        <v>44256</v>
      </c>
      <c r="H31">
        <f>+AVERAGE($E$118:$E$120)/AVERAGE(E88:E90)</f>
        <v>4.9143812036110299</v>
      </c>
      <c r="I31" s="126">
        <f t="shared" si="4"/>
        <v>-0.10883251908302483</v>
      </c>
      <c r="J31">
        <v>3.1907893654843473</v>
      </c>
      <c r="K31" s="126">
        <f t="shared" si="5"/>
        <v>-0.10665116350042558</v>
      </c>
      <c r="M31" s="161">
        <f t="shared" si="0"/>
        <v>16.311927345863946</v>
      </c>
      <c r="N31" s="126"/>
      <c r="P31">
        <v>16.311927345863946</v>
      </c>
    </row>
    <row r="32" spans="1:16" x14ac:dyDescent="0.25">
      <c r="A32" s="125">
        <f t="shared" si="6"/>
        <v>42491</v>
      </c>
      <c r="C32" s="128">
        <v>1170.83</v>
      </c>
      <c r="D32" s="113">
        <f t="shared" si="2"/>
        <v>3.3945902030219077E-2</v>
      </c>
      <c r="E32" s="130">
        <f t="shared" si="1"/>
        <v>1170.83</v>
      </c>
      <c r="G32" s="125">
        <f t="shared" si="3"/>
        <v>44348</v>
      </c>
      <c r="H32">
        <f>+AVERAGE($E$118:$E$120)/AVERAGE(E97:E99)</f>
        <v>3.644680358929576</v>
      </c>
      <c r="I32" s="126">
        <f t="shared" si="4"/>
        <v>-0.25836433766035338</v>
      </c>
      <c r="J32">
        <v>2.8304158515162743</v>
      </c>
      <c r="K32" s="126">
        <f t="shared" si="5"/>
        <v>-0.11294180614563065</v>
      </c>
      <c r="M32" s="161">
        <f t="shared" si="0"/>
        <v>14.698551219081523</v>
      </c>
      <c r="N32" s="126"/>
      <c r="P32">
        <v>14.698551219081523</v>
      </c>
    </row>
    <row r="33" spans="1:16" x14ac:dyDescent="0.25">
      <c r="A33" s="125">
        <f t="shared" si="6"/>
        <v>42522</v>
      </c>
      <c r="C33" s="128">
        <v>1219.8599999999999</v>
      </c>
      <c r="D33" s="113">
        <f t="shared" si="2"/>
        <v>4.1876275804343832E-2</v>
      </c>
      <c r="E33" s="130">
        <f t="shared" si="1"/>
        <v>1219.8599999999999</v>
      </c>
      <c r="G33" s="125">
        <f t="shared" si="3"/>
        <v>44440</v>
      </c>
      <c r="H33">
        <f>+AVERAGE($E$118:$E$120)/AVERAGE(E91:E93)</f>
        <v>4.379885017822577</v>
      </c>
      <c r="I33" s="126">
        <f t="shared" si="4"/>
        <v>0.20171992780978099</v>
      </c>
      <c r="J33">
        <v>2.5866618518668654</v>
      </c>
      <c r="K33" s="126">
        <f t="shared" si="5"/>
        <v>-8.6119500609363908E-2</v>
      </c>
      <c r="M33" s="161">
        <f t="shared" si="0"/>
        <v>13.451573537672374</v>
      </c>
      <c r="N33" s="126"/>
      <c r="P33">
        <v>13.451573537672374</v>
      </c>
    </row>
    <row r="34" spans="1:16" x14ac:dyDescent="0.25">
      <c r="A34" s="125">
        <f t="shared" si="6"/>
        <v>42552</v>
      </c>
      <c r="C34" s="128">
        <v>1237.74</v>
      </c>
      <c r="D34" s="113">
        <f t="shared" si="2"/>
        <v>1.4657419703900443E-2</v>
      </c>
      <c r="E34" s="130">
        <f t="shared" si="1"/>
        <v>1237.74</v>
      </c>
      <c r="G34" s="125">
        <f t="shared" si="3"/>
        <v>44531</v>
      </c>
      <c r="H34">
        <f>+AVERAGE($E$118:$E$120)/AVERAGE(E97:E99)</f>
        <v>3.644680358929576</v>
      </c>
      <c r="I34" s="126">
        <f t="shared" si="4"/>
        <v>-0.16785935153578568</v>
      </c>
      <c r="J34">
        <v>2.3522072803942478</v>
      </c>
      <c r="K34" s="126">
        <f t="shared" si="5"/>
        <v>-9.0639822636037759E-2</v>
      </c>
      <c r="M34" s="161">
        <f t="shared" si="0"/>
        <v>12.215507691507218</v>
      </c>
      <c r="N34" s="126"/>
      <c r="P34">
        <v>12.215507691507218</v>
      </c>
    </row>
    <row r="35" spans="1:16" x14ac:dyDescent="0.25">
      <c r="A35" s="125">
        <f>+EDATE(A34,1)</f>
        <v>42583</v>
      </c>
      <c r="C35" s="128">
        <v>1265.75</v>
      </c>
      <c r="D35" s="113">
        <f t="shared" si="2"/>
        <v>2.2629954594664436E-2</v>
      </c>
      <c r="E35" s="130">
        <f t="shared" si="1"/>
        <v>1265.75</v>
      </c>
      <c r="G35" s="125">
        <f t="shared" si="3"/>
        <v>44621</v>
      </c>
      <c r="H35">
        <f>+AVERAGE($E$118:$E$120)/AVERAGE(E100:E102)</f>
        <v>3.2186713345933176</v>
      </c>
      <c r="I35" s="126">
        <f t="shared" si="4"/>
        <v>-0.11688515380848796</v>
      </c>
      <c r="J35">
        <v>2.0250379699214869</v>
      </c>
      <c r="K35" s="126">
        <f t="shared" si="5"/>
        <v>-0.13909034003921827</v>
      </c>
      <c r="M35" s="161">
        <f t="shared" si="0"/>
        <v>10.524097739986537</v>
      </c>
      <c r="N35" s="126"/>
      <c r="P35">
        <v>10.524097739986537</v>
      </c>
    </row>
    <row r="36" spans="1:16" x14ac:dyDescent="0.25">
      <c r="A36" s="125">
        <f t="shared" si="6"/>
        <v>42614</v>
      </c>
      <c r="C36" s="129">
        <v>1273.8</v>
      </c>
      <c r="D36" s="113">
        <f t="shared" si="2"/>
        <v>6.3598656922772001E-3</v>
      </c>
      <c r="E36" s="130">
        <f t="shared" si="1"/>
        <v>1273.8</v>
      </c>
      <c r="G36" s="125">
        <f t="shared" si="3"/>
        <v>44713</v>
      </c>
      <c r="H36">
        <f>+AVERAGE($E$118:$E$120)/AVERAGE(E103:E105)</f>
        <v>2.7236124604270633</v>
      </c>
      <c r="I36" s="126">
        <f t="shared" si="4"/>
        <v>-0.15380845780850916</v>
      </c>
      <c r="J36">
        <v>1.7020229637441926</v>
      </c>
      <c r="K36" s="126">
        <f t="shared" si="5"/>
        <v>-0.1595105923815433</v>
      </c>
      <c r="M36" s="161">
        <f t="shared" si="0"/>
        <v>8.9711459120711883</v>
      </c>
      <c r="N36" s="126"/>
      <c r="P36">
        <v>8.9711459120711883</v>
      </c>
    </row>
    <row r="37" spans="1:16" x14ac:dyDescent="0.25">
      <c r="A37" s="125">
        <f>+EDATE(A36,1)</f>
        <v>42644</v>
      </c>
      <c r="C37" s="129">
        <v>1295.28</v>
      </c>
      <c r="D37" s="113">
        <f t="shared" si="2"/>
        <v>1.6862929816297667E-2</v>
      </c>
      <c r="E37" s="130">
        <f t="shared" si="1"/>
        <v>1295.28</v>
      </c>
      <c r="G37" s="125">
        <f t="shared" si="3"/>
        <v>44805</v>
      </c>
      <c r="H37">
        <f>+AVERAGE($E$118:$E$120)/AVERAGE(E106:E108)</f>
        <v>2.256688680643772</v>
      </c>
      <c r="I37" s="126">
        <f t="shared" si="4"/>
        <v>-0.17143546909389507</v>
      </c>
      <c r="J37">
        <v>1.3964264161959772</v>
      </c>
      <c r="K37" s="126">
        <f t="shared" si="5"/>
        <v>-0.1795490155291144</v>
      </c>
      <c r="M37" s="161">
        <f t="shared" si="0"/>
        <v>7.3508124896583</v>
      </c>
      <c r="N37" s="126"/>
      <c r="P37">
        <v>7.3508124896583</v>
      </c>
    </row>
    <row r="38" spans="1:16" x14ac:dyDescent="0.25">
      <c r="A38" s="125">
        <f t="shared" ref="A38:A44" si="7">+EDATE(A37,1)</f>
        <v>42675</v>
      </c>
      <c r="C38" s="129">
        <v>1321.6</v>
      </c>
      <c r="D38" s="113">
        <f t="shared" si="2"/>
        <v>2.0319930825767329E-2</v>
      </c>
      <c r="E38" s="130">
        <f t="shared" si="1"/>
        <v>1321.6</v>
      </c>
      <c r="G38" s="125">
        <f t="shared" si="3"/>
        <v>44896</v>
      </c>
      <c r="H38">
        <f>+AVERAGE($E$118:$E$120)/AVERAGE(E109:E111)</f>
        <v>1.9007390223854843</v>
      </c>
      <c r="I38" s="126">
        <f t="shared" si="4"/>
        <v>-0.15773095390222147</v>
      </c>
      <c r="J38">
        <v>1.19454868112954</v>
      </c>
      <c r="K38" s="126">
        <f t="shared" si="5"/>
        <v>-0.1445673991303994</v>
      </c>
      <c r="M38" s="161">
        <f t="shared" si="0"/>
        <v>6.2722574471070551</v>
      </c>
      <c r="N38" s="126"/>
      <c r="P38">
        <v>6.2722574471070551</v>
      </c>
    </row>
    <row r="39" spans="1:16" x14ac:dyDescent="0.25">
      <c r="A39" s="125">
        <f t="shared" si="7"/>
        <v>42705</v>
      </c>
      <c r="C39" s="129">
        <v>1339.02</v>
      </c>
      <c r="D39" s="113">
        <f t="shared" si="2"/>
        <v>1.3180992736077535E-2</v>
      </c>
      <c r="E39" s="130">
        <f t="shared" si="1"/>
        <v>1339.02</v>
      </c>
      <c r="G39" s="125">
        <f t="shared" si="3"/>
        <v>44986</v>
      </c>
      <c r="H39">
        <f>+AVERAGE($E$118:$E$120)/AVERAGE(E112:E114)</f>
        <v>1.5947721487079378</v>
      </c>
      <c r="I39" s="126">
        <f t="shared" si="4"/>
        <v>-0.16097258491255095</v>
      </c>
      <c r="J39">
        <v>1</v>
      </c>
      <c r="K39" s="126">
        <f t="shared" si="5"/>
        <v>-0.16286375281548082</v>
      </c>
      <c r="M39" s="161">
        <f t="shared" si="0"/>
        <v>5.1540081690199564</v>
      </c>
      <c r="N39" s="126"/>
      <c r="P39">
        <v>5.1540081690199564</v>
      </c>
    </row>
    <row r="40" spans="1:16" x14ac:dyDescent="0.25">
      <c r="A40" s="125">
        <f t="shared" si="7"/>
        <v>42736</v>
      </c>
      <c r="B40" s="113">
        <v>1.6E-2</v>
      </c>
      <c r="C40" s="129">
        <v>1350.48</v>
      </c>
      <c r="D40" s="113">
        <f t="shared" si="2"/>
        <v>8.5584980060045002E-3</v>
      </c>
      <c r="E40" s="130">
        <f>+E39*(1+B40)</f>
        <v>1360.4443200000001</v>
      </c>
      <c r="G40" s="125">
        <f t="shared" si="3"/>
        <v>45078</v>
      </c>
      <c r="H40">
        <f>+AVERAGE($E$118:$E$120)/AVERAGE(E115:E117)</f>
        <v>1.2788094253053146</v>
      </c>
      <c r="I40" s="126">
        <f t="shared" si="4"/>
        <v>-0.19812405405914058</v>
      </c>
      <c r="K40" s="126">
        <f t="shared" si="5"/>
        <v>-1</v>
      </c>
      <c r="M40" s="161">
        <f t="shared" si="0"/>
        <v>4.1609375171716749</v>
      </c>
      <c r="N40" s="126"/>
      <c r="P40">
        <v>4.1609375171716749</v>
      </c>
    </row>
    <row r="41" spans="1:16" x14ac:dyDescent="0.25">
      <c r="A41" s="125">
        <f t="shared" si="7"/>
        <v>42767</v>
      </c>
      <c r="B41" s="113">
        <v>2.1000000000000001E-2</v>
      </c>
      <c r="C41" s="129">
        <v>1366.86</v>
      </c>
      <c r="D41" s="113">
        <f t="shared" si="2"/>
        <v>1.2129020792607026E-2</v>
      </c>
      <c r="E41" s="130">
        <f t="shared" ref="E41:E104" si="8">+E40*(1+B41)</f>
        <v>1389.01365072</v>
      </c>
      <c r="G41" s="125">
        <f t="shared" si="3"/>
        <v>45170</v>
      </c>
      <c r="H41">
        <f>+AVERAGE($E$118:$E$120)/AVERAGE(E118:E120)</f>
        <v>1</v>
      </c>
      <c r="I41" s="126">
        <f>+H41/H40-1</f>
        <v>-0.21802265434409751</v>
      </c>
      <c r="K41" s="126" t="e">
        <f>+J41/J40-1</f>
        <v>#DIV/0!</v>
      </c>
      <c r="M41" s="161">
        <f t="shared" si="0"/>
        <v>3.0900656223732286</v>
      </c>
      <c r="N41" s="126"/>
      <c r="P41">
        <v>3.0900656223732286</v>
      </c>
    </row>
    <row r="42" spans="1:16" x14ac:dyDescent="0.25">
      <c r="A42" s="125">
        <f t="shared" si="7"/>
        <v>42795</v>
      </c>
      <c r="B42" s="113">
        <v>2.4E-2</v>
      </c>
      <c r="C42" s="129">
        <v>1390.12</v>
      </c>
      <c r="D42" s="113">
        <f t="shared" si="2"/>
        <v>1.7017104897355972E-2</v>
      </c>
      <c r="E42" s="130">
        <f t="shared" si="8"/>
        <v>1422.3499783372799</v>
      </c>
      <c r="G42" s="125">
        <f t="shared" si="3"/>
        <v>45261</v>
      </c>
      <c r="M42" s="161">
        <f t="shared" si="0"/>
        <v>2.0155167900810063</v>
      </c>
      <c r="N42" s="126"/>
      <c r="P42">
        <v>2.0155167900810063</v>
      </c>
    </row>
    <row r="43" spans="1:16" x14ac:dyDescent="0.25">
      <c r="A43" s="125">
        <f t="shared" si="7"/>
        <v>42826</v>
      </c>
      <c r="B43" s="113">
        <v>2.7000000000000003E-2</v>
      </c>
      <c r="C43" s="129">
        <v>1433.32</v>
      </c>
      <c r="D43" s="113">
        <f t="shared" si="2"/>
        <v>3.1076453831323958E-2</v>
      </c>
      <c r="E43" s="130">
        <f t="shared" si="8"/>
        <v>1460.7534277523864</v>
      </c>
      <c r="G43" s="125">
        <f t="shared" si="3"/>
        <v>45352</v>
      </c>
      <c r="M43" s="161">
        <f t="shared" si="0"/>
        <v>1.3300553269905409</v>
      </c>
      <c r="P43">
        <v>1.3300553269905409</v>
      </c>
    </row>
    <row r="44" spans="1:16" x14ac:dyDescent="0.25">
      <c r="A44" s="125">
        <f t="shared" si="7"/>
        <v>42856</v>
      </c>
      <c r="B44" s="113">
        <v>1.3999999999999999E-2</v>
      </c>
      <c r="C44" s="129">
        <v>1467.76</v>
      </c>
      <c r="D44" s="113">
        <f t="shared" si="2"/>
        <v>2.4028130494237132E-2</v>
      </c>
      <c r="E44" s="130">
        <f t="shared" si="8"/>
        <v>1481.2039757409198</v>
      </c>
      <c r="G44" s="125">
        <f t="shared" si="3"/>
        <v>45444</v>
      </c>
      <c r="M44" s="161">
        <f>+_xlfn.XLOOKUP($G$45,$A:$A,$E:$E)/_xlfn.XLOOKUP(G44,$A:$A,$E:$E)</f>
        <v>1.1216088</v>
      </c>
      <c r="P44">
        <v>1.1216088</v>
      </c>
    </row>
    <row r="45" spans="1:16" x14ac:dyDescent="0.25">
      <c r="A45" s="125">
        <f t="shared" ref="A45:A105" si="9">+EDATE(A44,1)</f>
        <v>42887</v>
      </c>
      <c r="B45" s="113">
        <v>1.2E-2</v>
      </c>
      <c r="C45" s="129">
        <v>1492.43</v>
      </c>
      <c r="D45" s="113">
        <f t="shared" si="2"/>
        <v>1.6807925001362634E-2</v>
      </c>
      <c r="E45" s="130">
        <f t="shared" si="8"/>
        <v>1498.9784234498109</v>
      </c>
      <c r="G45" s="125">
        <f t="shared" si="3"/>
        <v>45536</v>
      </c>
      <c r="M45" s="161">
        <f>+_xlfn.XLOOKUP($G$45,$A:$A,$E:$E)/_xlfn.XLOOKUP(G45,$A:$A,$E:$E)</f>
        <v>1</v>
      </c>
      <c r="P45">
        <v>1</v>
      </c>
    </row>
    <row r="46" spans="1:16" x14ac:dyDescent="0.25">
      <c r="A46" s="125">
        <f t="shared" si="9"/>
        <v>42917</v>
      </c>
      <c r="B46" s="113">
        <v>1.7000000000000001E-2</v>
      </c>
      <c r="C46" s="129">
        <v>1507.73</v>
      </c>
      <c r="D46" s="113">
        <f t="shared" si="2"/>
        <v>1.0251737099897351E-2</v>
      </c>
      <c r="E46" s="130">
        <f t="shared" si="8"/>
        <v>1524.4610566484575</v>
      </c>
    </row>
    <row r="47" spans="1:16" x14ac:dyDescent="0.25">
      <c r="A47" s="125">
        <f t="shared" si="9"/>
        <v>42948</v>
      </c>
      <c r="B47" s="113">
        <v>1.3999999999999999E-2</v>
      </c>
      <c r="C47" s="129">
        <v>1530.15</v>
      </c>
      <c r="D47" s="113">
        <f t="shared" si="2"/>
        <v>1.487003641235507E-2</v>
      </c>
      <c r="E47" s="130">
        <f t="shared" si="8"/>
        <v>1545.8035114415359</v>
      </c>
    </row>
    <row r="48" spans="1:16" x14ac:dyDescent="0.25">
      <c r="A48" s="125">
        <f t="shared" si="9"/>
        <v>42979</v>
      </c>
      <c r="B48" s="113">
        <v>1.9E-2</v>
      </c>
      <c r="C48" s="129">
        <v>1552.09</v>
      </c>
      <c r="D48" s="113">
        <f t="shared" si="2"/>
        <v>1.4338463549325109E-2</v>
      </c>
      <c r="E48" s="130">
        <f t="shared" si="8"/>
        <v>1575.173778158925</v>
      </c>
    </row>
    <row r="49" spans="1:5" x14ac:dyDescent="0.25">
      <c r="A49" s="125">
        <f t="shared" si="9"/>
        <v>43009</v>
      </c>
      <c r="B49" s="113">
        <v>1.4999999999999999E-2</v>
      </c>
      <c r="C49" s="129">
        <v>1580.79</v>
      </c>
      <c r="D49" s="113">
        <f t="shared" si="2"/>
        <v>1.8491195742514899E-2</v>
      </c>
      <c r="E49" s="130">
        <f t="shared" si="8"/>
        <v>1598.8013848313087</v>
      </c>
    </row>
    <row r="50" spans="1:5" x14ac:dyDescent="0.25">
      <c r="A50" s="125">
        <f t="shared" si="9"/>
        <v>43040</v>
      </c>
      <c r="B50" s="113">
        <v>1.3999999999999999E-2</v>
      </c>
      <c r="C50" s="129">
        <v>1606.59</v>
      </c>
      <c r="D50" s="113">
        <f t="shared" si="2"/>
        <v>1.632095344732698E-2</v>
      </c>
      <c r="E50" s="130">
        <f t="shared" si="8"/>
        <v>1621.184604218947</v>
      </c>
    </row>
    <row r="51" spans="1:5" x14ac:dyDescent="0.25">
      <c r="A51" s="125">
        <f t="shared" si="9"/>
        <v>43070</v>
      </c>
      <c r="B51" s="113">
        <v>3.1E-2</v>
      </c>
      <c r="C51" s="129">
        <v>1630.3</v>
      </c>
      <c r="D51" s="113">
        <f t="shared" si="2"/>
        <v>1.4757965629065284E-2</v>
      </c>
      <c r="E51" s="130">
        <f t="shared" si="8"/>
        <v>1671.4413269497343</v>
      </c>
    </row>
    <row r="52" spans="1:5" x14ac:dyDescent="0.25">
      <c r="A52" s="125">
        <f t="shared" si="9"/>
        <v>43101</v>
      </c>
      <c r="B52" s="113">
        <v>1.8000000000000002E-2</v>
      </c>
      <c r="C52" s="129">
        <v>1678.94</v>
      </c>
      <c r="D52" s="113">
        <f t="shared" si="2"/>
        <v>2.9834999693308051E-2</v>
      </c>
      <c r="E52" s="130">
        <f t="shared" si="8"/>
        <v>1701.5272708348296</v>
      </c>
    </row>
    <row r="53" spans="1:5" x14ac:dyDescent="0.25">
      <c r="A53" s="125">
        <f t="shared" si="9"/>
        <v>43132</v>
      </c>
      <c r="B53" s="113">
        <v>2.4E-2</v>
      </c>
      <c r="C53" s="129">
        <v>1703.2</v>
      </c>
      <c r="D53" s="113">
        <f t="shared" si="2"/>
        <v>1.4449593195706711E-2</v>
      </c>
      <c r="E53" s="130">
        <f t="shared" si="8"/>
        <v>1742.3639253348656</v>
      </c>
    </row>
    <row r="54" spans="1:5" x14ac:dyDescent="0.25">
      <c r="A54" s="125">
        <f t="shared" si="9"/>
        <v>43160</v>
      </c>
      <c r="B54" s="113">
        <v>2.3E-2</v>
      </c>
      <c r="C54" s="129">
        <v>1745.32</v>
      </c>
      <c r="D54" s="113">
        <f t="shared" si="2"/>
        <v>2.4729920150305285E-2</v>
      </c>
      <c r="E54" s="130">
        <f t="shared" si="8"/>
        <v>1782.4382956175673</v>
      </c>
    </row>
    <row r="55" spans="1:5" x14ac:dyDescent="0.25">
      <c r="A55" s="125">
        <f t="shared" si="9"/>
        <v>43191</v>
      </c>
      <c r="B55" s="113">
        <v>2.7000000000000003E-2</v>
      </c>
      <c r="C55" s="129">
        <v>1794.98</v>
      </c>
      <c r="D55" s="113">
        <f t="shared" si="2"/>
        <v>2.8453234936859806E-2</v>
      </c>
      <c r="E55" s="130">
        <f t="shared" si="8"/>
        <v>1830.5641295992414</v>
      </c>
    </row>
    <row r="56" spans="1:5" x14ac:dyDescent="0.25">
      <c r="A56" s="125">
        <f t="shared" si="9"/>
        <v>43221</v>
      </c>
      <c r="B56" s="113">
        <v>2.1000000000000001E-2</v>
      </c>
      <c r="C56" s="129">
        <v>1839.78</v>
      </c>
      <c r="D56" s="113">
        <f t="shared" si="2"/>
        <v>2.4958495359279853E-2</v>
      </c>
      <c r="E56" s="130">
        <f t="shared" si="8"/>
        <v>1869.0059763208253</v>
      </c>
    </row>
    <row r="57" spans="1:5" x14ac:dyDescent="0.25">
      <c r="A57" s="125">
        <f t="shared" si="9"/>
        <v>43252</v>
      </c>
      <c r="B57" s="113">
        <v>3.7000000000000005E-2</v>
      </c>
      <c r="C57" s="129">
        <v>1886.48</v>
      </c>
      <c r="D57" s="113">
        <f t="shared" si="2"/>
        <v>2.5383469762689126E-2</v>
      </c>
      <c r="E57" s="130">
        <f t="shared" si="8"/>
        <v>1938.1591974446958</v>
      </c>
    </row>
    <row r="58" spans="1:5" x14ac:dyDescent="0.25">
      <c r="A58" s="125">
        <f t="shared" si="9"/>
        <v>43282</v>
      </c>
      <c r="B58" s="113">
        <v>3.1E-2</v>
      </c>
      <c r="C58" s="129">
        <v>1963.53</v>
      </c>
      <c r="D58" s="113">
        <f t="shared" si="2"/>
        <v>4.084326364445956E-2</v>
      </c>
      <c r="E58" s="130">
        <f t="shared" si="8"/>
        <v>1998.2421325654811</v>
      </c>
    </row>
    <row r="59" spans="1:5" x14ac:dyDescent="0.25">
      <c r="A59" s="125">
        <f t="shared" si="9"/>
        <v>43313</v>
      </c>
      <c r="B59" s="113">
        <v>3.9E-2</v>
      </c>
      <c r="C59" s="129">
        <v>2034.03</v>
      </c>
      <c r="D59" s="113">
        <f t="shared" si="2"/>
        <v>3.5904722616919571E-2</v>
      </c>
      <c r="E59" s="130">
        <f t="shared" si="8"/>
        <v>2076.1735757355345</v>
      </c>
    </row>
    <row r="60" spans="1:5" x14ac:dyDescent="0.25">
      <c r="A60" s="125">
        <f t="shared" si="9"/>
        <v>43344</v>
      </c>
      <c r="B60" s="113">
        <v>6.5000000000000002E-2</v>
      </c>
      <c r="C60" s="129">
        <v>2102.36</v>
      </c>
      <c r="D60" s="113">
        <f t="shared" si="2"/>
        <v>3.3593408160154992E-2</v>
      </c>
      <c r="E60" s="130">
        <f t="shared" si="8"/>
        <v>2211.1248581583441</v>
      </c>
    </row>
    <row r="61" spans="1:5" x14ac:dyDescent="0.25">
      <c r="A61" s="125">
        <f t="shared" si="9"/>
        <v>43374</v>
      </c>
      <c r="B61" s="113">
        <v>5.4000000000000006E-2</v>
      </c>
      <c r="C61" s="129">
        <v>2264.6799999999998</v>
      </c>
      <c r="D61" s="113">
        <f t="shared" si="2"/>
        <v>7.7208470480792935E-2</v>
      </c>
      <c r="E61" s="130">
        <f t="shared" si="8"/>
        <v>2330.5256004988946</v>
      </c>
    </row>
    <row r="62" spans="1:5" x14ac:dyDescent="0.25">
      <c r="A62" s="125">
        <f t="shared" si="9"/>
        <v>43405</v>
      </c>
      <c r="B62" s="113">
        <v>3.2000000000000001E-2</v>
      </c>
      <c r="C62" s="129">
        <v>2382.64</v>
      </c>
      <c r="D62" s="113">
        <f t="shared" si="2"/>
        <v>5.208682904427997E-2</v>
      </c>
      <c r="E62" s="130">
        <f t="shared" si="8"/>
        <v>2405.1024197148595</v>
      </c>
    </row>
    <row r="63" spans="1:5" x14ac:dyDescent="0.25">
      <c r="A63" s="125">
        <f t="shared" si="9"/>
        <v>43435</v>
      </c>
      <c r="B63" s="113">
        <v>2.6000000000000002E-2</v>
      </c>
      <c r="C63" s="129">
        <v>2466.4499999999998</v>
      </c>
      <c r="D63" s="113">
        <f t="shared" si="2"/>
        <v>3.517526777020441E-2</v>
      </c>
      <c r="E63" s="130">
        <f t="shared" si="8"/>
        <v>2467.6350826274461</v>
      </c>
    </row>
    <row r="64" spans="1:5" x14ac:dyDescent="0.25">
      <c r="A64" s="125">
        <f t="shared" si="9"/>
        <v>43466</v>
      </c>
      <c r="B64" s="113">
        <v>2.8999999999999998E-2</v>
      </c>
      <c r="C64" s="129">
        <v>2517.89</v>
      </c>
      <c r="D64" s="113">
        <f t="shared" si="2"/>
        <v>2.0855885989985667E-2</v>
      </c>
      <c r="E64" s="130">
        <f t="shared" si="8"/>
        <v>2539.1965000236419</v>
      </c>
    </row>
    <row r="65" spans="1:5" x14ac:dyDescent="0.25">
      <c r="A65" s="125">
        <f t="shared" si="9"/>
        <v>43497</v>
      </c>
      <c r="B65" s="113">
        <v>3.7999999999999999E-2</v>
      </c>
      <c r="C65" s="129">
        <v>2609.62</v>
      </c>
      <c r="D65" s="113">
        <f t="shared" si="2"/>
        <v>3.6431297634130111E-2</v>
      </c>
      <c r="E65" s="130">
        <f t="shared" si="8"/>
        <v>2635.6859670245403</v>
      </c>
    </row>
    <row r="66" spans="1:5" x14ac:dyDescent="0.25">
      <c r="A66" s="125">
        <f t="shared" si="9"/>
        <v>43525</v>
      </c>
      <c r="B66" s="113">
        <v>4.7E-2</v>
      </c>
      <c r="C66" s="129">
        <v>2708.13</v>
      </c>
      <c r="D66" s="113">
        <f t="shared" si="2"/>
        <v>3.7748791011718241E-2</v>
      </c>
      <c r="E66" s="130">
        <f t="shared" si="8"/>
        <v>2759.5632074746936</v>
      </c>
    </row>
    <row r="67" spans="1:5" x14ac:dyDescent="0.25">
      <c r="A67" s="125">
        <f t="shared" si="9"/>
        <v>43556</v>
      </c>
      <c r="B67" s="113">
        <v>3.4000000000000002E-2</v>
      </c>
      <c r="C67" s="129">
        <v>2835.66</v>
      </c>
      <c r="D67" s="113">
        <f t="shared" si="2"/>
        <v>4.7091535487587377E-2</v>
      </c>
      <c r="E67" s="130">
        <f t="shared" si="8"/>
        <v>2853.3883565288334</v>
      </c>
    </row>
    <row r="68" spans="1:5" x14ac:dyDescent="0.25">
      <c r="A68" s="125">
        <f t="shared" si="9"/>
        <v>43586</v>
      </c>
      <c r="B68" s="113">
        <v>3.1E-2</v>
      </c>
      <c r="C68" s="129">
        <v>2933.41</v>
      </c>
      <c r="D68" s="113">
        <f t="shared" si="2"/>
        <v>3.4471692657088715E-2</v>
      </c>
      <c r="E68" s="130">
        <f t="shared" si="8"/>
        <v>2941.843395581227</v>
      </c>
    </row>
    <row r="69" spans="1:5" x14ac:dyDescent="0.25">
      <c r="A69" s="125">
        <f t="shared" si="9"/>
        <v>43617</v>
      </c>
      <c r="B69" s="113">
        <v>2.7000000000000003E-2</v>
      </c>
      <c r="C69" s="129">
        <v>3035.33</v>
      </c>
      <c r="D69" s="113">
        <f t="shared" ref="D69:D123" si="10">+C69/C68-1</f>
        <v>3.4744546449354097E-2</v>
      </c>
      <c r="E69" s="130">
        <f t="shared" si="8"/>
        <v>3021.2731672619198</v>
      </c>
    </row>
    <row r="70" spans="1:5" x14ac:dyDescent="0.25">
      <c r="A70" s="125">
        <f t="shared" si="9"/>
        <v>43647</v>
      </c>
      <c r="B70" s="113">
        <v>2.2000000000000002E-2</v>
      </c>
      <c r="C70" s="129">
        <v>3104.39</v>
      </c>
      <c r="D70" s="113">
        <f t="shared" si="10"/>
        <v>2.2752056613284166E-2</v>
      </c>
      <c r="E70" s="130">
        <f t="shared" si="8"/>
        <v>3087.7411769416822</v>
      </c>
    </row>
    <row r="71" spans="1:5" x14ac:dyDescent="0.25">
      <c r="A71" s="125">
        <f t="shared" si="9"/>
        <v>43678</v>
      </c>
      <c r="B71" s="113">
        <v>0.04</v>
      </c>
      <c r="C71" s="129">
        <v>3151.61</v>
      </c>
      <c r="D71" s="113">
        <f t="shared" si="10"/>
        <v>1.521071772554361E-2</v>
      </c>
      <c r="E71" s="130">
        <f t="shared" si="8"/>
        <v>3211.2508240193497</v>
      </c>
    </row>
    <row r="72" spans="1:5" x14ac:dyDescent="0.25">
      <c r="A72" s="125">
        <f t="shared" si="9"/>
        <v>43709</v>
      </c>
      <c r="B72" s="113">
        <v>5.9000000000000004E-2</v>
      </c>
      <c r="C72" s="129">
        <v>3302.07</v>
      </c>
      <c r="D72" s="113">
        <f t="shared" si="10"/>
        <v>4.7740678573808371E-2</v>
      </c>
      <c r="E72" s="130">
        <f t="shared" si="8"/>
        <v>3400.7146226364912</v>
      </c>
    </row>
    <row r="73" spans="1:5" x14ac:dyDescent="0.25">
      <c r="A73" s="125">
        <f t="shared" si="9"/>
        <v>43739</v>
      </c>
      <c r="B73" s="113">
        <v>3.3000000000000002E-2</v>
      </c>
      <c r="C73" s="129">
        <v>3506.25</v>
      </c>
      <c r="D73" s="113">
        <f t="shared" si="10"/>
        <v>6.1833940528214004E-2</v>
      </c>
      <c r="E73" s="130">
        <f t="shared" si="8"/>
        <v>3512.938205183495</v>
      </c>
    </row>
    <row r="74" spans="1:5" x14ac:dyDescent="0.25">
      <c r="A74" s="125">
        <f t="shared" si="9"/>
        <v>43770</v>
      </c>
      <c r="B74" s="113">
        <v>4.2999999999999997E-2</v>
      </c>
      <c r="C74" s="129">
        <v>3610.36</v>
      </c>
      <c r="D74" s="113">
        <f t="shared" si="10"/>
        <v>2.9692691622103418E-2</v>
      </c>
      <c r="E74" s="130">
        <f t="shared" si="8"/>
        <v>3663.9945480063852</v>
      </c>
    </row>
    <row r="75" spans="1:5" x14ac:dyDescent="0.25">
      <c r="A75" s="125">
        <f t="shared" si="9"/>
        <v>43800</v>
      </c>
      <c r="B75" s="113">
        <v>3.7000000000000005E-2</v>
      </c>
      <c r="C75" s="129">
        <v>3784.74</v>
      </c>
      <c r="D75" s="113">
        <f t="shared" si="10"/>
        <v>4.8299892531492583E-2</v>
      </c>
      <c r="E75" s="130">
        <f t="shared" si="8"/>
        <v>3799.5623462826211</v>
      </c>
    </row>
    <row r="76" spans="1:5" x14ac:dyDescent="0.25">
      <c r="A76" s="125">
        <f t="shared" si="9"/>
        <v>43831</v>
      </c>
      <c r="B76" s="113">
        <v>2.3E-2</v>
      </c>
      <c r="C76" s="129">
        <v>3968.36</v>
      </c>
      <c r="D76" s="113">
        <f t="shared" si="10"/>
        <v>4.8515882200626859E-2</v>
      </c>
      <c r="E76" s="130">
        <f t="shared" si="8"/>
        <v>3886.9522802471211</v>
      </c>
    </row>
    <row r="77" spans="1:5" x14ac:dyDescent="0.25">
      <c r="A77" s="125">
        <f t="shared" si="9"/>
        <v>43862</v>
      </c>
      <c r="B77" s="113">
        <v>0.02</v>
      </c>
      <c r="C77" s="129">
        <v>4089.1</v>
      </c>
      <c r="D77" s="113">
        <f t="shared" si="10"/>
        <v>3.0425667026177106E-2</v>
      </c>
      <c r="E77" s="130">
        <f t="shared" si="8"/>
        <v>3964.6913258520635</v>
      </c>
    </row>
    <row r="78" spans="1:5" x14ac:dyDescent="0.25">
      <c r="A78" s="125">
        <f t="shared" si="9"/>
        <v>43891</v>
      </c>
      <c r="B78" s="113">
        <v>3.3000000000000002E-2</v>
      </c>
      <c r="C78" s="129">
        <v>4200.6899999999996</v>
      </c>
      <c r="D78" s="113">
        <f t="shared" si="10"/>
        <v>2.7289623633562243E-2</v>
      </c>
      <c r="E78" s="130">
        <f t="shared" si="8"/>
        <v>4095.5261396051815</v>
      </c>
    </row>
    <row r="79" spans="1:5" x14ac:dyDescent="0.25">
      <c r="A79" s="125">
        <f t="shared" si="9"/>
        <v>43922</v>
      </c>
      <c r="B79" s="113">
        <v>1.4999999999999999E-2</v>
      </c>
      <c r="C79" s="129">
        <v>4316.58</v>
      </c>
      <c r="D79" s="113">
        <f t="shared" si="10"/>
        <v>2.7588324775215556E-2</v>
      </c>
      <c r="E79" s="130">
        <f t="shared" si="8"/>
        <v>4156.959031699259</v>
      </c>
    </row>
    <row r="80" spans="1:5" x14ac:dyDescent="0.25">
      <c r="A80" s="125">
        <f t="shared" si="9"/>
        <v>43952</v>
      </c>
      <c r="B80" s="113">
        <v>1.4999999999999999E-2</v>
      </c>
      <c r="C80" s="129">
        <v>4401.0600000000004</v>
      </c>
      <c r="D80" s="113">
        <f t="shared" si="10"/>
        <v>1.9571049302920418E-2</v>
      </c>
      <c r="E80" s="130">
        <f t="shared" si="8"/>
        <v>4219.3134171747479</v>
      </c>
    </row>
    <row r="81" spans="1:5" x14ac:dyDescent="0.25">
      <c r="A81" s="125">
        <f t="shared" si="9"/>
        <v>43983</v>
      </c>
      <c r="B81" s="113">
        <v>2.2000000000000002E-2</v>
      </c>
      <c r="C81" s="129">
        <v>4461.5600000000004</v>
      </c>
      <c r="D81" s="113">
        <f t="shared" si="10"/>
        <v>1.3746688297819221E-2</v>
      </c>
      <c r="E81" s="130">
        <f t="shared" si="8"/>
        <v>4312.138312352592</v>
      </c>
    </row>
    <row r="82" spans="1:5" x14ac:dyDescent="0.25">
      <c r="A82" s="125">
        <f t="shared" si="9"/>
        <v>44013</v>
      </c>
      <c r="B82" s="113">
        <v>1.9E-2</v>
      </c>
      <c r="C82" s="129">
        <v>4533.16</v>
      </c>
      <c r="D82" s="113">
        <f t="shared" si="10"/>
        <v>1.604819838800764E-2</v>
      </c>
      <c r="E82" s="130">
        <f t="shared" si="8"/>
        <v>4394.0689402872913</v>
      </c>
    </row>
    <row r="83" spans="1:5" x14ac:dyDescent="0.25">
      <c r="A83" s="125">
        <f t="shared" si="9"/>
        <v>44044</v>
      </c>
      <c r="B83" s="113">
        <v>2.7000000000000003E-2</v>
      </c>
      <c r="C83" s="129">
        <v>4641.9399999999996</v>
      </c>
      <c r="D83" s="113">
        <f t="shared" si="10"/>
        <v>2.3996505748749231E-2</v>
      </c>
      <c r="E83" s="130">
        <f t="shared" si="8"/>
        <v>4512.7088016750477</v>
      </c>
    </row>
    <row r="84" spans="1:5" x14ac:dyDescent="0.25">
      <c r="A84" s="125">
        <f t="shared" si="9"/>
        <v>44075</v>
      </c>
      <c r="B84" s="113">
        <v>2.7999999999999997E-2</v>
      </c>
      <c r="C84" s="129">
        <v>4782.91</v>
      </c>
      <c r="D84" s="113">
        <f t="shared" si="10"/>
        <v>3.0368768230524257E-2</v>
      </c>
      <c r="E84" s="130">
        <f t="shared" si="8"/>
        <v>4639.0646481219492</v>
      </c>
    </row>
    <row r="85" spans="1:5" x14ac:dyDescent="0.25">
      <c r="A85" s="125">
        <f t="shared" si="9"/>
        <v>44105</v>
      </c>
      <c r="B85" s="113">
        <v>3.7999999999999999E-2</v>
      </c>
      <c r="C85" s="129">
        <v>4929.68</v>
      </c>
      <c r="D85" s="113">
        <f t="shared" si="10"/>
        <v>3.0686339487885128E-2</v>
      </c>
      <c r="E85" s="130">
        <f t="shared" si="8"/>
        <v>4815.3491047505831</v>
      </c>
    </row>
    <row r="86" spans="1:5" x14ac:dyDescent="0.25">
      <c r="A86" s="125">
        <f t="shared" si="9"/>
        <v>44136</v>
      </c>
      <c r="B86" s="113">
        <v>3.2000000000000001E-2</v>
      </c>
      <c r="C86" s="129">
        <v>5104.74</v>
      </c>
      <c r="D86" s="113">
        <f t="shared" si="10"/>
        <v>3.5511432790769293E-2</v>
      </c>
      <c r="E86" s="130">
        <f t="shared" si="8"/>
        <v>4969.4402761026022</v>
      </c>
    </row>
    <row r="87" spans="1:5" x14ac:dyDescent="0.25">
      <c r="A87" s="125">
        <f t="shared" si="9"/>
        <v>44166</v>
      </c>
      <c r="B87" s="113">
        <v>0.04</v>
      </c>
      <c r="C87" s="129">
        <v>5293.17</v>
      </c>
      <c r="D87" s="113">
        <f t="shared" si="10"/>
        <v>3.6912751677852462E-2</v>
      </c>
      <c r="E87" s="130">
        <f t="shared" si="8"/>
        <v>5168.2178871467067</v>
      </c>
    </row>
    <row r="88" spans="1:5" x14ac:dyDescent="0.25">
      <c r="A88" s="125">
        <f t="shared" si="9"/>
        <v>44197</v>
      </c>
      <c r="B88" s="113">
        <v>0.04</v>
      </c>
      <c r="C88" s="129">
        <v>5626.28</v>
      </c>
      <c r="D88" s="113">
        <f t="shared" si="10"/>
        <v>6.2932042613405459E-2</v>
      </c>
      <c r="E88" s="130">
        <f t="shared" si="8"/>
        <v>5374.9466026325754</v>
      </c>
    </row>
    <row r="89" spans="1:5" x14ac:dyDescent="0.25">
      <c r="A89" s="125">
        <f t="shared" si="9"/>
        <v>44228</v>
      </c>
      <c r="B89" s="113">
        <v>3.6000000000000004E-2</v>
      </c>
      <c r="C89" s="129">
        <v>5907.94</v>
      </c>
      <c r="D89" s="113">
        <f t="shared" si="10"/>
        <v>5.0061497117100506E-2</v>
      </c>
      <c r="E89" s="130">
        <f t="shared" si="8"/>
        <v>5568.4446803273486</v>
      </c>
    </row>
    <row r="90" spans="1:5" x14ac:dyDescent="0.25">
      <c r="A90" s="125">
        <f t="shared" si="9"/>
        <v>44256</v>
      </c>
      <c r="B90" s="113">
        <v>4.8000000000000001E-2</v>
      </c>
      <c r="C90" s="129">
        <v>6123.9</v>
      </c>
      <c r="D90" s="113">
        <f t="shared" si="10"/>
        <v>3.6554196555821594E-2</v>
      </c>
      <c r="E90" s="130">
        <f t="shared" si="8"/>
        <v>5835.7300249830614</v>
      </c>
    </row>
    <row r="91" spans="1:5" x14ac:dyDescent="0.25">
      <c r="A91" s="125">
        <f t="shared" si="9"/>
        <v>44287</v>
      </c>
      <c r="B91" s="113">
        <v>4.0999999999999995E-2</v>
      </c>
      <c r="C91" s="129">
        <v>6361.08</v>
      </c>
      <c r="D91" s="113">
        <f t="shared" si="10"/>
        <v>3.8730220937637894E-2</v>
      </c>
      <c r="E91" s="130">
        <f t="shared" si="8"/>
        <v>6074.9949560073665</v>
      </c>
    </row>
    <row r="92" spans="1:5" x14ac:dyDescent="0.25">
      <c r="A92" s="125">
        <f t="shared" si="9"/>
        <v>44317</v>
      </c>
      <c r="B92" s="113">
        <v>3.3000000000000002E-2</v>
      </c>
      <c r="C92" s="129">
        <v>6615</v>
      </c>
      <c r="D92" s="113">
        <f t="shared" si="10"/>
        <v>3.9917749816068993E-2</v>
      </c>
      <c r="E92" s="130">
        <f t="shared" si="8"/>
        <v>6275.4697895556092</v>
      </c>
    </row>
    <row r="93" spans="1:5" x14ac:dyDescent="0.25">
      <c r="A93" s="125">
        <f t="shared" si="9"/>
        <v>44348</v>
      </c>
      <c r="B93" s="113">
        <v>3.2000000000000001E-2</v>
      </c>
      <c r="C93" s="129">
        <v>6834.62</v>
      </c>
      <c r="D93" s="113">
        <f t="shared" si="10"/>
        <v>3.3200302343159516E-2</v>
      </c>
      <c r="E93" s="130">
        <f t="shared" si="8"/>
        <v>6476.2848228213888</v>
      </c>
    </row>
    <row r="94" spans="1:5" x14ac:dyDescent="0.25">
      <c r="A94" s="125">
        <f t="shared" si="9"/>
        <v>44378</v>
      </c>
      <c r="B94" s="113">
        <v>0.03</v>
      </c>
      <c r="C94" s="129">
        <v>7065.63</v>
      </c>
      <c r="D94" s="113">
        <f t="shared" si="10"/>
        <v>3.3799977175029472E-2</v>
      </c>
      <c r="E94" s="130">
        <f t="shared" si="8"/>
        <v>6670.573367506031</v>
      </c>
    </row>
    <row r="95" spans="1:5" x14ac:dyDescent="0.25">
      <c r="A95" s="125">
        <f t="shared" si="9"/>
        <v>44409</v>
      </c>
      <c r="B95" s="113">
        <v>2.5000000000000001E-2</v>
      </c>
      <c r="C95" s="129">
        <v>7245.04</v>
      </c>
      <c r="D95" s="113">
        <f t="shared" si="10"/>
        <v>2.5391932495757663E-2</v>
      </c>
      <c r="E95" s="130">
        <f t="shared" si="8"/>
        <v>6837.3377016936811</v>
      </c>
    </row>
    <row r="96" spans="1:5" x14ac:dyDescent="0.25">
      <c r="A96" s="125">
        <f t="shared" si="9"/>
        <v>44440</v>
      </c>
      <c r="B96" s="113">
        <v>3.5000000000000003E-2</v>
      </c>
      <c r="C96" s="129">
        <v>7433.88</v>
      </c>
      <c r="D96" s="113">
        <f t="shared" si="10"/>
        <v>2.6064728421099082E-2</v>
      </c>
      <c r="E96" s="130">
        <f t="shared" si="8"/>
        <v>7076.6445212529597</v>
      </c>
    </row>
    <row r="97" spans="1:5" x14ac:dyDescent="0.25">
      <c r="A97" s="125">
        <f t="shared" si="9"/>
        <v>44470</v>
      </c>
      <c r="B97" s="113">
        <v>3.5000000000000003E-2</v>
      </c>
      <c r="C97" s="129">
        <v>7648.23</v>
      </c>
      <c r="D97" s="113">
        <f t="shared" si="10"/>
        <v>2.8834202327721048E-2</v>
      </c>
      <c r="E97" s="130">
        <f t="shared" si="8"/>
        <v>7324.327079496813</v>
      </c>
    </row>
    <row r="98" spans="1:5" x14ac:dyDescent="0.25">
      <c r="A98" s="125">
        <f t="shared" si="9"/>
        <v>44501</v>
      </c>
      <c r="B98" s="113">
        <v>2.5000000000000001E-2</v>
      </c>
      <c r="C98" s="129">
        <v>7865.47</v>
      </c>
      <c r="D98" s="113">
        <f t="shared" si="10"/>
        <v>2.8403957516968115E-2</v>
      </c>
      <c r="E98" s="130">
        <f t="shared" si="8"/>
        <v>7507.4352564842329</v>
      </c>
    </row>
    <row r="99" spans="1:5" x14ac:dyDescent="0.25">
      <c r="A99" s="125">
        <f t="shared" si="9"/>
        <v>44531</v>
      </c>
      <c r="B99" s="113">
        <v>3.7999999999999999E-2</v>
      </c>
      <c r="C99" s="129">
        <v>8110.64</v>
      </c>
      <c r="D99" s="113">
        <f t="shared" si="10"/>
        <v>3.1170419568061325E-2</v>
      </c>
      <c r="E99" s="130">
        <f t="shared" si="8"/>
        <v>7792.7177962306341</v>
      </c>
    </row>
    <row r="100" spans="1:5" x14ac:dyDescent="0.25">
      <c r="A100" s="125">
        <f t="shared" si="9"/>
        <v>44562</v>
      </c>
      <c r="B100" s="113">
        <v>3.9E-2</v>
      </c>
      <c r="C100" s="129">
        <v>8480.7000000000007</v>
      </c>
      <c r="D100" s="113">
        <f t="shared" si="10"/>
        <v>4.5626485702731312E-2</v>
      </c>
      <c r="E100" s="130">
        <f t="shared" si="8"/>
        <v>8096.6337902836285</v>
      </c>
    </row>
    <row r="101" spans="1:5" x14ac:dyDescent="0.25">
      <c r="A101" s="125">
        <f t="shared" si="9"/>
        <v>44593</v>
      </c>
      <c r="B101" s="113">
        <v>4.7E-2</v>
      </c>
      <c r="C101" s="129">
        <v>8808.77</v>
      </c>
      <c r="D101" s="113">
        <f t="shared" si="10"/>
        <v>3.8684306719964034E-2</v>
      </c>
      <c r="E101" s="130">
        <f t="shared" si="8"/>
        <v>8477.175578426959</v>
      </c>
    </row>
    <row r="102" spans="1:5" x14ac:dyDescent="0.25">
      <c r="A102" s="125">
        <f t="shared" si="9"/>
        <v>44621</v>
      </c>
      <c r="B102" s="113">
        <v>6.7000000000000004E-2</v>
      </c>
      <c r="C102" s="129">
        <v>9327.8799999999992</v>
      </c>
      <c r="D102" s="113">
        <f t="shared" si="10"/>
        <v>5.8931042585968152E-2</v>
      </c>
      <c r="E102" s="130">
        <f t="shared" si="8"/>
        <v>9045.1463421815643</v>
      </c>
    </row>
    <row r="103" spans="1:5" x14ac:dyDescent="0.25">
      <c r="A103" s="125">
        <f t="shared" si="9"/>
        <v>44652</v>
      </c>
      <c r="B103" s="113">
        <v>0.06</v>
      </c>
      <c r="C103" s="129">
        <v>9962.61</v>
      </c>
      <c r="D103" s="113">
        <f t="shared" si="10"/>
        <v>6.8046544338049131E-2</v>
      </c>
      <c r="E103" s="130">
        <f t="shared" si="8"/>
        <v>9587.855122712459</v>
      </c>
    </row>
    <row r="104" spans="1:5" x14ac:dyDescent="0.25">
      <c r="A104" s="125">
        <f t="shared" si="9"/>
        <v>44682</v>
      </c>
      <c r="B104" s="113">
        <v>5.0999999999999997E-2</v>
      </c>
      <c r="C104" s="129">
        <v>10472.040000000001</v>
      </c>
      <c r="D104" s="113">
        <f t="shared" si="10"/>
        <v>5.1134190739173802E-2</v>
      </c>
      <c r="E104" s="130">
        <f t="shared" si="8"/>
        <v>10076.835733970795</v>
      </c>
    </row>
    <row r="105" spans="1:5" x14ac:dyDescent="0.25">
      <c r="A105" s="125">
        <f t="shared" si="9"/>
        <v>44713</v>
      </c>
      <c r="B105" s="113">
        <v>5.2999999999999999E-2</v>
      </c>
      <c r="C105" s="129">
        <v>11054.95</v>
      </c>
      <c r="D105" s="113">
        <f t="shared" si="10"/>
        <v>5.5663461942467629E-2</v>
      </c>
      <c r="E105" s="130">
        <f t="shared" ref="E105:E132" si="11">+E104*(1+B105)</f>
        <v>10610.908027871246</v>
      </c>
    </row>
    <row r="106" spans="1:5" x14ac:dyDescent="0.25">
      <c r="A106" s="125">
        <f t="shared" ref="A106:A132" si="12">+EDATE(A105,1)</f>
        <v>44743</v>
      </c>
      <c r="B106" s="113">
        <v>7.400000000000001E-2</v>
      </c>
      <c r="C106" s="129">
        <v>11531.78</v>
      </c>
      <c r="D106" s="113">
        <f t="shared" si="10"/>
        <v>4.3132714304451758E-2</v>
      </c>
      <c r="E106" s="130">
        <f t="shared" si="11"/>
        <v>11396.11522193372</v>
      </c>
    </row>
    <row r="107" spans="1:5" x14ac:dyDescent="0.25">
      <c r="A107" s="125">
        <f t="shared" si="12"/>
        <v>44774</v>
      </c>
      <c r="B107" s="113">
        <v>7.0000000000000007E-2</v>
      </c>
      <c r="C107" s="129">
        <v>12323.61</v>
      </c>
      <c r="D107" s="113">
        <f t="shared" si="10"/>
        <v>6.8665028295718411E-2</v>
      </c>
      <c r="E107" s="130">
        <f t="shared" si="11"/>
        <v>12193.843287469081</v>
      </c>
    </row>
    <row r="108" spans="1:5" x14ac:dyDescent="0.25">
      <c r="A108" s="125">
        <f t="shared" si="12"/>
        <v>44805</v>
      </c>
      <c r="B108" s="113">
        <v>6.2E-2</v>
      </c>
      <c r="C108" s="129">
        <v>13207.47</v>
      </c>
      <c r="D108" s="113">
        <f t="shared" si="10"/>
        <v>7.1720867505544073E-2</v>
      </c>
      <c r="E108" s="130">
        <f t="shared" si="11"/>
        <v>12949.861571292164</v>
      </c>
    </row>
    <row r="109" spans="1:5" x14ac:dyDescent="0.25">
      <c r="A109" s="125">
        <f t="shared" si="12"/>
        <v>44835</v>
      </c>
      <c r="B109" s="113">
        <v>6.3E-2</v>
      </c>
      <c r="C109" s="129">
        <v>14057.96</v>
      </c>
      <c r="D109" s="113">
        <f t="shared" si="10"/>
        <v>6.4394619105702988E-2</v>
      </c>
      <c r="E109" s="130">
        <f t="shared" si="11"/>
        <v>13765.702850283569</v>
      </c>
    </row>
    <row r="110" spans="1:5" x14ac:dyDescent="0.25">
      <c r="A110" s="125">
        <f t="shared" si="12"/>
        <v>44866</v>
      </c>
      <c r="B110" s="113">
        <v>4.9000000000000002E-2</v>
      </c>
      <c r="C110" s="129">
        <v>14826.58</v>
      </c>
      <c r="D110" s="113">
        <f t="shared" si="10"/>
        <v>5.4675073766037308E-2</v>
      </c>
      <c r="E110" s="130">
        <f t="shared" si="11"/>
        <v>14440.222289947464</v>
      </c>
    </row>
    <row r="111" spans="1:5" x14ac:dyDescent="0.25">
      <c r="A111" s="125">
        <f t="shared" si="12"/>
        <v>44896</v>
      </c>
      <c r="B111" s="113">
        <v>5.0999999999999997E-2</v>
      </c>
      <c r="C111" s="129">
        <v>15585.2</v>
      </c>
      <c r="D111" s="113">
        <f t="shared" si="10"/>
        <v>5.1166216349286309E-2</v>
      </c>
      <c r="E111" s="130">
        <f t="shared" si="11"/>
        <v>15176.673626734784</v>
      </c>
    </row>
    <row r="112" spans="1:5" x14ac:dyDescent="0.25">
      <c r="A112" s="125">
        <f t="shared" si="12"/>
        <v>44927</v>
      </c>
      <c r="B112" s="113">
        <v>0.06</v>
      </c>
      <c r="C112" s="129">
        <v>16324.7</v>
      </c>
      <c r="D112" s="113">
        <f t="shared" si="10"/>
        <v>4.7448861740625681E-2</v>
      </c>
      <c r="E112" s="130">
        <f t="shared" si="11"/>
        <v>16087.274044338872</v>
      </c>
    </row>
    <row r="113" spans="1:5" x14ac:dyDescent="0.25">
      <c r="A113" s="125">
        <f t="shared" si="12"/>
        <v>44958</v>
      </c>
      <c r="B113" s="113">
        <v>6.6000000000000003E-2</v>
      </c>
      <c r="C113" s="129">
        <v>17243.86</v>
      </c>
      <c r="D113" s="113">
        <f t="shared" si="10"/>
        <v>5.630486318278427E-2</v>
      </c>
      <c r="E113" s="130">
        <f t="shared" si="11"/>
        <v>17149.034131265238</v>
      </c>
    </row>
    <row r="114" spans="1:5" x14ac:dyDescent="0.25">
      <c r="A114" s="125">
        <f t="shared" si="12"/>
        <v>44986</v>
      </c>
      <c r="B114" s="113">
        <v>7.6999999999999999E-2</v>
      </c>
      <c r="C114" s="129">
        <v>18772.650000000001</v>
      </c>
      <c r="D114" s="113">
        <f t="shared" si="10"/>
        <v>8.8657064021628651E-2</v>
      </c>
      <c r="E114" s="130">
        <f t="shared" si="11"/>
        <v>18469.50975937266</v>
      </c>
    </row>
    <row r="115" spans="1:5" x14ac:dyDescent="0.25">
      <c r="A115" s="125">
        <f t="shared" si="12"/>
        <v>45017</v>
      </c>
      <c r="B115" s="113">
        <v>8.4000000000000005E-2</v>
      </c>
      <c r="C115" s="129">
        <v>20072.27</v>
      </c>
      <c r="D115" s="113">
        <f t="shared" si="10"/>
        <v>6.9229437506159064E-2</v>
      </c>
      <c r="E115" s="130">
        <f t="shared" si="11"/>
        <v>20020.948579159965</v>
      </c>
    </row>
    <row r="116" spans="1:5" x14ac:dyDescent="0.25">
      <c r="A116" s="125">
        <f t="shared" si="12"/>
        <v>45047</v>
      </c>
      <c r="B116" s="113">
        <v>7.8E-2</v>
      </c>
      <c r="C116" s="129">
        <v>21489.61</v>
      </c>
      <c r="D116" s="113">
        <f t="shared" si="10"/>
        <v>7.0611844101339916E-2</v>
      </c>
      <c r="E116" s="130">
        <f t="shared" si="11"/>
        <v>21582.582568334445</v>
      </c>
    </row>
    <row r="117" spans="1:5" x14ac:dyDescent="0.25">
      <c r="A117" s="125">
        <f t="shared" si="12"/>
        <v>45078</v>
      </c>
      <c r="B117" s="113">
        <v>0.06</v>
      </c>
      <c r="C117" s="129">
        <v>22820.29</v>
      </c>
      <c r="D117" s="113">
        <f t="shared" si="10"/>
        <v>6.1922017198078549E-2</v>
      </c>
      <c r="E117" s="130">
        <f t="shared" si="11"/>
        <v>22877.537522434512</v>
      </c>
    </row>
    <row r="118" spans="1:5" x14ac:dyDescent="0.25">
      <c r="A118" s="125">
        <f t="shared" si="12"/>
        <v>45108</v>
      </c>
      <c r="B118" s="113">
        <v>6.3E-2</v>
      </c>
      <c r="C118" s="129">
        <v>25316.84</v>
      </c>
      <c r="D118" s="113">
        <f t="shared" si="10"/>
        <v>0.10940045021338474</v>
      </c>
      <c r="E118" s="130">
        <f t="shared" si="11"/>
        <v>24318.822386347885</v>
      </c>
    </row>
    <row r="119" spans="1:5" x14ac:dyDescent="0.25">
      <c r="A119" s="125">
        <f t="shared" si="12"/>
        <v>45139</v>
      </c>
      <c r="B119" s="113">
        <v>0.124</v>
      </c>
      <c r="C119" s="129">
        <v>29093.99</v>
      </c>
      <c r="D119" s="113">
        <f t="shared" si="10"/>
        <v>0.14919516021746793</v>
      </c>
      <c r="E119" s="130">
        <f t="shared" si="11"/>
        <v>27334.356362255025</v>
      </c>
    </row>
    <row r="120" spans="1:5" x14ac:dyDescent="0.25">
      <c r="A120" s="125">
        <f t="shared" si="12"/>
        <v>45170</v>
      </c>
      <c r="B120" s="113">
        <v>0.127</v>
      </c>
      <c r="C120" s="129">
        <v>33432.33</v>
      </c>
      <c r="D120" s="113">
        <f t="shared" si="10"/>
        <v>0.14911464532709329</v>
      </c>
      <c r="E120" s="130">
        <f t="shared" si="11"/>
        <v>30805.819620261413</v>
      </c>
    </row>
    <row r="121" spans="1:5" x14ac:dyDescent="0.25">
      <c r="A121" s="125">
        <f t="shared" si="12"/>
        <v>45200</v>
      </c>
      <c r="B121" s="113">
        <v>8.3000000000000004E-2</v>
      </c>
      <c r="D121" s="113">
        <f t="shared" si="10"/>
        <v>-1</v>
      </c>
      <c r="E121" s="130">
        <f t="shared" si="11"/>
        <v>33362.702648743107</v>
      </c>
    </row>
    <row r="122" spans="1:5" x14ac:dyDescent="0.25">
      <c r="A122" s="125">
        <f t="shared" si="12"/>
        <v>45231</v>
      </c>
      <c r="B122" s="113">
        <v>0.128</v>
      </c>
      <c r="D122" s="113" t="e">
        <f t="shared" si="10"/>
        <v>#DIV/0!</v>
      </c>
      <c r="E122" s="130">
        <f t="shared" si="11"/>
        <v>37633.12858778223</v>
      </c>
    </row>
    <row r="123" spans="1:5" x14ac:dyDescent="0.25">
      <c r="A123" s="125">
        <f t="shared" si="12"/>
        <v>45261</v>
      </c>
      <c r="B123" s="113">
        <v>0.255</v>
      </c>
      <c r="D123" s="113" t="e">
        <f t="shared" si="10"/>
        <v>#DIV/0!</v>
      </c>
      <c r="E123" s="130">
        <f t="shared" si="11"/>
        <v>47229.576377666694</v>
      </c>
    </row>
    <row r="124" spans="1:5" x14ac:dyDescent="0.25">
      <c r="A124" s="125">
        <f t="shared" si="12"/>
        <v>45292</v>
      </c>
      <c r="B124" s="113">
        <v>0.20600000000000002</v>
      </c>
      <c r="E124" s="130">
        <f t="shared" si="11"/>
        <v>56958.869111466032</v>
      </c>
    </row>
    <row r="125" spans="1:5" x14ac:dyDescent="0.25">
      <c r="A125" s="125">
        <f t="shared" si="12"/>
        <v>45323</v>
      </c>
      <c r="B125" s="113">
        <v>0.13200000000000001</v>
      </c>
      <c r="E125" s="130">
        <f t="shared" si="11"/>
        <v>64477.439834179553</v>
      </c>
    </row>
    <row r="126" spans="1:5" x14ac:dyDescent="0.25">
      <c r="A126" s="125">
        <f t="shared" si="12"/>
        <v>45352</v>
      </c>
      <c r="B126" s="113">
        <v>0.11</v>
      </c>
      <c r="E126" s="130">
        <f t="shared" si="11"/>
        <v>71569.958215939303</v>
      </c>
    </row>
    <row r="127" spans="1:5" x14ac:dyDescent="0.25">
      <c r="A127" s="125">
        <f t="shared" si="12"/>
        <v>45383</v>
      </c>
      <c r="B127" s="113">
        <v>8.8000000000000009E-2</v>
      </c>
      <c r="E127" s="130">
        <f t="shared" si="11"/>
        <v>77868.114538941969</v>
      </c>
    </row>
    <row r="128" spans="1:5" x14ac:dyDescent="0.25">
      <c r="A128" s="125">
        <f t="shared" si="12"/>
        <v>45413</v>
      </c>
      <c r="B128" s="113">
        <v>4.2000000000000003E-2</v>
      </c>
      <c r="E128" s="130">
        <f t="shared" si="11"/>
        <v>81138.575349577528</v>
      </c>
    </row>
    <row r="129" spans="1:5" x14ac:dyDescent="0.25">
      <c r="A129" s="125">
        <f t="shared" si="12"/>
        <v>45444</v>
      </c>
      <c r="B129" s="113">
        <v>4.5999999999999999E-2</v>
      </c>
      <c r="E129" s="130">
        <f t="shared" si="11"/>
        <v>84870.949815658096</v>
      </c>
    </row>
    <row r="130" spans="1:5" x14ac:dyDescent="0.25">
      <c r="A130" s="125">
        <f t="shared" si="12"/>
        <v>45474</v>
      </c>
      <c r="B130" s="113">
        <v>0.04</v>
      </c>
      <c r="E130" s="130">
        <f t="shared" si="11"/>
        <v>88265.787808284425</v>
      </c>
    </row>
    <row r="131" spans="1:5" x14ac:dyDescent="0.25">
      <c r="A131" s="125">
        <f t="shared" si="12"/>
        <v>45505</v>
      </c>
      <c r="B131" s="113">
        <v>4.2000000000000003E-2</v>
      </c>
      <c r="E131" s="130">
        <f t="shared" si="11"/>
        <v>91972.950896232374</v>
      </c>
    </row>
    <row r="132" spans="1:5" x14ac:dyDescent="0.25">
      <c r="A132" s="125">
        <f t="shared" si="12"/>
        <v>45536</v>
      </c>
      <c r="B132" s="113">
        <v>3.5000000000000003E-2</v>
      </c>
      <c r="E132" s="130">
        <f t="shared" si="11"/>
        <v>95192.004177600495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39997558519241921"/>
  </sheetPr>
  <dimension ref="A1:AO17"/>
  <sheetViews>
    <sheetView workbookViewId="0">
      <pane xSplit="1" ySplit="2" topLeftCell="X3" activePane="bottomRight" state="frozen"/>
      <selection activeCell="P45" sqref="P3:P45"/>
      <selection pane="topRight" activeCell="P45" sqref="P3:P45"/>
      <selection pane="bottomLeft" activeCell="P45" sqref="P3:P45"/>
      <selection pane="bottomRight" activeCell="P45" sqref="P3:P45"/>
    </sheetView>
  </sheetViews>
  <sheetFormatPr baseColWidth="10" defaultRowHeight="15" x14ac:dyDescent="0.25"/>
  <sheetData>
    <row r="1" spans="1:41" x14ac:dyDescent="0.25">
      <c r="A1" t="s">
        <v>193</v>
      </c>
    </row>
    <row r="2" spans="1:41" x14ac:dyDescent="0.25">
      <c r="B2" s="37">
        <v>41729</v>
      </c>
      <c r="C2" s="37">
        <v>41820</v>
      </c>
      <c r="D2" s="37">
        <v>41912</v>
      </c>
      <c r="E2" s="37">
        <v>42004</v>
      </c>
      <c r="F2" s="37">
        <v>42094</v>
      </c>
      <c r="G2" s="37">
        <v>42185</v>
      </c>
      <c r="H2" s="37">
        <v>42277</v>
      </c>
      <c r="I2" s="37">
        <v>42369</v>
      </c>
      <c r="J2" s="37">
        <v>42460</v>
      </c>
      <c r="K2" s="37">
        <v>42551</v>
      </c>
      <c r="L2" s="37">
        <v>42643</v>
      </c>
      <c r="M2" s="37">
        <v>42735</v>
      </c>
      <c r="N2" s="37">
        <v>42825</v>
      </c>
      <c r="O2" s="37">
        <v>42916</v>
      </c>
      <c r="P2" s="37">
        <v>43008</v>
      </c>
      <c r="Q2" s="37">
        <v>43100</v>
      </c>
      <c r="R2" s="37">
        <v>43190</v>
      </c>
      <c r="S2" s="37">
        <v>43281</v>
      </c>
      <c r="T2" s="37">
        <v>43373</v>
      </c>
      <c r="U2" s="37">
        <v>43465</v>
      </c>
      <c r="V2" s="37">
        <v>43555</v>
      </c>
      <c r="W2" s="37">
        <v>43646</v>
      </c>
      <c r="X2" s="37">
        <v>43738</v>
      </c>
      <c r="Y2" s="37">
        <v>43830</v>
      </c>
      <c r="Z2" s="37">
        <v>43921</v>
      </c>
      <c r="AA2" s="37">
        <v>44012</v>
      </c>
      <c r="AB2" s="37">
        <v>44104</v>
      </c>
      <c r="AC2" s="37">
        <v>44196</v>
      </c>
      <c r="AD2" s="37">
        <v>44286</v>
      </c>
      <c r="AE2" s="37">
        <v>44377</v>
      </c>
      <c r="AF2" s="37">
        <v>44469</v>
      </c>
      <c r="AG2" s="37">
        <v>44561</v>
      </c>
      <c r="AH2" s="37">
        <v>44651</v>
      </c>
      <c r="AI2" s="37">
        <v>44742</v>
      </c>
      <c r="AJ2" s="37">
        <v>44834</v>
      </c>
      <c r="AK2" s="37">
        <v>44926</v>
      </c>
      <c r="AL2" s="37">
        <v>45016</v>
      </c>
      <c r="AM2" s="37">
        <v>45107</v>
      </c>
      <c r="AN2" s="37">
        <v>45199</v>
      </c>
      <c r="AO2" s="37">
        <v>45291</v>
      </c>
    </row>
    <row r="3" spans="1:41" x14ac:dyDescent="0.25">
      <c r="A3" t="s">
        <v>191</v>
      </c>
      <c r="B3" s="240">
        <f>+_xlfn.XLOOKUP(B2,'Evolución Deuda Total'!4:4,'Evolución Deuda Total'!7:7)</f>
        <v>9595.7892442100001</v>
      </c>
      <c r="C3" s="240">
        <f>+_xlfn.XLOOKUP(C2,'Evolución Deuda Total'!4:4,'Evolución Deuda Total'!7:7)</f>
        <v>10054.44866702</v>
      </c>
      <c r="D3" s="240">
        <f>+_xlfn.XLOOKUP(D2,'Evolución Deuda Total'!4:4,'Evolución Deuda Total'!7:7)</f>
        <v>10277.67203896</v>
      </c>
      <c r="E3" s="240">
        <f>+_xlfn.XLOOKUP(E2,'Evolución Deuda Total'!4:4,'Evolución Deuda Total'!7:7)</f>
        <v>11311.607368460001</v>
      </c>
      <c r="F3" s="240">
        <f>+_xlfn.XLOOKUP(F2,'Evolución Deuda Total'!4:4,'Evolución Deuda Total'!7:7)</f>
        <v>10243.55921521</v>
      </c>
      <c r="G3" s="240">
        <f>+_xlfn.XLOOKUP(G2,'Evolución Deuda Total'!4:4,'Evolución Deuda Total'!7:7)</f>
        <v>11670.570962289999</v>
      </c>
      <c r="H3" s="240">
        <f>+_xlfn.XLOOKUP(H2,'Evolución Deuda Total'!4:4,'Evolución Deuda Total'!7:7)</f>
        <v>12214.777311260001</v>
      </c>
      <c r="I3" s="240">
        <f>+_xlfn.XLOOKUP(I2,'Evolución Deuda Total'!4:4,'Evolución Deuda Total'!7:7)</f>
        <v>19341.371375745901</v>
      </c>
      <c r="J3" s="240">
        <f>+_xlfn.XLOOKUP(J2,'Evolución Deuda Total'!4:4,'Evolución Deuda Total'!7:7)</f>
        <v>17301.287027842955</v>
      </c>
      <c r="K3" s="240">
        <f>+_xlfn.XLOOKUP(K2,'Evolución Deuda Total'!4:4,'Evolución Deuda Total'!7:7)</f>
        <v>25163.553875407499</v>
      </c>
      <c r="L3" s="240">
        <f>+_xlfn.XLOOKUP(L2,'Evolución Deuda Total'!4:4,'Evolución Deuda Total'!7:7)</f>
        <v>26974.277571758528</v>
      </c>
      <c r="M3" s="240">
        <f>+_xlfn.XLOOKUP(M2,'Evolución Deuda Total'!4:4,'Evolución Deuda Total'!7:7)</f>
        <v>28856.463975405597</v>
      </c>
      <c r="N3" s="240">
        <f>+_xlfn.XLOOKUP(N2,'Evolución Deuda Total'!4:4,'Evolución Deuda Total'!7:7)</f>
        <v>27813.044351214266</v>
      </c>
      <c r="O3" s="240">
        <f>+_xlfn.XLOOKUP(O2,'Evolución Deuda Total'!4:4,'Evolución Deuda Total'!7:7)</f>
        <v>34721.845252353349</v>
      </c>
      <c r="P3" s="240">
        <f>+_xlfn.XLOOKUP(P2,'Evolución Deuda Total'!4:4,'Evolución Deuda Total'!7:7)</f>
        <v>35143.966680540674</v>
      </c>
      <c r="Q3" s="240">
        <f>+_xlfn.XLOOKUP(Q2,'Evolución Deuda Total'!4:4,'Evolución Deuda Total'!7:7)</f>
        <v>36118.107128408214</v>
      </c>
      <c r="R3" s="240">
        <f>+_xlfn.XLOOKUP(R2,'Evolución Deuda Total'!4:4,'Evolución Deuda Total'!7:7)</f>
        <v>38411.005886231746</v>
      </c>
      <c r="S3" s="240">
        <f>+_xlfn.XLOOKUP(S2,'Evolución Deuda Total'!4:4,'Evolución Deuda Total'!7:7)</f>
        <v>45078.167330485368</v>
      </c>
      <c r="T3" s="240">
        <f>+_xlfn.XLOOKUP(T2,'Evolución Deuda Total'!4:4,'Evolución Deuda Total'!7:7)</f>
        <v>52158.216815698863</v>
      </c>
      <c r="U3" s="240">
        <f>+_xlfn.XLOOKUP(U2,'Evolución Deuda Total'!4:4,'Evolución Deuda Total'!7:7)</f>
        <v>53969.19287518537</v>
      </c>
      <c r="V3" s="240">
        <f>+_xlfn.XLOOKUP(V2,'Evolución Deuda Total'!4:4,'Evolución Deuda Total'!7:7)</f>
        <v>57436.301997247203</v>
      </c>
      <c r="W3" s="240">
        <f>+_xlfn.XLOOKUP(W2,'Evolución Deuda Total'!4:4,'Evolución Deuda Total'!7:7)</f>
        <v>61807.524405070901</v>
      </c>
      <c r="X3" s="240">
        <f>+_xlfn.XLOOKUP(X2,'Evolución Deuda Total'!4:4,'Evolución Deuda Total'!7:7)</f>
        <v>74754.60925710127</v>
      </c>
      <c r="Y3" s="240">
        <f>+_xlfn.XLOOKUP(Y2,'Evolución Deuda Total'!4:4,'Evolución Deuda Total'!7:7)</f>
        <v>82512.896920442698</v>
      </c>
      <c r="Z3" s="240">
        <f>+_xlfn.XLOOKUP(Z2,'Evolución Deuda Total'!4:4,'Evolución Deuda Total'!7:7)</f>
        <v>80568.265416958544</v>
      </c>
      <c r="AA3" s="240">
        <f>+_xlfn.XLOOKUP(AA2,'Evolución Deuda Total'!4:4,'Evolución Deuda Total'!7:7)</f>
        <v>88114.501807707595</v>
      </c>
      <c r="AB3" s="240">
        <f>+_xlfn.XLOOKUP(AB2,'Evolución Deuda Total'!4:4,'Evolución Deuda Total'!7:7)</f>
        <v>94876.672754353975</v>
      </c>
      <c r="AC3" s="240">
        <f>+_xlfn.XLOOKUP(AC2,'Evolución Deuda Total'!4:4,'Evolución Deuda Total'!7:7)</f>
        <v>113857.92866559949</v>
      </c>
      <c r="AD3" s="240">
        <f>+_xlfn.XLOOKUP(AD2,'Evolución Deuda Total'!4:4,'Evolución Deuda Total'!7:7)</f>
        <v>110213.2372194096</v>
      </c>
      <c r="AE3" s="240">
        <f>+_xlfn.XLOOKUP(AE2,'Evolución Deuda Total'!4:4,'Evolución Deuda Total'!7:7)</f>
        <v>112324.6814903288</v>
      </c>
      <c r="AF3" s="240">
        <f>+_xlfn.XLOOKUP(AF2,'Evolución Deuda Total'!4:4,'Evolución Deuda Total'!7:7)</f>
        <v>122062.20787198372</v>
      </c>
      <c r="AG3" s="240">
        <f>+_xlfn.XLOOKUP(AG2,'Evolución Deuda Total'!4:4,'Evolución Deuda Total'!7:7)</f>
        <v>144730.96280351933</v>
      </c>
      <c r="AH3" s="240">
        <f>+_xlfn.XLOOKUP(AH2,'Evolución Deuda Total'!4:4,'Evolución Deuda Total'!7:7)</f>
        <v>132286.93370824342</v>
      </c>
      <c r="AI3" s="240">
        <f>+_xlfn.XLOOKUP(AI2,'Evolución Deuda Total'!4:4,'Evolución Deuda Total'!7:7)</f>
        <v>148808.39178993742</v>
      </c>
      <c r="AJ3" s="240">
        <f>+_xlfn.XLOOKUP(AJ2,'Evolución Deuda Total'!4:4,'Evolución Deuda Total'!7:7)</f>
        <v>166947.41691268218</v>
      </c>
      <c r="AK3" s="240">
        <f>+_xlfn.XLOOKUP(AK2,'Evolución Deuda Total'!4:4,'Evolución Deuda Total'!7:7)</f>
        <v>224667.53603237009</v>
      </c>
      <c r="AL3" s="240">
        <f>+_xlfn.XLOOKUP(AL2,'Evolución Deuda Total'!4:4,'Evolución Deuda Total'!7:7)</f>
        <v>200144.47512748229</v>
      </c>
      <c r="AM3" s="240">
        <f>+_xlfn.XLOOKUP(AM2,'Evolución Deuda Total'!4:4,'Evolución Deuda Total'!7:7)</f>
        <v>243974.74979249097</v>
      </c>
      <c r="AN3" s="240">
        <f>+_xlfn.XLOOKUP(AN2,'Evolución Deuda Total'!4:4,'Evolución Deuda Total'!7:7)</f>
        <v>328860.73552911391</v>
      </c>
      <c r="AO3" s="240">
        <f>+_xlfn.XLOOKUP(AO2,'Evolución Deuda Total'!4:4,'Evolución Deuda Total'!7:7)</f>
        <v>624321.19893288298</v>
      </c>
    </row>
    <row r="4" spans="1:41" x14ac:dyDescent="0.25">
      <c r="A4" t="s">
        <v>192</v>
      </c>
      <c r="B4" s="240">
        <v>137930.72822928464</v>
      </c>
      <c r="C4" s="240">
        <v>137930.72822928464</v>
      </c>
      <c r="D4" s="240">
        <v>137930.72822928464</v>
      </c>
      <c r="E4" s="240">
        <v>137930.72822928464</v>
      </c>
      <c r="F4" s="240">
        <v>177739.4681628228</v>
      </c>
      <c r="G4" s="240">
        <v>177739.4681628228</v>
      </c>
      <c r="H4" s="240">
        <v>177739.4681628228</v>
      </c>
      <c r="I4" s="240">
        <v>177739.4681628228</v>
      </c>
      <c r="J4" s="240">
        <v>228365.98829650076</v>
      </c>
      <c r="K4" s="240">
        <v>228365.98829650076</v>
      </c>
      <c r="L4" s="240">
        <v>228365.98829650076</v>
      </c>
      <c r="M4" s="240">
        <v>228365.98829650076</v>
      </c>
      <c r="N4" s="240">
        <v>294453.18848320906</v>
      </c>
      <c r="O4" s="240">
        <v>294453.18848320906</v>
      </c>
      <c r="P4" s="240">
        <v>294453.18848320906</v>
      </c>
      <c r="Q4" s="240">
        <v>294453.18848320906</v>
      </c>
      <c r="R4" s="240">
        <v>417573.08149670227</v>
      </c>
      <c r="S4" s="240">
        <v>417573.08149670227</v>
      </c>
      <c r="T4" s="240">
        <v>417573.08149670227</v>
      </c>
      <c r="U4" s="240">
        <v>417573.08149670227</v>
      </c>
      <c r="V4" s="240">
        <v>600563.86334437726</v>
      </c>
      <c r="W4" s="240">
        <v>600563.86334437726</v>
      </c>
      <c r="X4" s="240">
        <v>600563.86334437726</v>
      </c>
      <c r="Y4" s="240">
        <v>600563.86334437726</v>
      </c>
      <c r="Z4" s="240">
        <v>691024.16193617671</v>
      </c>
      <c r="AA4" s="240">
        <v>691024.16193617671</v>
      </c>
      <c r="AB4" s="240">
        <v>691024.16193617671</v>
      </c>
      <c r="AC4" s="240">
        <v>691024.16193617671</v>
      </c>
      <c r="AD4" s="240">
        <v>1128096.4891850289</v>
      </c>
      <c r="AE4" s="240">
        <v>1128096.4891850289</v>
      </c>
      <c r="AF4" s="240">
        <v>1128096.4891850289</v>
      </c>
      <c r="AG4" s="240">
        <v>1128096.4891850289</v>
      </c>
      <c r="AH4" s="240">
        <v>2157655.548705894</v>
      </c>
      <c r="AI4" s="240">
        <v>2157655.548705894</v>
      </c>
      <c r="AJ4" s="240">
        <v>2157655.548705894</v>
      </c>
      <c r="AK4" s="240">
        <v>2157655.548705894</v>
      </c>
      <c r="AL4" s="240">
        <v>4907227.7954362687</v>
      </c>
      <c r="AM4" s="240">
        <v>4907227.7954362687</v>
      </c>
      <c r="AN4" s="240">
        <v>4907227.7954362687</v>
      </c>
      <c r="AO4" s="240">
        <v>4907227.7954362687</v>
      </c>
    </row>
    <row r="6" spans="1:41" x14ac:dyDescent="0.25">
      <c r="A6" t="s">
        <v>194</v>
      </c>
      <c r="B6" s="113">
        <f>+B3/B4</f>
        <v>6.9569626488586028E-2</v>
      </c>
      <c r="C6" s="113">
        <f t="shared" ref="C6:AO6" si="0">+C3/C4</f>
        <v>7.2894914687221229E-2</v>
      </c>
      <c r="D6" s="113">
        <f t="shared" si="0"/>
        <v>7.4513287727120875E-2</v>
      </c>
      <c r="E6" s="113">
        <f t="shared" si="0"/>
        <v>8.2009335509753284E-2</v>
      </c>
      <c r="F6" s="113">
        <f t="shared" si="0"/>
        <v>5.7632439891325229E-2</v>
      </c>
      <c r="G6" s="113">
        <f t="shared" si="0"/>
        <v>6.5661111079723014E-2</v>
      </c>
      <c r="H6" s="113">
        <f t="shared" si="0"/>
        <v>6.8722931589231165E-2</v>
      </c>
      <c r="I6" s="113">
        <f t="shared" si="0"/>
        <v>0.10881866349474918</v>
      </c>
      <c r="J6" s="113">
        <f t="shared" si="0"/>
        <v>7.5761225026993492E-2</v>
      </c>
      <c r="K6" s="113">
        <f t="shared" si="0"/>
        <v>0.11018958673800497</v>
      </c>
      <c r="L6" s="113">
        <f t="shared" si="0"/>
        <v>0.11811862954275076</v>
      </c>
      <c r="M6" s="113">
        <f t="shared" si="0"/>
        <v>0.12636060295432253</v>
      </c>
      <c r="N6" s="113">
        <f t="shared" si="0"/>
        <v>9.4456590857396272E-2</v>
      </c>
      <c r="O6" s="113">
        <f t="shared" si="0"/>
        <v>0.11791974619535604</v>
      </c>
      <c r="P6" s="113">
        <f t="shared" si="0"/>
        <v>0.11935332356757525</v>
      </c>
      <c r="Q6" s="113">
        <f t="shared" si="0"/>
        <v>0.12266162684282775</v>
      </c>
      <c r="R6" s="113">
        <f t="shared" si="0"/>
        <v>9.1986307519047031E-2</v>
      </c>
      <c r="S6" s="113">
        <f t="shared" si="0"/>
        <v>0.10795276163135857</v>
      </c>
      <c r="T6" s="113">
        <f t="shared" si="0"/>
        <v>0.12490799605364594</v>
      </c>
      <c r="U6" s="113">
        <f t="shared" si="0"/>
        <v>0.12924490410575373</v>
      </c>
      <c r="V6" s="113">
        <f t="shared" si="0"/>
        <v>9.5637292722542469E-2</v>
      </c>
      <c r="W6" s="113">
        <f t="shared" si="0"/>
        <v>0.10291582324131453</v>
      </c>
      <c r="X6" s="113">
        <f t="shared" si="0"/>
        <v>0.12447403818273901</v>
      </c>
      <c r="Y6" s="113">
        <f t="shared" si="0"/>
        <v>0.13739237732512036</v>
      </c>
      <c r="Z6" s="113">
        <f t="shared" si="0"/>
        <v>0.11659254459527837</v>
      </c>
      <c r="AA6" s="113">
        <f t="shared" si="0"/>
        <v>0.12751291005631418</v>
      </c>
      <c r="AB6" s="113">
        <f t="shared" si="0"/>
        <v>0.13729863292843417</v>
      </c>
      <c r="AC6" s="113">
        <f t="shared" si="0"/>
        <v>0.16476692847697483</v>
      </c>
      <c r="AD6" s="113">
        <f t="shared" si="0"/>
        <v>9.7698413456663594E-2</v>
      </c>
      <c r="AE6" s="113">
        <f t="shared" si="0"/>
        <v>9.9570101110300901E-2</v>
      </c>
      <c r="AF6" s="113">
        <f t="shared" si="0"/>
        <v>0.10820192159286406</v>
      </c>
      <c r="AG6" s="113">
        <f t="shared" si="0"/>
        <v>0.12829661663788827</v>
      </c>
      <c r="AH6" s="113">
        <f t="shared" si="0"/>
        <v>6.131049684347703E-2</v>
      </c>
      <c r="AI6" s="113">
        <f t="shared" si="0"/>
        <v>6.8967631037859051E-2</v>
      </c>
      <c r="AJ6" s="113">
        <f t="shared" si="0"/>
        <v>7.7374452568582094E-2</v>
      </c>
      <c r="AK6" s="113">
        <f t="shared" si="0"/>
        <v>0.10412576565667299</v>
      </c>
      <c r="AL6" s="113">
        <f t="shared" si="0"/>
        <v>4.0785649957725018E-2</v>
      </c>
      <c r="AM6" s="113">
        <f t="shared" si="0"/>
        <v>4.971742905829396E-2</v>
      </c>
      <c r="AN6" s="113">
        <f t="shared" si="0"/>
        <v>6.7015583795591277E-2</v>
      </c>
      <c r="AO6" s="113">
        <f t="shared" si="0"/>
        <v>0.12722482529005538</v>
      </c>
    </row>
    <row r="9" spans="1:41" x14ac:dyDescent="0.25">
      <c r="B9" s="240"/>
      <c r="C9" s="240"/>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row>
    <row r="11" spans="1:41" x14ac:dyDescent="0.25">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row>
    <row r="12" spans="1:41" x14ac:dyDescent="0.25">
      <c r="AO12" s="242"/>
    </row>
    <row r="13" spans="1:41" x14ac:dyDescent="0.25">
      <c r="AO13" s="243"/>
    </row>
    <row r="14" spans="1:41" x14ac:dyDescent="0.25">
      <c r="AO14" s="126"/>
    </row>
    <row r="16" spans="1:41" x14ac:dyDescent="0.25">
      <c r="AO16" s="240"/>
    </row>
    <row r="17" spans="41:41" x14ac:dyDescent="0.25">
      <c r="AO17" s="24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BV174"/>
  <sheetViews>
    <sheetView showGridLines="0" topLeftCell="BG141" zoomScale="85" zoomScaleNormal="85" workbookViewId="0">
      <selection activeCell="BO167" sqref="BO167:BO174"/>
    </sheetView>
  </sheetViews>
  <sheetFormatPr baseColWidth="10" defaultRowHeight="15" x14ac:dyDescent="0.25"/>
  <cols>
    <col min="1" max="1" width="20.42578125" bestFit="1" customWidth="1"/>
    <col min="7" max="7" width="20.42578125" bestFit="1" customWidth="1"/>
    <col min="8" max="8" width="11.85546875" bestFit="1" customWidth="1"/>
    <col min="28" max="28" width="20.42578125" bestFit="1" customWidth="1"/>
    <col min="29" max="46" width="18.28515625" customWidth="1"/>
    <col min="47" max="47" width="14.85546875" bestFit="1" customWidth="1"/>
    <col min="49" max="49" width="17.7109375" customWidth="1"/>
    <col min="56" max="56" width="17.7109375" customWidth="1"/>
    <col min="62" max="62" width="14.7109375" customWidth="1"/>
    <col min="66" max="66" width="90.85546875" customWidth="1"/>
  </cols>
  <sheetData>
    <row r="2" spans="1:74" ht="33" customHeight="1" x14ac:dyDescent="0.25">
      <c r="G2" s="277" t="s">
        <v>85</v>
      </c>
      <c r="H2" s="277" t="s">
        <v>86</v>
      </c>
      <c r="I2" s="277"/>
      <c r="J2" s="277"/>
      <c r="K2" s="277" t="s">
        <v>87</v>
      </c>
      <c r="L2" s="277"/>
      <c r="M2" s="277"/>
      <c r="N2" s="277" t="s">
        <v>84</v>
      </c>
      <c r="O2" s="277"/>
      <c r="P2" s="277"/>
      <c r="Q2" s="277" t="s">
        <v>86</v>
      </c>
      <c r="R2" s="277"/>
      <c r="S2" s="277"/>
      <c r="T2" s="277" t="s">
        <v>87</v>
      </c>
      <c r="U2" s="277"/>
      <c r="V2" s="277"/>
      <c r="W2" s="277" t="s">
        <v>84</v>
      </c>
      <c r="X2" s="277"/>
      <c r="Y2" s="277"/>
      <c r="AB2" s="277" t="s">
        <v>93</v>
      </c>
      <c r="AC2" s="48" t="s">
        <v>88</v>
      </c>
      <c r="AD2" s="48" t="s">
        <v>88</v>
      </c>
      <c r="AE2" s="48" t="s">
        <v>88</v>
      </c>
      <c r="AF2" s="48" t="s">
        <v>89</v>
      </c>
      <c r="AG2" s="48" t="s">
        <v>89</v>
      </c>
      <c r="AH2" s="48" t="s">
        <v>89</v>
      </c>
      <c r="AI2" s="48" t="s">
        <v>90</v>
      </c>
      <c r="AJ2" s="48" t="s">
        <v>90</v>
      </c>
      <c r="AK2" s="48" t="s">
        <v>90</v>
      </c>
      <c r="AL2" s="48" t="s">
        <v>91</v>
      </c>
      <c r="AM2" s="48" t="s">
        <v>91</v>
      </c>
      <c r="AN2" s="48" t="s">
        <v>91</v>
      </c>
      <c r="AO2" s="48" t="s">
        <v>92</v>
      </c>
      <c r="AP2" s="48" t="s">
        <v>92</v>
      </c>
      <c r="AQ2" s="48" t="s">
        <v>92</v>
      </c>
      <c r="AR2" s="277" t="s">
        <v>84</v>
      </c>
      <c r="AS2" s="277"/>
      <c r="AT2" s="277"/>
    </row>
    <row r="3" spans="1:74" ht="27" customHeight="1" x14ac:dyDescent="0.25">
      <c r="A3" s="45" t="s">
        <v>83</v>
      </c>
      <c r="B3" s="46" t="s">
        <v>2</v>
      </c>
      <c r="C3" s="46" t="s">
        <v>98</v>
      </c>
      <c r="D3" s="46" t="s">
        <v>41</v>
      </c>
      <c r="G3" s="277"/>
      <c r="H3" s="46" t="s">
        <v>2</v>
      </c>
      <c r="I3" s="46" t="s">
        <v>98</v>
      </c>
      <c r="J3" s="46" t="s">
        <v>41</v>
      </c>
      <c r="K3" s="46" t="s">
        <v>2</v>
      </c>
      <c r="L3" s="46" t="s">
        <v>98</v>
      </c>
      <c r="M3" s="46" t="s">
        <v>41</v>
      </c>
      <c r="N3" s="46" t="s">
        <v>2</v>
      </c>
      <c r="O3" s="46" t="s">
        <v>98</v>
      </c>
      <c r="P3" s="46" t="s">
        <v>41</v>
      </c>
      <c r="Q3" s="46" t="s">
        <v>2</v>
      </c>
      <c r="R3" s="46" t="s">
        <v>98</v>
      </c>
      <c r="S3" s="46" t="s">
        <v>41</v>
      </c>
      <c r="T3" s="46" t="s">
        <v>2</v>
      </c>
      <c r="U3" s="46" t="s">
        <v>98</v>
      </c>
      <c r="V3" s="46" t="s">
        <v>41</v>
      </c>
      <c r="W3" s="46" t="s">
        <v>2</v>
      </c>
      <c r="X3" s="46" t="s">
        <v>98</v>
      </c>
      <c r="Y3" s="46" t="s">
        <v>41</v>
      </c>
      <c r="AB3" s="277"/>
      <c r="AC3" s="46" t="s">
        <v>2</v>
      </c>
      <c r="AD3" s="46" t="s">
        <v>98</v>
      </c>
      <c r="AE3" s="46" t="s">
        <v>41</v>
      </c>
      <c r="AF3" s="46" t="s">
        <v>2</v>
      </c>
      <c r="AG3" s="46" t="s">
        <v>98</v>
      </c>
      <c r="AH3" s="46" t="s">
        <v>41</v>
      </c>
      <c r="AI3" s="46" t="s">
        <v>2</v>
      </c>
      <c r="AJ3" s="46" t="s">
        <v>98</v>
      </c>
      <c r="AK3" s="46" t="s">
        <v>41</v>
      </c>
      <c r="AL3" s="46" t="s">
        <v>2</v>
      </c>
      <c r="AM3" s="46" t="s">
        <v>98</v>
      </c>
      <c r="AN3" s="46" t="s">
        <v>41</v>
      </c>
      <c r="AO3" s="46" t="s">
        <v>2</v>
      </c>
      <c r="AP3" s="46" t="s">
        <v>98</v>
      </c>
      <c r="AQ3" s="46" t="s">
        <v>41</v>
      </c>
      <c r="AR3" s="46" t="s">
        <v>2</v>
      </c>
      <c r="AS3" s="46" t="s">
        <v>98</v>
      </c>
      <c r="AT3" s="46" t="s">
        <v>41</v>
      </c>
      <c r="AW3" s="45" t="s">
        <v>99</v>
      </c>
      <c r="AX3" s="46" t="s">
        <v>2</v>
      </c>
      <c r="AY3" s="46" t="s">
        <v>98</v>
      </c>
      <c r="AZ3" s="46" t="s">
        <v>41</v>
      </c>
      <c r="BA3" s="47" t="s">
        <v>101</v>
      </c>
      <c r="BD3" s="45" t="s">
        <v>102</v>
      </c>
      <c r="BE3" s="46" t="s">
        <v>105</v>
      </c>
      <c r="BF3" s="46" t="s">
        <v>106</v>
      </c>
      <c r="BG3" s="46" t="s">
        <v>107</v>
      </c>
      <c r="BH3" s="46" t="s">
        <v>103</v>
      </c>
      <c r="BI3" s="46" t="s">
        <v>104</v>
      </c>
      <c r="BJ3" s="47" t="s">
        <v>108</v>
      </c>
      <c r="BK3" s="47" t="s">
        <v>101</v>
      </c>
      <c r="BP3" s="200" t="s">
        <v>220</v>
      </c>
      <c r="BT3" s="276" t="s">
        <v>117</v>
      </c>
      <c r="BU3" s="276"/>
      <c r="BV3" s="276"/>
    </row>
    <row r="4" spans="1:74" ht="16.5" x14ac:dyDescent="0.25">
      <c r="A4" s="51">
        <v>2020</v>
      </c>
      <c r="B4" s="131">
        <v>3065.3877530712161</v>
      </c>
      <c r="C4" s="131">
        <v>45.469618353511237</v>
      </c>
      <c r="D4" s="131">
        <v>55.569016177820686</v>
      </c>
      <c r="E4" s="32"/>
      <c r="F4" s="32"/>
      <c r="G4" s="52">
        <v>2020</v>
      </c>
      <c r="H4" s="131">
        <v>424.70894349503453</v>
      </c>
      <c r="I4" s="131">
        <v>17.845133027467902</v>
      </c>
      <c r="J4" s="131">
        <v>44.483175448205863</v>
      </c>
      <c r="K4" s="131">
        <v>2640.6788095761817</v>
      </c>
      <c r="L4" s="131">
        <v>27.624485326043335</v>
      </c>
      <c r="M4" s="131">
        <v>11.085840729614823</v>
      </c>
      <c r="N4" s="75">
        <f>+K4+H4</f>
        <v>3065.3877530712161</v>
      </c>
      <c r="O4" s="75">
        <f>+L4+I4</f>
        <v>45.469618353511237</v>
      </c>
      <c r="P4" s="75">
        <f>+M4+J4</f>
        <v>55.569016177820686</v>
      </c>
      <c r="Q4" s="76">
        <f>+H4/N4</f>
        <v>0.13854982720196427</v>
      </c>
      <c r="R4" s="76">
        <f>+I4/O4</f>
        <v>0.39246278446253713</v>
      </c>
      <c r="S4" s="76">
        <f>+J4/P4</f>
        <v>0.80050320318538359</v>
      </c>
      <c r="T4" s="76">
        <f>+K4/N4</f>
        <v>0.86145017279803571</v>
      </c>
      <c r="U4" s="76">
        <f>+L4/O4</f>
        <v>0.60753721553746287</v>
      </c>
      <c r="V4" s="76">
        <f>+M4/P4</f>
        <v>0.19949679681461635</v>
      </c>
      <c r="W4" s="76">
        <v>1</v>
      </c>
      <c r="X4" s="76">
        <v>1</v>
      </c>
      <c r="Y4" s="76">
        <v>1</v>
      </c>
      <c r="Z4" s="112"/>
      <c r="AB4" s="52">
        <v>2020</v>
      </c>
      <c r="AC4" s="132">
        <v>1178.471061912041</v>
      </c>
      <c r="AD4" s="132">
        <v>0</v>
      </c>
      <c r="AE4" s="132">
        <v>0</v>
      </c>
      <c r="AF4" s="132">
        <v>0</v>
      </c>
      <c r="AG4" s="132">
        <v>0</v>
      </c>
      <c r="AH4" s="132">
        <v>55.569016177820686</v>
      </c>
      <c r="AI4" s="132">
        <v>0</v>
      </c>
      <c r="AJ4" s="132">
        <v>1.6413985000000002</v>
      </c>
      <c r="AK4" s="132">
        <v>0</v>
      </c>
      <c r="AL4" s="132">
        <v>0</v>
      </c>
      <c r="AM4" s="132">
        <v>21.636144853511247</v>
      </c>
      <c r="AN4" s="132">
        <v>0</v>
      </c>
      <c r="AO4" s="132">
        <v>1886.9166911591758</v>
      </c>
      <c r="AP4" s="132">
        <v>22.192074999999999</v>
      </c>
      <c r="AQ4" s="132">
        <v>0</v>
      </c>
      <c r="AR4" s="78">
        <f>+SUMIF($AC$3:$AQ$3,"Pesos",$AC4:$AQ4)</f>
        <v>3065.387753071217</v>
      </c>
      <c r="AS4" s="78">
        <f>+SUMIF($AC$3:$AQ$3,"USD",$AC4:$AQ4)</f>
        <v>45.469618353511251</v>
      </c>
      <c r="AT4" s="78">
        <f>+SUMIF($AC$3:$AQ$3,"UVA",$AC4:$AQ4)</f>
        <v>55.569016177820686</v>
      </c>
      <c r="AU4" s="32" t="b">
        <f>+SUM(AR4:AT4)=SUM(B4:D4)</f>
        <v>1</v>
      </c>
      <c r="AV4" s="32"/>
      <c r="AW4" s="47" t="s">
        <v>47</v>
      </c>
      <c r="AX4" s="81">
        <f>+AX5/$BA$5</f>
        <v>0.14534078742771994</v>
      </c>
      <c r="AY4" s="81">
        <f>+AY5/$BA$5</f>
        <v>0.85465921257228017</v>
      </c>
      <c r="AZ4" s="81">
        <f>+AZ5/$BA$5</f>
        <v>0</v>
      </c>
      <c r="BA4" s="81">
        <f>+BA5/$BA$5</f>
        <v>1</v>
      </c>
      <c r="BD4" s="47" t="s">
        <v>47</v>
      </c>
      <c r="BE4" s="81">
        <f>+BE5/$BK$5</f>
        <v>0.11024968783255798</v>
      </c>
      <c r="BF4" s="81">
        <f t="shared" ref="BF4:BK4" si="0">+BF5/$BK$5</f>
        <v>0</v>
      </c>
      <c r="BG4" s="81">
        <f t="shared" si="0"/>
        <v>0.56103539814545322</v>
      </c>
      <c r="BH4" s="81">
        <f t="shared" si="0"/>
        <v>3.3016159422956555E-2</v>
      </c>
      <c r="BI4" s="81">
        <f t="shared" si="0"/>
        <v>0.29569875459903233</v>
      </c>
      <c r="BJ4" s="81">
        <f t="shared" si="0"/>
        <v>0</v>
      </c>
      <c r="BK4" s="81">
        <f t="shared" si="0"/>
        <v>1</v>
      </c>
      <c r="BL4" s="50"/>
      <c r="BP4" s="201" t="s">
        <v>222</v>
      </c>
      <c r="BT4" s="54" t="s">
        <v>110</v>
      </c>
    </row>
    <row r="5" spans="1:74" ht="16.5" x14ac:dyDescent="0.25">
      <c r="A5" s="51">
        <f t="shared" ref="A5:A13" si="1">+A4+1</f>
        <v>2021</v>
      </c>
      <c r="B5" s="131">
        <v>7722.1832983013492</v>
      </c>
      <c r="C5" s="131">
        <v>39.604677280951158</v>
      </c>
      <c r="D5" s="131">
        <v>19.277296437904816</v>
      </c>
      <c r="E5" s="32"/>
      <c r="F5" s="32"/>
      <c r="G5" s="51">
        <f t="shared" ref="G5:G13" si="2">+G4+1</f>
        <v>2021</v>
      </c>
      <c r="H5" s="131">
        <v>4956.8121740246343</v>
      </c>
      <c r="I5" s="131">
        <v>16.248720311656189</v>
      </c>
      <c r="J5" s="131">
        <v>10.434325061801667</v>
      </c>
      <c r="K5" s="131">
        <v>2765.3711242767149</v>
      </c>
      <c r="L5" s="131">
        <v>23.355956969294969</v>
      </c>
      <c r="M5" s="131">
        <v>8.842971376103149</v>
      </c>
      <c r="N5" s="75">
        <f t="shared" ref="N5:N14" si="3">+K5+H5</f>
        <v>7722.1832983013492</v>
      </c>
      <c r="O5" s="75">
        <f t="shared" ref="O5:O14" si="4">+L5+I5</f>
        <v>39.604677280951158</v>
      </c>
      <c r="P5" s="75">
        <f t="shared" ref="P5:P14" si="5">+M5+J5</f>
        <v>19.277296437904816</v>
      </c>
      <c r="Q5" s="76">
        <f t="shared" ref="Q5:Q14" si="6">+H5/N5</f>
        <v>0.6418925817410972</v>
      </c>
      <c r="R5" s="76">
        <f>+I5/O5</f>
        <v>0.41027276138092433</v>
      </c>
      <c r="S5" s="76">
        <f>+J5/P5</f>
        <v>0.5412753336761853</v>
      </c>
      <c r="T5" s="76">
        <f t="shared" ref="T5:T14" si="7">+K5/N5</f>
        <v>0.3581074182589028</v>
      </c>
      <c r="U5" s="76">
        <f t="shared" ref="U5:U14" si="8">+L5/O5</f>
        <v>0.58972723861907572</v>
      </c>
      <c r="V5" s="76">
        <f>+M5/P5</f>
        <v>0.4587246663238147</v>
      </c>
      <c r="W5" s="76">
        <v>1</v>
      </c>
      <c r="X5" s="76">
        <v>1</v>
      </c>
      <c r="Y5" s="76">
        <v>1</v>
      </c>
      <c r="Z5" s="53">
        <v>0</v>
      </c>
      <c r="AB5" s="51">
        <f t="shared" ref="AB5:AB13" si="9">+AB4+1</f>
        <v>2021</v>
      </c>
      <c r="AC5" s="132">
        <v>4657.6730759813126</v>
      </c>
      <c r="AD5" s="132">
        <v>0</v>
      </c>
      <c r="AE5" s="132">
        <v>0</v>
      </c>
      <c r="AF5" s="132">
        <v>0</v>
      </c>
      <c r="AG5" s="132">
        <v>0</v>
      </c>
      <c r="AH5" s="132">
        <v>19.277296437904816</v>
      </c>
      <c r="AI5" s="132">
        <v>0</v>
      </c>
      <c r="AJ5" s="132">
        <v>0.79255361999999996</v>
      </c>
      <c r="AK5" s="132">
        <v>0</v>
      </c>
      <c r="AL5" s="132">
        <v>0</v>
      </c>
      <c r="AM5" s="132">
        <v>19.38025699428449</v>
      </c>
      <c r="AN5" s="132">
        <v>0</v>
      </c>
      <c r="AO5" s="132">
        <v>3064.5102223200347</v>
      </c>
      <c r="AP5" s="132">
        <v>19.431866666666668</v>
      </c>
      <c r="AQ5" s="132">
        <v>0</v>
      </c>
      <c r="AR5" s="78">
        <f t="shared" ref="AR5:AR14" si="10">+SUMIF($AC$3:$AQ$3,"Pesos",$AC5:$AQ5)</f>
        <v>7722.1832983013473</v>
      </c>
      <c r="AS5" s="78">
        <f t="shared" ref="AS5:AS14" si="11">+SUMIF($AC$3:$AQ$3,"USD",$AC5:$AQ5)</f>
        <v>39.604677280951158</v>
      </c>
      <c r="AT5" s="78">
        <f t="shared" ref="AT5:AT14" si="12">+SUMIF($AC$3:$AQ$3,"UVA",$AC5:$AQ5)</f>
        <v>19.277296437904816</v>
      </c>
      <c r="AU5" s="32" t="b">
        <f>+SUM(AR5:AT5)=SUM(B5:D5)</f>
        <v>0</v>
      </c>
      <c r="AV5" s="32"/>
      <c r="AW5" s="47" t="s">
        <v>100</v>
      </c>
      <c r="AX5" s="79">
        <f>+'Servicios Deuda Anual'!F9+'Servicios Deuda Anual'!F15+'Servicios Deuda Anual'!F34-'Servicios Deuda Anual'!F35</f>
        <v>92.906001275299843</v>
      </c>
      <c r="AY5" s="79">
        <f>+'Servicios Deuda Anual'!F35+'Servicios Deuda Anual'!F17</f>
        <v>546.32268958000009</v>
      </c>
      <c r="AZ5" s="79">
        <v>0</v>
      </c>
      <c r="BA5" s="80">
        <f>+AY5+AX5+AZ5</f>
        <v>639.22869085529987</v>
      </c>
      <c r="BD5" s="47" t="s">
        <v>100</v>
      </c>
      <c r="BE5" s="83">
        <f>'Servicios Deuda Anual'!F38+'Servicios Deuda Anual'!F36+'Servicios Deuda Anual'!F37</f>
        <v>70.474763620411522</v>
      </c>
      <c r="BF5" s="83">
        <v>0</v>
      </c>
      <c r="BG5" s="83">
        <f>+'Servicios Deuda Anual'!F35</f>
        <v>358.62992308000003</v>
      </c>
      <c r="BH5" s="83">
        <f>+'Servicios Deuda Anual'!F43+'Servicios Deuda Anual'!F42+'Servicios Deuda Anual'!F41+'Servicios Deuda Anual'!F40+'Servicios Deuda Anual'!F39+'Servicios Deuda Anual'!F16+'Servicios Deuda Anual'!F13</f>
        <v>21.10487636500639</v>
      </c>
      <c r="BI5" s="83">
        <f>+'Servicios Deuda Anual'!F10+'Servicios Deuda Anual'!F11+'Servicios Deuda Anual'!F12+'Servicios Deuda Anual'!F14+'Servicios Deuda Anual'!F18+'Servicios Deuda Anual'!F30</f>
        <v>189.01912778988202</v>
      </c>
      <c r="BJ5" s="83">
        <v>0</v>
      </c>
      <c r="BK5" s="82">
        <f>+SUM(BE5:BJ5)</f>
        <v>639.22869085529987</v>
      </c>
      <c r="BL5" s="49"/>
      <c r="BP5" s="201" t="s">
        <v>250</v>
      </c>
      <c r="BT5" s="54" t="s">
        <v>111</v>
      </c>
    </row>
    <row r="6" spans="1:74" x14ac:dyDescent="0.25">
      <c r="A6" s="51">
        <f t="shared" si="1"/>
        <v>2022</v>
      </c>
      <c r="B6" s="131">
        <v>24763.11180595223</v>
      </c>
      <c r="C6" s="131">
        <v>42.62848488616963</v>
      </c>
      <c r="D6" s="131">
        <v>13.053123599940303</v>
      </c>
      <c r="E6" s="32"/>
      <c r="F6" s="32"/>
      <c r="G6" s="51">
        <f t="shared" si="2"/>
        <v>2022</v>
      </c>
      <c r="H6" s="131">
        <v>9381.3052599994116</v>
      </c>
      <c r="I6" s="131">
        <v>15.691754258460426</v>
      </c>
      <c r="J6" s="131">
        <v>9.8546403350349081</v>
      </c>
      <c r="K6" s="131">
        <v>15381.806545952819</v>
      </c>
      <c r="L6" s="131">
        <v>26.936730627709203</v>
      </c>
      <c r="M6" s="131">
        <v>3.198483264905394</v>
      </c>
      <c r="N6" s="75">
        <f t="shared" si="3"/>
        <v>24763.11180595223</v>
      </c>
      <c r="O6" s="75">
        <f t="shared" si="4"/>
        <v>42.62848488616963</v>
      </c>
      <c r="P6" s="75">
        <f t="shared" si="5"/>
        <v>13.053123599940303</v>
      </c>
      <c r="Q6" s="76">
        <f t="shared" si="6"/>
        <v>0.37884193769801006</v>
      </c>
      <c r="R6" s="76">
        <f>+I6/O6</f>
        <v>0.3681049021648774</v>
      </c>
      <c r="S6" s="76">
        <f>+J6/P6</f>
        <v>0.75496414782129062</v>
      </c>
      <c r="T6" s="76">
        <f t="shared" si="7"/>
        <v>0.62115806230199</v>
      </c>
      <c r="U6" s="76">
        <f t="shared" si="8"/>
        <v>0.63189509783512254</v>
      </c>
      <c r="V6" s="76">
        <f>+M6/P6</f>
        <v>0.24503585217870932</v>
      </c>
      <c r="W6" s="76">
        <v>1</v>
      </c>
      <c r="X6" s="76">
        <v>1</v>
      </c>
      <c r="Y6" s="76">
        <v>1</v>
      </c>
      <c r="Z6" s="53">
        <v>0</v>
      </c>
      <c r="AB6" s="51">
        <f t="shared" si="9"/>
        <v>2022</v>
      </c>
      <c r="AC6" s="132">
        <v>11809.215791485463</v>
      </c>
      <c r="AD6" s="132">
        <v>0</v>
      </c>
      <c r="AE6" s="132">
        <v>0</v>
      </c>
      <c r="AF6" s="132">
        <v>7157.3785598736722</v>
      </c>
      <c r="AG6" s="132">
        <v>0</v>
      </c>
      <c r="AH6" s="132">
        <v>13.053123599940303</v>
      </c>
      <c r="AI6" s="132">
        <v>0</v>
      </c>
      <c r="AJ6" s="132">
        <v>0</v>
      </c>
      <c r="AK6" s="132">
        <v>0</v>
      </c>
      <c r="AL6" s="132">
        <v>0</v>
      </c>
      <c r="AM6" s="132">
        <v>20.261712386169627</v>
      </c>
      <c r="AN6" s="132">
        <v>0</v>
      </c>
      <c r="AO6" s="132">
        <v>5796.5174545930986</v>
      </c>
      <c r="AP6" s="132">
        <v>22.3667725</v>
      </c>
      <c r="AQ6" s="132">
        <v>0</v>
      </c>
      <c r="AR6" s="78">
        <f t="shared" si="10"/>
        <v>24763.111805952234</v>
      </c>
      <c r="AS6" s="78">
        <f t="shared" si="11"/>
        <v>42.62848488616963</v>
      </c>
      <c r="AT6" s="78">
        <f t="shared" si="12"/>
        <v>13.053123599940303</v>
      </c>
      <c r="AU6" s="32" t="b">
        <f>+SUM(AR6:AT6)=SUM(B6:D6)</f>
        <v>1</v>
      </c>
      <c r="AV6" s="32"/>
      <c r="AW6" s="32"/>
      <c r="BA6" s="32"/>
      <c r="BD6" s="32"/>
      <c r="BT6" s="54" t="s">
        <v>112</v>
      </c>
    </row>
    <row r="7" spans="1:74" x14ac:dyDescent="0.25">
      <c r="A7" s="51">
        <f t="shared" si="1"/>
        <v>2023</v>
      </c>
      <c r="B7" s="131">
        <v>57379.118437812736</v>
      </c>
      <c r="C7" s="131">
        <v>130.1440193267137</v>
      </c>
      <c r="D7" s="131">
        <v>0</v>
      </c>
      <c r="E7" s="32"/>
      <c r="F7" s="32"/>
      <c r="G7" s="51">
        <f t="shared" si="2"/>
        <v>2023</v>
      </c>
      <c r="H7" s="131">
        <v>28597.187327013424</v>
      </c>
      <c r="I7" s="131">
        <v>96.00533608296891</v>
      </c>
      <c r="J7" s="131">
        <v>0</v>
      </c>
      <c r="K7" s="131">
        <v>28781.931110799313</v>
      </c>
      <c r="L7" s="131">
        <v>34.138683243744772</v>
      </c>
      <c r="M7" s="131">
        <v>0</v>
      </c>
      <c r="N7" s="75">
        <f t="shared" si="3"/>
        <v>57379.118437812736</v>
      </c>
      <c r="O7" s="75">
        <f t="shared" si="4"/>
        <v>130.14401932671367</v>
      </c>
      <c r="P7" s="75">
        <f t="shared" si="5"/>
        <v>0</v>
      </c>
      <c r="Q7" s="76">
        <f t="shared" si="6"/>
        <v>0.49839014794218117</v>
      </c>
      <c r="R7" s="76">
        <f t="shared" ref="R7:R14" si="13">+I7/O7</f>
        <v>0.73768534719952839</v>
      </c>
      <c r="S7" s="76" t="s">
        <v>163</v>
      </c>
      <c r="T7" s="76">
        <f t="shared" si="7"/>
        <v>0.50160985205781883</v>
      </c>
      <c r="U7" s="76">
        <f t="shared" si="8"/>
        <v>0.26231465280047167</v>
      </c>
      <c r="V7" s="76" t="s">
        <v>163</v>
      </c>
      <c r="W7" s="76">
        <v>1</v>
      </c>
      <c r="X7" s="76">
        <v>1.0000000000000002</v>
      </c>
      <c r="Y7" s="76">
        <v>0</v>
      </c>
      <c r="Z7" s="53">
        <v>0</v>
      </c>
      <c r="AB7" s="51">
        <f t="shared" si="9"/>
        <v>2023</v>
      </c>
      <c r="AC7" s="132">
        <v>15170.333164879847</v>
      </c>
      <c r="AD7" s="132">
        <v>0</v>
      </c>
      <c r="AE7" s="132">
        <v>0</v>
      </c>
      <c r="AF7" s="132">
        <v>19546.544825953002</v>
      </c>
      <c r="AG7" s="132">
        <v>0</v>
      </c>
      <c r="AH7" s="132">
        <v>0</v>
      </c>
      <c r="AI7" s="132">
        <v>0</v>
      </c>
      <c r="AJ7" s="132">
        <v>0</v>
      </c>
      <c r="AK7" s="132">
        <v>0</v>
      </c>
      <c r="AL7" s="132">
        <v>0</v>
      </c>
      <c r="AM7" s="132">
        <v>25.615006634405987</v>
      </c>
      <c r="AN7" s="132">
        <v>0</v>
      </c>
      <c r="AO7" s="132">
        <v>22662.240446979886</v>
      </c>
      <c r="AP7" s="132">
        <v>104.5290126923077</v>
      </c>
      <c r="AQ7" s="132">
        <v>0</v>
      </c>
      <c r="AR7" s="78">
        <f t="shared" si="10"/>
        <v>57379.118437812736</v>
      </c>
      <c r="AS7" s="78">
        <f t="shared" si="11"/>
        <v>130.1440193267137</v>
      </c>
      <c r="AT7" s="78">
        <f t="shared" si="12"/>
        <v>0</v>
      </c>
      <c r="AU7" s="32" t="b">
        <f t="shared" ref="AU7:AU14" si="14">+SUM(AR7:AT7)=SUM(B7:D7)</f>
        <v>1</v>
      </c>
      <c r="AV7" s="32"/>
      <c r="AW7" s="32"/>
      <c r="AZ7" s="90" t="s">
        <v>143</v>
      </c>
      <c r="BA7" s="91">
        <f>+BA5-'Servicios Deuda Anual'!$F$45</f>
        <v>0</v>
      </c>
      <c r="BD7" s="32"/>
      <c r="BJ7" s="90" t="s">
        <v>143</v>
      </c>
      <c r="BK7" s="91">
        <f>+BK5-'Servicios Deuda Anual'!$F$45</f>
        <v>0</v>
      </c>
      <c r="BT7" s="54" t="s">
        <v>113</v>
      </c>
    </row>
    <row r="8" spans="1:74" x14ac:dyDescent="0.25">
      <c r="A8" s="51">
        <f t="shared" si="1"/>
        <v>2024</v>
      </c>
      <c r="B8" s="74">
        <v>51781.507506252805</v>
      </c>
      <c r="C8" s="74">
        <v>131.63255926391793</v>
      </c>
      <c r="D8" s="74">
        <v>0</v>
      </c>
      <c r="E8" s="32"/>
      <c r="F8" s="32"/>
      <c r="G8" s="51">
        <f t="shared" si="2"/>
        <v>2024</v>
      </c>
      <c r="H8" s="74">
        <f>+SUMIFS($G$20:$V$20,$G$17:$V$17,H$3,$G$18:$V$18,$G8)</f>
        <v>33604.146982385617</v>
      </c>
      <c r="I8" s="74">
        <f t="shared" ref="H8:I14" si="15">+SUMIFS($G$20:$V$20,$G$17:$V$17,I$3,$G$18:$V$18,$G8)</f>
        <v>96.062215402602646</v>
      </c>
      <c r="J8" s="74">
        <v>0</v>
      </c>
      <c r="K8" s="74">
        <f t="shared" ref="K8:L14" si="16">+SUMIFS($G$21:$V$21,$G$17:$V$17,K$3,$G$18:$V$18,$G8)</f>
        <v>18177.360523867192</v>
      </c>
      <c r="L8" s="74">
        <f t="shared" si="16"/>
        <v>35.570343861315287</v>
      </c>
      <c r="M8" s="74">
        <v>0</v>
      </c>
      <c r="N8" s="75">
        <f t="shared" si="3"/>
        <v>51781.507506252805</v>
      </c>
      <c r="O8" s="75">
        <f t="shared" si="4"/>
        <v>131.63255926391793</v>
      </c>
      <c r="P8" s="75">
        <f t="shared" si="5"/>
        <v>0</v>
      </c>
      <c r="Q8" s="76">
        <f t="shared" si="6"/>
        <v>0.64896038374950349</v>
      </c>
      <c r="R8" s="76">
        <f t="shared" si="13"/>
        <v>0.72977548974035988</v>
      </c>
      <c r="S8" s="76" t="s">
        <v>163</v>
      </c>
      <c r="T8" s="76">
        <f t="shared" si="7"/>
        <v>0.35103961625049657</v>
      </c>
      <c r="U8" s="76">
        <f t="shared" si="8"/>
        <v>0.27022451025964023</v>
      </c>
      <c r="V8" s="76" t="s">
        <v>163</v>
      </c>
      <c r="W8" s="76">
        <v>0.99999999999999989</v>
      </c>
      <c r="X8" s="76">
        <v>1</v>
      </c>
      <c r="Y8" s="76">
        <v>0</v>
      </c>
      <c r="Z8" s="53">
        <v>0</v>
      </c>
      <c r="AB8" s="51">
        <f t="shared" si="9"/>
        <v>2024</v>
      </c>
      <c r="AC8" s="77">
        <f>+AE18</f>
        <v>1767.7678575370269</v>
      </c>
      <c r="AD8" s="77">
        <v>0</v>
      </c>
      <c r="AE8" s="77">
        <v>0</v>
      </c>
      <c r="AF8" s="77">
        <f>+AE19</f>
        <v>13641.246043177394</v>
      </c>
      <c r="AG8" s="77">
        <v>0</v>
      </c>
      <c r="AH8" s="77">
        <v>0</v>
      </c>
      <c r="AI8" s="77">
        <v>0</v>
      </c>
      <c r="AJ8" s="77">
        <v>0</v>
      </c>
      <c r="AK8" s="77">
        <v>0</v>
      </c>
      <c r="AL8" s="77">
        <v>0</v>
      </c>
      <c r="AM8" s="97">
        <f>+AF21</f>
        <v>27.87893013391794</v>
      </c>
      <c r="AN8" s="77">
        <v>0</v>
      </c>
      <c r="AO8" s="77">
        <f>+AE22</f>
        <v>36372.493605538381</v>
      </c>
      <c r="AP8" s="77">
        <f>+AF22</f>
        <v>103.75362912999999</v>
      </c>
      <c r="AQ8" s="77">
        <v>0</v>
      </c>
      <c r="AR8" s="78">
        <f t="shared" si="10"/>
        <v>51781.507506252805</v>
      </c>
      <c r="AS8" s="78">
        <f t="shared" si="11"/>
        <v>131.63255926391793</v>
      </c>
      <c r="AT8" s="78">
        <f t="shared" si="12"/>
        <v>0</v>
      </c>
      <c r="AU8" s="32" t="b">
        <f t="shared" si="14"/>
        <v>1</v>
      </c>
      <c r="AV8" s="32"/>
      <c r="AW8" s="32"/>
      <c r="BD8" s="32"/>
      <c r="BT8" s="54" t="s">
        <v>114</v>
      </c>
    </row>
    <row r="9" spans="1:74" x14ac:dyDescent="0.25">
      <c r="A9" s="51">
        <f t="shared" si="1"/>
        <v>2025</v>
      </c>
      <c r="B9" s="74">
        <v>50305.22820138411</v>
      </c>
      <c r="C9" s="74">
        <v>127.52941473698539</v>
      </c>
      <c r="D9" s="74">
        <v>0</v>
      </c>
      <c r="E9" s="32"/>
      <c r="F9" s="32"/>
      <c r="G9" s="51">
        <f t="shared" si="2"/>
        <v>2025</v>
      </c>
      <c r="H9" s="74">
        <f t="shared" si="15"/>
        <v>44751.870338870984</v>
      </c>
      <c r="I9" s="74">
        <f t="shared" si="15"/>
        <v>97.587877704085372</v>
      </c>
      <c r="J9" s="74">
        <v>0</v>
      </c>
      <c r="K9" s="74">
        <f t="shared" si="16"/>
        <v>5553.3578625131349</v>
      </c>
      <c r="L9" s="74">
        <f t="shared" si="16"/>
        <v>29.94153703290003</v>
      </c>
      <c r="M9" s="74">
        <v>0</v>
      </c>
      <c r="N9" s="75">
        <f t="shared" si="3"/>
        <v>50305.228201384118</v>
      </c>
      <c r="O9" s="75">
        <f t="shared" si="4"/>
        <v>127.5294147369854</v>
      </c>
      <c r="P9" s="75">
        <f t="shared" si="5"/>
        <v>0</v>
      </c>
      <c r="Q9" s="76">
        <f t="shared" si="6"/>
        <v>0.88960674544042051</v>
      </c>
      <c r="R9" s="76">
        <f t="shared" si="13"/>
        <v>0.76521858039848323</v>
      </c>
      <c r="S9" s="76" t="s">
        <v>163</v>
      </c>
      <c r="T9" s="76">
        <f t="shared" si="7"/>
        <v>0.1103932545595795</v>
      </c>
      <c r="U9" s="76">
        <f t="shared" si="8"/>
        <v>0.2347814196015168</v>
      </c>
      <c r="V9" s="76" t="s">
        <v>163</v>
      </c>
      <c r="W9" s="76">
        <v>1</v>
      </c>
      <c r="X9" s="76">
        <v>1</v>
      </c>
      <c r="Y9" s="76">
        <v>0</v>
      </c>
      <c r="Z9" s="53">
        <v>0</v>
      </c>
      <c r="AB9" s="51">
        <f t="shared" si="9"/>
        <v>2025</v>
      </c>
      <c r="AC9" s="77">
        <f>+AG18</f>
        <v>404.04629632614365</v>
      </c>
      <c r="AD9" s="77">
        <v>0</v>
      </c>
      <c r="AE9" s="77">
        <v>0</v>
      </c>
      <c r="AF9" s="77">
        <f>+AG19</f>
        <v>7651.898862378649</v>
      </c>
      <c r="AG9" s="77">
        <v>0</v>
      </c>
      <c r="AH9" s="77">
        <v>0</v>
      </c>
      <c r="AI9" s="77">
        <v>0</v>
      </c>
      <c r="AJ9" s="77">
        <v>0</v>
      </c>
      <c r="AK9" s="77">
        <v>0</v>
      </c>
      <c r="AL9" s="77">
        <v>0</v>
      </c>
      <c r="AM9" s="77">
        <f>+AH21</f>
        <v>28.358279063908462</v>
      </c>
      <c r="AN9" s="77">
        <v>0</v>
      </c>
      <c r="AO9" s="77">
        <f>+AG22</f>
        <v>42249.283042679315</v>
      </c>
      <c r="AP9" s="77">
        <f>+AH22</f>
        <v>99.171135673076932</v>
      </c>
      <c r="AQ9" s="77">
        <v>0</v>
      </c>
      <c r="AR9" s="78">
        <f t="shared" si="10"/>
        <v>50305.22820138411</v>
      </c>
      <c r="AS9" s="78">
        <f t="shared" si="11"/>
        <v>127.52941473698539</v>
      </c>
      <c r="AT9" s="78">
        <f t="shared" si="12"/>
        <v>0</v>
      </c>
      <c r="AU9" s="32" t="b">
        <f t="shared" si="14"/>
        <v>1</v>
      </c>
      <c r="AV9" s="32"/>
      <c r="AW9" s="32"/>
      <c r="BD9" s="32"/>
      <c r="BT9" s="54" t="s">
        <v>121</v>
      </c>
    </row>
    <row r="10" spans="1:74" x14ac:dyDescent="0.25">
      <c r="A10" s="51">
        <f t="shared" si="1"/>
        <v>2026</v>
      </c>
      <c r="B10" s="74">
        <v>20987.031982115805</v>
      </c>
      <c r="C10" s="74">
        <v>115.99110210438297</v>
      </c>
      <c r="D10" s="74">
        <v>0</v>
      </c>
      <c r="E10" s="32"/>
      <c r="F10" s="32"/>
      <c r="G10" s="51">
        <f t="shared" si="2"/>
        <v>2026</v>
      </c>
      <c r="H10" s="74">
        <f t="shared" si="15"/>
        <v>18973.988290597768</v>
      </c>
      <c r="I10" s="74">
        <f t="shared" si="15"/>
        <v>93.20357223036396</v>
      </c>
      <c r="J10" s="74">
        <v>0</v>
      </c>
      <c r="K10" s="74">
        <f t="shared" si="16"/>
        <v>3118.9199065622133</v>
      </c>
      <c r="L10" s="74">
        <f t="shared" si="16"/>
        <v>22.787529874019008</v>
      </c>
      <c r="M10" s="74">
        <v>0</v>
      </c>
      <c r="N10" s="75">
        <f t="shared" si="3"/>
        <v>22092.908197159981</v>
      </c>
      <c r="O10" s="75">
        <f t="shared" si="4"/>
        <v>115.99110210438297</v>
      </c>
      <c r="P10" s="75">
        <f t="shared" si="5"/>
        <v>0</v>
      </c>
      <c r="Q10" s="76">
        <f t="shared" si="6"/>
        <v>0.8588271005913497</v>
      </c>
      <c r="R10" s="76">
        <f t="shared" si="13"/>
        <v>0.80354070734225791</v>
      </c>
      <c r="S10" s="76" t="s">
        <v>163</v>
      </c>
      <c r="T10" s="76">
        <f t="shared" si="7"/>
        <v>0.14117289940865038</v>
      </c>
      <c r="U10" s="76">
        <f t="shared" si="8"/>
        <v>0.19645929265774198</v>
      </c>
      <c r="V10" s="76" t="s">
        <v>163</v>
      </c>
      <c r="W10" s="76">
        <v>1</v>
      </c>
      <c r="X10" s="76">
        <v>0.99999999999999989</v>
      </c>
      <c r="Y10" s="76">
        <v>0</v>
      </c>
      <c r="Z10" s="53">
        <v>0</v>
      </c>
      <c r="AB10" s="51">
        <f t="shared" si="9"/>
        <v>2026</v>
      </c>
      <c r="AC10" s="77">
        <f>+AI18</f>
        <v>232.78985169344546</v>
      </c>
      <c r="AD10" s="77">
        <v>0</v>
      </c>
      <c r="AE10" s="77">
        <v>0</v>
      </c>
      <c r="AF10" s="77">
        <f>+AI19</f>
        <v>5412.8577310041737</v>
      </c>
      <c r="AG10" s="77">
        <v>0</v>
      </c>
      <c r="AH10" s="77">
        <v>0</v>
      </c>
      <c r="AI10" s="77">
        <v>0</v>
      </c>
      <c r="AJ10" s="77">
        <v>0</v>
      </c>
      <c r="AK10" s="77">
        <v>0</v>
      </c>
      <c r="AL10" s="77">
        <v>0</v>
      </c>
      <c r="AM10" s="77">
        <f>+AJ21</f>
        <v>21.402459892844501</v>
      </c>
      <c r="AN10" s="77">
        <v>0</v>
      </c>
      <c r="AO10" s="77">
        <f>+AI22</f>
        <v>15341.384399418186</v>
      </c>
      <c r="AP10" s="77">
        <f>+AJ22</f>
        <v>94.58864221153847</v>
      </c>
      <c r="AQ10" s="77">
        <v>0</v>
      </c>
      <c r="AR10" s="78">
        <f t="shared" si="10"/>
        <v>20987.031982115805</v>
      </c>
      <c r="AS10" s="78">
        <f t="shared" si="11"/>
        <v>115.99110210438297</v>
      </c>
      <c r="AT10" s="78">
        <f t="shared" si="12"/>
        <v>0</v>
      </c>
      <c r="AU10" s="32" t="b">
        <f t="shared" si="14"/>
        <v>1</v>
      </c>
      <c r="AV10" s="32"/>
      <c r="AW10" s="32"/>
      <c r="BD10" s="32"/>
      <c r="BT10" s="54" t="s">
        <v>115</v>
      </c>
    </row>
    <row r="11" spans="1:74" x14ac:dyDescent="0.25">
      <c r="A11" s="51">
        <f t="shared" si="1"/>
        <v>2027</v>
      </c>
      <c r="B11" s="74">
        <v>9837.7974685177815</v>
      </c>
      <c r="C11" s="74">
        <v>110.13940346877978</v>
      </c>
      <c r="D11" s="74">
        <v>0</v>
      </c>
      <c r="E11" s="32"/>
      <c r="F11" s="32"/>
      <c r="G11" s="51">
        <f t="shared" si="2"/>
        <v>2027</v>
      </c>
      <c r="H11" s="74">
        <f t="shared" si="15"/>
        <v>9567.6365485481547</v>
      </c>
      <c r="I11" s="74">
        <f t="shared" si="15"/>
        <v>93.203904310363953</v>
      </c>
      <c r="J11" s="74">
        <v>0</v>
      </c>
      <c r="K11" s="74">
        <f t="shared" si="16"/>
        <v>270.16091996962672</v>
      </c>
      <c r="L11" s="74">
        <f t="shared" si="16"/>
        <v>16.935499158415816</v>
      </c>
      <c r="M11" s="74">
        <v>0</v>
      </c>
      <c r="N11" s="75">
        <f t="shared" si="3"/>
        <v>9837.7974685177815</v>
      </c>
      <c r="O11" s="75">
        <f t="shared" si="4"/>
        <v>110.13940346877976</v>
      </c>
      <c r="P11" s="75">
        <f t="shared" si="5"/>
        <v>0</v>
      </c>
      <c r="Q11" s="76">
        <f t="shared" si="6"/>
        <v>0.97253847511760871</v>
      </c>
      <c r="R11" s="76">
        <f t="shared" si="13"/>
        <v>0.84623578278943223</v>
      </c>
      <c r="S11" s="76" t="s">
        <v>163</v>
      </c>
      <c r="T11" s="76">
        <f t="shared" si="7"/>
        <v>2.7461524882391251E-2</v>
      </c>
      <c r="U11" s="76">
        <f t="shared" si="8"/>
        <v>0.15376421721056779</v>
      </c>
      <c r="V11" s="76" t="s">
        <v>163</v>
      </c>
      <c r="W11" s="76">
        <v>1</v>
      </c>
      <c r="X11" s="76">
        <v>1</v>
      </c>
      <c r="Y11" s="76">
        <v>0</v>
      </c>
      <c r="Z11" s="53">
        <v>0</v>
      </c>
      <c r="AB11" s="51">
        <f t="shared" si="9"/>
        <v>2027</v>
      </c>
      <c r="AC11" s="77">
        <f>+AK18</f>
        <v>181.46057828959104</v>
      </c>
      <c r="AD11" s="77">
        <v>0</v>
      </c>
      <c r="AE11" s="77">
        <v>0</v>
      </c>
      <c r="AF11" s="77">
        <f>+AK19</f>
        <v>1838.2549580880193</v>
      </c>
      <c r="AG11" s="77">
        <v>0</v>
      </c>
      <c r="AH11" s="77">
        <v>0</v>
      </c>
      <c r="AI11" s="77">
        <v>0</v>
      </c>
      <c r="AJ11" s="77">
        <v>0</v>
      </c>
      <c r="AK11" s="77">
        <v>0</v>
      </c>
      <c r="AL11" s="77">
        <v>0</v>
      </c>
      <c r="AM11" s="77">
        <f>+AL21</f>
        <v>20.133254718779767</v>
      </c>
      <c r="AN11" s="77">
        <v>0</v>
      </c>
      <c r="AO11" s="77">
        <f>+AK22</f>
        <v>7818.0819321401714</v>
      </c>
      <c r="AP11" s="77">
        <f>+AL22</f>
        <v>90.006148750000008</v>
      </c>
      <c r="AQ11" s="77">
        <v>0</v>
      </c>
      <c r="AR11" s="78">
        <f t="shared" si="10"/>
        <v>9837.7974685177815</v>
      </c>
      <c r="AS11" s="78">
        <f t="shared" si="11"/>
        <v>110.13940346877978</v>
      </c>
      <c r="AT11" s="78">
        <f t="shared" si="12"/>
        <v>0</v>
      </c>
      <c r="AU11" s="32" t="b">
        <f t="shared" si="14"/>
        <v>1</v>
      </c>
      <c r="AV11" s="32"/>
      <c r="AW11" s="32"/>
      <c r="BD11" s="32"/>
      <c r="BT11" s="54" t="s">
        <v>116</v>
      </c>
    </row>
    <row r="12" spans="1:74" x14ac:dyDescent="0.25">
      <c r="A12" s="51">
        <f t="shared" si="1"/>
        <v>2028</v>
      </c>
      <c r="B12" s="74">
        <v>1112.8817752573786</v>
      </c>
      <c r="C12" s="74">
        <v>104.63168077568065</v>
      </c>
      <c r="D12" s="74">
        <v>0</v>
      </c>
      <c r="E12" s="32"/>
      <c r="F12" s="32"/>
      <c r="G12" s="51">
        <f t="shared" si="2"/>
        <v>2028</v>
      </c>
      <c r="H12" s="74">
        <f t="shared" si="15"/>
        <v>920.3546605281548</v>
      </c>
      <c r="I12" s="74">
        <f t="shared" si="15"/>
        <v>93.204240360363968</v>
      </c>
      <c r="J12" s="74">
        <v>0</v>
      </c>
      <c r="K12" s="74">
        <f t="shared" si="16"/>
        <v>192.52711472922385</v>
      </c>
      <c r="L12" s="74">
        <f t="shared" si="16"/>
        <v>11.427440415316692</v>
      </c>
      <c r="M12" s="74">
        <v>0</v>
      </c>
      <c r="N12" s="75">
        <f t="shared" si="3"/>
        <v>1112.8817752573786</v>
      </c>
      <c r="O12" s="75">
        <f t="shared" si="4"/>
        <v>104.63168077568066</v>
      </c>
      <c r="P12" s="75">
        <f t="shared" si="5"/>
        <v>0</v>
      </c>
      <c r="Q12" s="76">
        <f t="shared" si="6"/>
        <v>0.82700128710015253</v>
      </c>
      <c r="R12" s="76">
        <f t="shared" si="13"/>
        <v>0.89078412646533001</v>
      </c>
      <c r="S12" s="76" t="s">
        <v>163</v>
      </c>
      <c r="T12" s="76">
        <f t="shared" si="7"/>
        <v>0.1729987128998475</v>
      </c>
      <c r="U12" s="76">
        <f t="shared" si="8"/>
        <v>0.10921587353466991</v>
      </c>
      <c r="V12" s="76" t="s">
        <v>163</v>
      </c>
      <c r="W12" s="76">
        <v>1</v>
      </c>
      <c r="X12" s="76">
        <v>1</v>
      </c>
      <c r="Y12" s="76">
        <v>0</v>
      </c>
      <c r="Z12" s="53">
        <v>0</v>
      </c>
      <c r="AB12" s="51">
        <f t="shared" si="9"/>
        <v>2028</v>
      </c>
      <c r="AC12" s="77">
        <f>+AM18</f>
        <v>180.19195975922148</v>
      </c>
      <c r="AD12" s="77">
        <v>0</v>
      </c>
      <c r="AE12" s="77">
        <v>0</v>
      </c>
      <c r="AF12" s="77">
        <f>+AM19</f>
        <v>0</v>
      </c>
      <c r="AG12" s="77">
        <v>0</v>
      </c>
      <c r="AH12" s="77">
        <v>0</v>
      </c>
      <c r="AI12" s="77">
        <v>0</v>
      </c>
      <c r="AJ12" s="77">
        <v>0</v>
      </c>
      <c r="AK12" s="77">
        <v>0</v>
      </c>
      <c r="AL12" s="77">
        <v>0</v>
      </c>
      <c r="AM12" s="77">
        <f>+AN21</f>
        <v>19.208025487219103</v>
      </c>
      <c r="AN12" s="77">
        <v>0</v>
      </c>
      <c r="AO12" s="77">
        <f>+AM22</f>
        <v>932.68981549815715</v>
      </c>
      <c r="AP12" s="77">
        <f>+AN22</f>
        <v>85.423655288461546</v>
      </c>
      <c r="AQ12" s="77">
        <v>0</v>
      </c>
      <c r="AR12" s="78">
        <f t="shared" si="10"/>
        <v>1112.8817752573786</v>
      </c>
      <c r="AS12" s="78">
        <f t="shared" si="11"/>
        <v>104.63168077568065</v>
      </c>
      <c r="AT12" s="78">
        <f t="shared" si="12"/>
        <v>0</v>
      </c>
      <c r="AU12" s="32" t="b">
        <f t="shared" si="14"/>
        <v>1</v>
      </c>
      <c r="AV12" s="32"/>
      <c r="AW12" s="32"/>
      <c r="BD12" s="32"/>
    </row>
    <row r="13" spans="1:74" x14ac:dyDescent="0.25">
      <c r="A13" s="51">
        <f t="shared" si="1"/>
        <v>2029</v>
      </c>
      <c r="B13" s="74">
        <v>1070.5287756615126</v>
      </c>
      <c r="C13" s="74">
        <v>59.042744500707443</v>
      </c>
      <c r="D13" s="74">
        <v>0</v>
      </c>
      <c r="E13" s="32"/>
      <c r="F13" s="32"/>
      <c r="G13" s="51">
        <f t="shared" si="2"/>
        <v>2029</v>
      </c>
      <c r="H13" s="74">
        <f t="shared" si="15"/>
        <v>920.3546605281548</v>
      </c>
      <c r="I13" s="74">
        <f t="shared" si="15"/>
        <v>53.35681118959473</v>
      </c>
      <c r="J13" s="74">
        <v>0</v>
      </c>
      <c r="K13" s="74">
        <f t="shared" si="16"/>
        <v>150.17411513335782</v>
      </c>
      <c r="L13" s="74">
        <f t="shared" si="16"/>
        <v>5.6859333111127057</v>
      </c>
      <c r="M13" s="74">
        <v>0</v>
      </c>
      <c r="N13" s="75">
        <f t="shared" si="3"/>
        <v>1070.5287756615126</v>
      </c>
      <c r="O13" s="75">
        <f t="shared" si="4"/>
        <v>59.042744500707435</v>
      </c>
      <c r="P13" s="75">
        <f t="shared" si="5"/>
        <v>0</v>
      </c>
      <c r="Q13" s="76">
        <f t="shared" si="6"/>
        <v>0.85971968381647601</v>
      </c>
      <c r="R13" s="76">
        <f t="shared" si="13"/>
        <v>0.90369801811898198</v>
      </c>
      <c r="S13" s="76" t="s">
        <v>163</v>
      </c>
      <c r="T13" s="76">
        <f t="shared" si="7"/>
        <v>0.14028031618352399</v>
      </c>
      <c r="U13" s="76">
        <f t="shared" si="8"/>
        <v>9.6301981881018059E-2</v>
      </c>
      <c r="V13" s="76" t="s">
        <v>163</v>
      </c>
      <c r="W13" s="76">
        <v>1</v>
      </c>
      <c r="X13" s="76">
        <v>1</v>
      </c>
      <c r="Y13" s="76">
        <v>0</v>
      </c>
      <c r="Z13" s="53">
        <v>0</v>
      </c>
      <c r="AB13" s="51">
        <f t="shared" si="9"/>
        <v>2029</v>
      </c>
      <c r="AC13" s="77">
        <f>+AO18</f>
        <v>177.97150938738787</v>
      </c>
      <c r="AD13" s="77">
        <v>0</v>
      </c>
      <c r="AE13" s="77">
        <v>0</v>
      </c>
      <c r="AF13" s="77">
        <f>+AO19</f>
        <v>0</v>
      </c>
      <c r="AG13" s="77">
        <v>0</v>
      </c>
      <c r="AH13" s="77">
        <v>0</v>
      </c>
      <c r="AI13" s="77">
        <v>0</v>
      </c>
      <c r="AJ13" s="77">
        <v>0</v>
      </c>
      <c r="AK13" s="77">
        <v>0</v>
      </c>
      <c r="AL13" s="77">
        <v>0</v>
      </c>
      <c r="AM13" s="77">
        <f>+AP21</f>
        <v>18.049351904553586</v>
      </c>
      <c r="AN13" s="77">
        <v>0</v>
      </c>
      <c r="AO13" s="77">
        <f>+AO22</f>
        <v>892.55726627412469</v>
      </c>
      <c r="AP13" s="77">
        <f>+AP22</f>
        <v>40.993392596153853</v>
      </c>
      <c r="AQ13" s="77">
        <v>0</v>
      </c>
      <c r="AR13" s="78">
        <f t="shared" si="10"/>
        <v>1070.5287756615126</v>
      </c>
      <c r="AS13" s="78">
        <f t="shared" si="11"/>
        <v>59.042744500707443</v>
      </c>
      <c r="AT13" s="78">
        <f t="shared" si="12"/>
        <v>0</v>
      </c>
      <c r="AU13" s="32" t="b">
        <f t="shared" si="14"/>
        <v>1</v>
      </c>
      <c r="AV13" s="32"/>
      <c r="AW13" s="32"/>
      <c r="BD13" s="32"/>
    </row>
    <row r="14" spans="1:74" x14ac:dyDescent="0.25">
      <c r="A14" s="51" t="s">
        <v>175</v>
      </c>
      <c r="B14" s="75">
        <v>799.0394615071956</v>
      </c>
      <c r="C14" s="75">
        <v>15.129280745426094</v>
      </c>
      <c r="D14" s="75">
        <v>0</v>
      </c>
      <c r="E14" s="32"/>
      <c r="F14" s="32"/>
      <c r="G14" s="51" t="s">
        <v>175</v>
      </c>
      <c r="H14" s="75">
        <f t="shared" si="15"/>
        <v>710.37456108889512</v>
      </c>
      <c r="I14" s="75">
        <f t="shared" si="15"/>
        <v>12.999447359502593</v>
      </c>
      <c r="J14" s="75">
        <v>0</v>
      </c>
      <c r="K14" s="75">
        <f t="shared" si="16"/>
        <v>88.664900418300391</v>
      </c>
      <c r="L14" s="75">
        <f t="shared" si="16"/>
        <v>2.1298333859235026</v>
      </c>
      <c r="M14" s="75">
        <v>0</v>
      </c>
      <c r="N14" s="75">
        <f t="shared" si="3"/>
        <v>799.03946150719548</v>
      </c>
      <c r="O14" s="75">
        <f t="shared" si="4"/>
        <v>15.129280745426096</v>
      </c>
      <c r="P14" s="75">
        <f t="shared" si="5"/>
        <v>0</v>
      </c>
      <c r="Q14" s="76">
        <f t="shared" si="6"/>
        <v>0.88903564255630707</v>
      </c>
      <c r="R14" s="76">
        <f t="shared" si="13"/>
        <v>0.85922441246472359</v>
      </c>
      <c r="S14" s="76" t="s">
        <v>163</v>
      </c>
      <c r="T14" s="76">
        <f t="shared" si="7"/>
        <v>0.11096435744369297</v>
      </c>
      <c r="U14" s="76">
        <f t="shared" si="8"/>
        <v>0.14077558753527636</v>
      </c>
      <c r="V14" s="76" t="s">
        <v>163</v>
      </c>
      <c r="W14" s="76">
        <v>1</v>
      </c>
      <c r="X14" s="76">
        <v>1</v>
      </c>
      <c r="Y14" s="76">
        <v>0</v>
      </c>
      <c r="Z14" s="53">
        <v>0</v>
      </c>
      <c r="AB14" s="51" t="s">
        <v>175</v>
      </c>
      <c r="AC14" s="75">
        <f>+AQ18</f>
        <v>166.9088429836321</v>
      </c>
      <c r="AD14" s="75">
        <v>0</v>
      </c>
      <c r="AE14" s="75">
        <v>0</v>
      </c>
      <c r="AF14" s="75">
        <f>+AQ19</f>
        <v>0</v>
      </c>
      <c r="AG14" s="75">
        <v>0</v>
      </c>
      <c r="AH14" s="75">
        <v>0</v>
      </c>
      <c r="AI14" s="75">
        <v>0</v>
      </c>
      <c r="AJ14" s="75">
        <v>0</v>
      </c>
      <c r="AK14" s="75">
        <v>0</v>
      </c>
      <c r="AL14" s="75">
        <v>0</v>
      </c>
      <c r="AM14" s="75">
        <f>+AR21</f>
        <v>15.129280745426094</v>
      </c>
      <c r="AN14" s="75">
        <v>0</v>
      </c>
      <c r="AO14" s="75">
        <f>+AQ22</f>
        <v>632.1306185235635</v>
      </c>
      <c r="AP14" s="75">
        <f>+AR22</f>
        <v>0</v>
      </c>
      <c r="AQ14" s="75">
        <v>0</v>
      </c>
      <c r="AR14" s="78">
        <f t="shared" si="10"/>
        <v>799.0394615071956</v>
      </c>
      <c r="AS14" s="78">
        <f t="shared" si="11"/>
        <v>15.129280745426094</v>
      </c>
      <c r="AT14" s="78">
        <f t="shared" si="12"/>
        <v>0</v>
      </c>
      <c r="AU14" s="32" t="b">
        <f t="shared" si="14"/>
        <v>1</v>
      </c>
      <c r="AV14" s="32"/>
      <c r="AW14" s="32"/>
      <c r="BD14" s="32"/>
      <c r="BT14" s="54"/>
    </row>
    <row r="15" spans="1:74" x14ac:dyDescent="0.25">
      <c r="A15" s="93"/>
      <c r="B15" s="94"/>
      <c r="C15" s="94"/>
      <c r="D15" s="94"/>
      <c r="E15" s="32"/>
      <c r="F15" s="32"/>
      <c r="G15" s="93"/>
      <c r="H15" s="94"/>
      <c r="I15" s="94"/>
      <c r="J15" s="94"/>
      <c r="K15" s="94"/>
      <c r="L15" s="94"/>
      <c r="M15" s="94"/>
      <c r="N15" s="95"/>
      <c r="O15" s="95"/>
      <c r="P15" s="95"/>
      <c r="Q15" s="96"/>
      <c r="R15" s="96"/>
      <c r="S15" s="96"/>
      <c r="T15" s="96"/>
      <c r="U15" s="96"/>
      <c r="V15" s="96"/>
      <c r="W15" s="96"/>
      <c r="X15" s="96"/>
      <c r="Y15" s="96"/>
      <c r="Z15" s="53"/>
      <c r="AB15" s="93"/>
      <c r="AC15" s="97"/>
      <c r="AD15" s="97"/>
      <c r="AE15" s="97"/>
      <c r="AF15" s="97"/>
      <c r="AG15" s="97"/>
      <c r="AH15" s="97"/>
      <c r="AI15" s="97"/>
      <c r="AJ15" s="97"/>
      <c r="AK15" s="97"/>
      <c r="AL15" s="97"/>
      <c r="AM15" s="97"/>
      <c r="AN15" s="97"/>
      <c r="AO15" s="97"/>
      <c r="AP15" s="97"/>
      <c r="AQ15" s="97"/>
      <c r="AR15" s="98"/>
      <c r="AS15" s="98"/>
      <c r="AT15" s="98"/>
      <c r="AU15" s="32"/>
      <c r="AV15" s="32"/>
      <c r="AW15" s="32"/>
      <c r="BD15" s="32"/>
    </row>
    <row r="16" spans="1:74" x14ac:dyDescent="0.25">
      <c r="A16" s="93"/>
      <c r="B16" s="94"/>
      <c r="C16" s="94"/>
      <c r="D16" s="94"/>
      <c r="E16" s="32"/>
      <c r="F16" s="32"/>
      <c r="G16" s="93"/>
      <c r="H16" s="94"/>
      <c r="I16" s="94"/>
      <c r="J16" s="94"/>
      <c r="K16" s="94"/>
      <c r="L16" s="94"/>
      <c r="M16" s="94"/>
      <c r="N16" s="95"/>
      <c r="O16" s="95"/>
      <c r="P16" s="95"/>
      <c r="Q16" s="96"/>
      <c r="R16" s="96"/>
      <c r="S16" s="96"/>
      <c r="T16" s="96"/>
      <c r="U16" s="96"/>
      <c r="V16" s="96"/>
      <c r="W16" s="96"/>
      <c r="X16" s="96"/>
      <c r="Y16" s="96"/>
      <c r="Z16" s="53"/>
      <c r="AB16" s="93"/>
      <c r="AC16" s="97"/>
      <c r="AD16" s="97"/>
      <c r="AE16" s="97"/>
      <c r="AF16" s="97"/>
      <c r="AG16" s="97"/>
      <c r="AH16" s="97"/>
      <c r="AI16" s="97"/>
      <c r="AJ16" s="97"/>
      <c r="AK16" s="97"/>
      <c r="AL16" s="97"/>
      <c r="AM16" s="97"/>
      <c r="AN16" s="97"/>
      <c r="AO16" s="97"/>
      <c r="AP16" s="97"/>
      <c r="AQ16" s="97"/>
      <c r="AR16" s="98"/>
      <c r="AS16" s="98"/>
      <c r="AT16" s="98"/>
      <c r="AU16" s="32"/>
      <c r="AV16" s="32"/>
      <c r="AW16" s="32"/>
      <c r="BD16" s="32"/>
    </row>
    <row r="17" spans="1:68" x14ac:dyDescent="0.25">
      <c r="A17" s="93"/>
      <c r="B17" s="94"/>
      <c r="C17" s="94"/>
      <c r="D17" s="94"/>
      <c r="E17" s="32"/>
      <c r="F17" s="32"/>
      <c r="G17" s="93" t="s">
        <v>2</v>
      </c>
      <c r="H17" s="94" t="s">
        <v>98</v>
      </c>
      <c r="I17" s="93" t="s">
        <v>2</v>
      </c>
      <c r="J17" s="94" t="s">
        <v>98</v>
      </c>
      <c r="K17" s="93" t="s">
        <v>2</v>
      </c>
      <c r="L17" s="94" t="s">
        <v>98</v>
      </c>
      <c r="M17" s="93" t="s">
        <v>2</v>
      </c>
      <c r="N17" s="94" t="s">
        <v>98</v>
      </c>
      <c r="O17" s="93" t="s">
        <v>2</v>
      </c>
      <c r="P17" s="94" t="s">
        <v>98</v>
      </c>
      <c r="Q17" s="93" t="s">
        <v>2</v>
      </c>
      <c r="R17" s="94" t="s">
        <v>98</v>
      </c>
      <c r="S17" s="93" t="s">
        <v>2</v>
      </c>
      <c r="T17" s="94" t="s">
        <v>98</v>
      </c>
      <c r="U17" s="93" t="s">
        <v>2</v>
      </c>
      <c r="V17" s="94" t="s">
        <v>98</v>
      </c>
      <c r="W17" s="96"/>
      <c r="X17" s="96"/>
      <c r="Y17" s="96"/>
      <c r="Z17" s="53"/>
      <c r="AB17" s="93"/>
      <c r="AC17" s="93">
        <v>2023</v>
      </c>
      <c r="AD17" s="93">
        <v>2023</v>
      </c>
      <c r="AE17" s="93">
        <v>2024</v>
      </c>
      <c r="AF17" s="93">
        <v>2024</v>
      </c>
      <c r="AG17" s="93">
        <v>2025</v>
      </c>
      <c r="AH17" s="93">
        <v>2025</v>
      </c>
      <c r="AI17" s="93">
        <v>2026</v>
      </c>
      <c r="AJ17" s="93">
        <v>2026</v>
      </c>
      <c r="AK17" s="93">
        <v>2027</v>
      </c>
      <c r="AL17" s="93">
        <v>2027</v>
      </c>
      <c r="AM17" s="93">
        <v>2028</v>
      </c>
      <c r="AN17" s="93">
        <v>2028</v>
      </c>
      <c r="AO17" s="93">
        <v>2029</v>
      </c>
      <c r="AP17" s="93">
        <v>2029</v>
      </c>
      <c r="AQ17" s="93" t="s">
        <v>172</v>
      </c>
      <c r="AR17" s="93" t="s">
        <v>172</v>
      </c>
      <c r="AS17" s="98"/>
      <c r="AT17" s="98"/>
      <c r="AU17" s="32"/>
      <c r="AV17" s="32"/>
      <c r="AW17" s="32"/>
      <c r="BD17" s="32"/>
    </row>
    <row r="18" spans="1:68" x14ac:dyDescent="0.25">
      <c r="B18" s="74">
        <v>57379.118437812736</v>
      </c>
      <c r="C18" s="74">
        <v>130.1440193267137</v>
      </c>
      <c r="D18" s="94"/>
      <c r="E18" s="32"/>
      <c r="F18" s="32"/>
      <c r="G18" s="93">
        <v>2023</v>
      </c>
      <c r="H18" s="93">
        <v>2023</v>
      </c>
      <c r="I18" s="93">
        <v>2024</v>
      </c>
      <c r="J18" s="93">
        <v>2024</v>
      </c>
      <c r="K18" s="93">
        <v>2025</v>
      </c>
      <c r="L18" s="93">
        <v>2025</v>
      </c>
      <c r="M18" s="93">
        <v>2026</v>
      </c>
      <c r="N18" s="93">
        <v>2026</v>
      </c>
      <c r="O18" s="93">
        <v>2027</v>
      </c>
      <c r="P18" s="93">
        <v>2027</v>
      </c>
      <c r="Q18" s="93">
        <v>2028</v>
      </c>
      <c r="R18" s="93">
        <v>2028</v>
      </c>
      <c r="S18" s="93">
        <v>2029</v>
      </c>
      <c r="T18" s="93">
        <v>2029</v>
      </c>
      <c r="U18" s="93" t="s">
        <v>175</v>
      </c>
      <c r="V18" s="93" t="s">
        <v>175</v>
      </c>
      <c r="W18" s="96"/>
      <c r="X18" s="96"/>
      <c r="Y18" s="96"/>
      <c r="Z18" s="53"/>
      <c r="AB18" s="93" t="s">
        <v>177</v>
      </c>
      <c r="AC18" s="199">
        <v>15170.333164879847</v>
      </c>
      <c r="AD18" s="199">
        <v>0</v>
      </c>
      <c r="AE18" s="97">
        <v>1767.7678575370269</v>
      </c>
      <c r="AF18" s="97">
        <v>0</v>
      </c>
      <c r="AG18" s="97">
        <v>404.04629632614365</v>
      </c>
      <c r="AH18" s="97">
        <v>0</v>
      </c>
      <c r="AI18" s="97">
        <v>232.78985169344546</v>
      </c>
      <c r="AJ18" s="97">
        <v>0</v>
      </c>
      <c r="AK18" s="97">
        <v>181.46057828959104</v>
      </c>
      <c r="AL18" s="97">
        <v>0</v>
      </c>
      <c r="AM18" s="97">
        <v>180.19195975922148</v>
      </c>
      <c r="AN18" s="97">
        <v>0</v>
      </c>
      <c r="AO18" s="97">
        <v>177.97150938738787</v>
      </c>
      <c r="AP18" s="97">
        <v>0</v>
      </c>
      <c r="AQ18" s="97">
        <v>166.9088429836321</v>
      </c>
      <c r="AR18" s="98">
        <v>0</v>
      </c>
      <c r="AS18" s="98"/>
      <c r="AT18" s="98"/>
      <c r="AU18" s="32"/>
      <c r="AV18" s="32"/>
      <c r="AW18" s="32"/>
      <c r="BD18" s="32"/>
    </row>
    <row r="19" spans="1:68" x14ac:dyDescent="0.25">
      <c r="B19" s="74">
        <v>51781.507506252805</v>
      </c>
      <c r="C19" s="74">
        <v>131.63255926391793</v>
      </c>
      <c r="D19" s="110"/>
      <c r="E19" s="32"/>
      <c r="F19" s="32" t="s">
        <v>217</v>
      </c>
      <c r="G19" s="197">
        <v>57379.118437812736</v>
      </c>
      <c r="H19" s="198">
        <v>130.1440193267137</v>
      </c>
      <c r="I19" s="140">
        <v>51781.507506252805</v>
      </c>
      <c r="J19" s="140">
        <v>131.63255926391793</v>
      </c>
      <c r="K19" s="140">
        <v>50305.22820138411</v>
      </c>
      <c r="L19" s="140">
        <v>127.52941473698539</v>
      </c>
      <c r="M19" s="140">
        <v>20987.031982115805</v>
      </c>
      <c r="N19" s="141">
        <v>115.99110210438297</v>
      </c>
      <c r="O19" s="141">
        <v>9837.7974685177815</v>
      </c>
      <c r="P19" s="141">
        <v>110.13940346877978</v>
      </c>
      <c r="Q19" s="142">
        <v>1112.8817752573786</v>
      </c>
      <c r="R19" s="142">
        <v>104.63168077568065</v>
      </c>
      <c r="S19" s="142">
        <v>1070.5287756615126</v>
      </c>
      <c r="T19" s="142">
        <v>59.042744500707443</v>
      </c>
      <c r="U19" s="142">
        <v>799.0394615071956</v>
      </c>
      <c r="V19" s="142">
        <v>15.129280745426094</v>
      </c>
      <c r="W19" s="96"/>
      <c r="X19" s="96"/>
      <c r="Y19" s="96"/>
      <c r="Z19" s="53"/>
      <c r="AB19" s="93" t="s">
        <v>178</v>
      </c>
      <c r="AC19" s="199">
        <v>19546.544825953002</v>
      </c>
      <c r="AD19" s="199">
        <v>0</v>
      </c>
      <c r="AE19" s="97">
        <v>13641.246043177394</v>
      </c>
      <c r="AF19" s="97">
        <v>0</v>
      </c>
      <c r="AG19" s="97">
        <v>7651.898862378649</v>
      </c>
      <c r="AH19" s="97">
        <v>0</v>
      </c>
      <c r="AI19" s="97">
        <v>5412.8577310041737</v>
      </c>
      <c r="AJ19" s="97">
        <v>0</v>
      </c>
      <c r="AK19" s="97">
        <v>1838.2549580880193</v>
      </c>
      <c r="AL19" s="97">
        <v>0</v>
      </c>
      <c r="AM19" s="97">
        <v>0</v>
      </c>
      <c r="AN19" s="97">
        <v>0</v>
      </c>
      <c r="AO19" s="97">
        <v>0</v>
      </c>
      <c r="AP19" s="97">
        <v>0</v>
      </c>
      <c r="AQ19" s="97">
        <v>0</v>
      </c>
      <c r="AR19" s="98">
        <v>0</v>
      </c>
      <c r="AS19" s="98"/>
      <c r="AT19" s="98"/>
      <c r="AU19" s="32"/>
      <c r="AV19" s="32"/>
      <c r="AW19" s="32"/>
      <c r="BD19" s="32"/>
    </row>
    <row r="20" spans="1:68" x14ac:dyDescent="0.25">
      <c r="B20" s="74">
        <v>50305.22820138411</v>
      </c>
      <c r="C20" s="74">
        <v>127.52941473698539</v>
      </c>
      <c r="D20" s="94"/>
      <c r="E20" s="32"/>
      <c r="F20" s="32" t="s">
        <v>86</v>
      </c>
      <c r="G20" s="197">
        <v>28597.187327013424</v>
      </c>
      <c r="H20" s="198">
        <v>96.00533608296891</v>
      </c>
      <c r="I20" s="140">
        <v>33604.146982385617</v>
      </c>
      <c r="J20" s="140">
        <v>96.062215402602646</v>
      </c>
      <c r="K20" s="140">
        <v>44751.870338870984</v>
      </c>
      <c r="L20" s="140">
        <v>97.587877704085372</v>
      </c>
      <c r="M20" s="140">
        <v>18973.988290597768</v>
      </c>
      <c r="N20" s="141">
        <v>93.20357223036396</v>
      </c>
      <c r="O20" s="141">
        <v>9567.6365485481547</v>
      </c>
      <c r="P20" s="141">
        <v>93.203904310363953</v>
      </c>
      <c r="Q20" s="142">
        <v>920.3546605281548</v>
      </c>
      <c r="R20" s="142">
        <v>93.204240360363968</v>
      </c>
      <c r="S20" s="142">
        <v>920.3546605281548</v>
      </c>
      <c r="T20" s="142">
        <v>53.35681118959473</v>
      </c>
      <c r="U20" s="142">
        <v>710.37456108889512</v>
      </c>
      <c r="V20" s="142">
        <v>12.999447359502593</v>
      </c>
      <c r="W20" s="96"/>
      <c r="X20" s="96"/>
      <c r="Y20" s="96"/>
      <c r="Z20" s="53"/>
      <c r="AB20" s="93" t="s">
        <v>180</v>
      </c>
      <c r="AC20" s="199"/>
      <c r="AD20" s="199"/>
      <c r="AE20" s="97"/>
      <c r="AF20" s="97"/>
      <c r="AG20" s="97"/>
      <c r="AH20" s="97"/>
      <c r="AI20" s="97"/>
      <c r="AJ20" s="97"/>
      <c r="AK20" s="97"/>
      <c r="AL20" s="97"/>
      <c r="AM20" s="97"/>
      <c r="AN20" s="97"/>
      <c r="AO20" s="97"/>
      <c r="AP20" s="97"/>
      <c r="AQ20" s="97"/>
      <c r="AR20" s="98"/>
      <c r="AS20" s="98"/>
      <c r="AT20" s="98"/>
      <c r="AU20" s="32"/>
      <c r="AV20" s="32"/>
      <c r="AW20" s="32"/>
      <c r="BD20" s="32"/>
    </row>
    <row r="21" spans="1:68" ht="18" x14ac:dyDescent="0.25">
      <c r="B21" s="74">
        <v>20987.031982115805</v>
      </c>
      <c r="C21" s="74">
        <v>115.99110210438297</v>
      </c>
      <c r="D21" s="94"/>
      <c r="E21" s="32"/>
      <c r="F21" s="32" t="s">
        <v>87</v>
      </c>
      <c r="G21" s="197">
        <v>28781.931110799313</v>
      </c>
      <c r="H21" s="198">
        <v>34.138683243744772</v>
      </c>
      <c r="I21" s="140">
        <v>18177.360523867192</v>
      </c>
      <c r="J21" s="140">
        <v>35.570343861315287</v>
      </c>
      <c r="K21" s="140">
        <v>5553.3578625131349</v>
      </c>
      <c r="L21" s="140">
        <v>29.94153703290003</v>
      </c>
      <c r="M21" s="140">
        <v>3118.9199065622133</v>
      </c>
      <c r="N21" s="141">
        <v>22.787529874019008</v>
      </c>
      <c r="O21" s="141">
        <v>270.16091996962672</v>
      </c>
      <c r="P21" s="141">
        <v>16.935499158415816</v>
      </c>
      <c r="Q21" s="142">
        <v>192.52711472922385</v>
      </c>
      <c r="R21" s="142">
        <v>11.427440415316692</v>
      </c>
      <c r="S21" s="142">
        <v>150.17411513335782</v>
      </c>
      <c r="T21" s="142">
        <v>5.6859333111127057</v>
      </c>
      <c r="U21" s="142">
        <v>88.664900418300391</v>
      </c>
      <c r="V21" s="142">
        <v>2.1298333859235026</v>
      </c>
      <c r="W21" s="96"/>
      <c r="X21" s="96"/>
      <c r="Y21" s="96"/>
      <c r="Z21" s="53"/>
      <c r="AB21" s="93" t="s">
        <v>179</v>
      </c>
      <c r="AC21" s="199">
        <v>0</v>
      </c>
      <c r="AD21" s="199">
        <v>25.615006634405987</v>
      </c>
      <c r="AE21" s="97">
        <v>0</v>
      </c>
      <c r="AF21" s="97">
        <v>27.87893013391794</v>
      </c>
      <c r="AG21" s="97">
        <v>0</v>
      </c>
      <c r="AH21" s="97">
        <v>28.358279063908462</v>
      </c>
      <c r="AI21" s="97">
        <v>0</v>
      </c>
      <c r="AJ21" s="97">
        <v>21.402459892844501</v>
      </c>
      <c r="AK21" s="97">
        <v>0</v>
      </c>
      <c r="AL21" s="97">
        <v>20.133254718779767</v>
      </c>
      <c r="AM21" s="97">
        <v>0</v>
      </c>
      <c r="AN21" s="97">
        <v>19.208025487219103</v>
      </c>
      <c r="AO21" s="97">
        <v>0</v>
      </c>
      <c r="AP21" s="97">
        <v>18.049351904553586</v>
      </c>
      <c r="AQ21" s="97">
        <v>0</v>
      </c>
      <c r="AR21" s="98">
        <v>15.129280745426094</v>
      </c>
      <c r="AS21" s="98"/>
      <c r="AT21" s="98"/>
      <c r="AU21" s="32"/>
      <c r="AV21" s="32"/>
      <c r="AW21" s="32"/>
      <c r="BD21" s="32"/>
      <c r="BP21" s="200" t="s">
        <v>221</v>
      </c>
    </row>
    <row r="22" spans="1:68" ht="15.75" x14ac:dyDescent="0.25">
      <c r="B22" s="74">
        <v>9837.7974685177815</v>
      </c>
      <c r="C22" s="74">
        <v>110.13940346877978</v>
      </c>
      <c r="D22" s="94"/>
      <c r="E22" s="32"/>
      <c r="F22" s="32"/>
      <c r="G22" s="93"/>
      <c r="H22" s="94"/>
      <c r="I22" s="94"/>
      <c r="J22" s="94"/>
      <c r="K22" s="94"/>
      <c r="L22" s="94"/>
      <c r="M22" s="94"/>
      <c r="N22" s="95"/>
      <c r="O22" s="95"/>
      <c r="P22" s="95"/>
      <c r="Q22" s="96"/>
      <c r="R22" s="96"/>
      <c r="S22" s="96"/>
      <c r="T22" s="96"/>
      <c r="U22" s="96"/>
      <c r="V22" s="96"/>
      <c r="W22" s="96"/>
      <c r="X22" s="96"/>
      <c r="Y22" s="96"/>
      <c r="Z22" s="53"/>
      <c r="AB22" s="93" t="s">
        <v>181</v>
      </c>
      <c r="AC22" s="199">
        <v>22662.240446979886</v>
      </c>
      <c r="AD22" s="199">
        <v>104.5290126923077</v>
      </c>
      <c r="AE22" s="97">
        <v>36372.493605538381</v>
      </c>
      <c r="AF22" s="97">
        <v>103.75362912999999</v>
      </c>
      <c r="AG22" s="97">
        <v>42249.283042679315</v>
      </c>
      <c r="AH22" s="97">
        <v>99.171135673076932</v>
      </c>
      <c r="AI22" s="97">
        <v>15341.384399418186</v>
      </c>
      <c r="AJ22" s="97">
        <v>94.58864221153847</v>
      </c>
      <c r="AK22" s="97">
        <v>7818.0819321401714</v>
      </c>
      <c r="AL22" s="97">
        <v>90.006148750000008</v>
      </c>
      <c r="AM22" s="97">
        <v>932.68981549815715</v>
      </c>
      <c r="AN22" s="97">
        <v>85.423655288461546</v>
      </c>
      <c r="AO22" s="97">
        <v>892.55726627412469</v>
      </c>
      <c r="AP22" s="97">
        <v>40.993392596153853</v>
      </c>
      <c r="AQ22" s="97">
        <v>632.1306185235635</v>
      </c>
      <c r="AR22" s="98">
        <v>0</v>
      </c>
      <c r="AS22" s="98"/>
      <c r="AT22" s="98"/>
      <c r="AU22" s="32"/>
      <c r="AV22" s="32"/>
      <c r="AW22" s="32"/>
      <c r="BD22" s="32"/>
      <c r="BP22" s="201" t="s">
        <v>222</v>
      </c>
    </row>
    <row r="23" spans="1:68" ht="15.75" x14ac:dyDescent="0.25">
      <c r="B23" s="74">
        <v>1112.8817752573786</v>
      </c>
      <c r="C23" s="74">
        <v>104.63168077568065</v>
      </c>
      <c r="D23" s="94"/>
      <c r="E23" s="32"/>
      <c r="F23" s="32"/>
      <c r="G23" s="93"/>
      <c r="H23" s="94"/>
      <c r="I23" s="94"/>
      <c r="J23" s="94"/>
      <c r="K23" s="94"/>
      <c r="L23" s="94"/>
      <c r="M23" s="94"/>
      <c r="N23" s="95"/>
      <c r="O23" s="95"/>
      <c r="P23" s="95"/>
      <c r="Q23" s="96"/>
      <c r="R23" s="96"/>
      <c r="S23" s="96"/>
      <c r="T23" s="96"/>
      <c r="U23" s="96"/>
      <c r="V23" s="96"/>
      <c r="W23" s="96"/>
      <c r="X23" s="96"/>
      <c r="Y23" s="96"/>
      <c r="Z23" s="53"/>
      <c r="AB23" s="93"/>
      <c r="AC23" s="199"/>
      <c r="AD23" s="199"/>
      <c r="AE23" s="97"/>
      <c r="AF23" s="97"/>
      <c r="AG23" s="97"/>
      <c r="AH23" s="97"/>
      <c r="AI23" s="97"/>
      <c r="AJ23" s="97"/>
      <c r="AK23" s="97"/>
      <c r="AL23" s="97"/>
      <c r="AM23" s="97"/>
      <c r="AN23" s="97"/>
      <c r="AO23" s="97"/>
      <c r="AP23" s="97"/>
      <c r="AQ23" s="97"/>
      <c r="AR23" s="98"/>
      <c r="AS23" s="98"/>
      <c r="AT23" s="98"/>
      <c r="AU23" s="32"/>
      <c r="AV23" s="32"/>
      <c r="AW23" s="32"/>
      <c r="BD23" s="32"/>
      <c r="BP23" s="201" t="s">
        <v>249</v>
      </c>
    </row>
    <row r="24" spans="1:68" x14ac:dyDescent="0.25">
      <c r="B24" s="74">
        <v>1070.5287756615126</v>
      </c>
      <c r="C24" s="74">
        <v>59.042744500707443</v>
      </c>
      <c r="D24" s="94"/>
      <c r="E24" s="32"/>
      <c r="F24" s="32"/>
      <c r="G24" s="93"/>
      <c r="H24" s="94"/>
      <c r="I24" s="94"/>
      <c r="J24" s="94"/>
      <c r="K24" s="94"/>
      <c r="L24" s="94"/>
      <c r="M24" s="94"/>
      <c r="N24" s="95"/>
      <c r="O24" s="95"/>
      <c r="P24" s="95"/>
      <c r="Q24" s="96"/>
      <c r="R24" s="96"/>
      <c r="S24" s="96"/>
      <c r="T24" s="96"/>
      <c r="U24" s="96"/>
      <c r="V24" s="96"/>
      <c r="W24" s="96"/>
      <c r="X24" s="96"/>
      <c r="Y24" s="96"/>
      <c r="Z24" s="53"/>
      <c r="AB24" s="93"/>
      <c r="AC24" s="199" t="b">
        <f>+SUM(AC18:AC22)=G19</f>
        <v>1</v>
      </c>
      <c r="AD24" s="199" t="b">
        <f t="shared" ref="AD24:AP24" si="17">+SUM(AD18:AD22)=H19</f>
        <v>1</v>
      </c>
      <c r="AE24" s="97" t="b">
        <f t="shared" si="17"/>
        <v>1</v>
      </c>
      <c r="AF24" s="97" t="b">
        <f t="shared" si="17"/>
        <v>1</v>
      </c>
      <c r="AG24" s="97" t="b">
        <f t="shared" si="17"/>
        <v>1</v>
      </c>
      <c r="AH24" s="97" t="b">
        <f t="shared" si="17"/>
        <v>1</v>
      </c>
      <c r="AI24" s="97" t="b">
        <f t="shared" si="17"/>
        <v>1</v>
      </c>
      <c r="AJ24" s="97" t="b">
        <f t="shared" si="17"/>
        <v>1</v>
      </c>
      <c r="AK24" s="97" t="b">
        <f t="shared" si="17"/>
        <v>1</v>
      </c>
      <c r="AL24" s="97" t="b">
        <f t="shared" si="17"/>
        <v>1</v>
      </c>
      <c r="AM24" s="97" t="b">
        <f t="shared" si="17"/>
        <v>1</v>
      </c>
      <c r="AN24" s="97" t="b">
        <f t="shared" si="17"/>
        <v>1</v>
      </c>
      <c r="AO24" s="97" t="b">
        <f t="shared" si="17"/>
        <v>1</v>
      </c>
      <c r="AP24" s="97" t="b">
        <f t="shared" si="17"/>
        <v>1</v>
      </c>
      <c r="AQ24" s="97" t="b">
        <f>+SUM(AQ18:AQ22)=U19</f>
        <v>1</v>
      </c>
      <c r="AR24" s="97" t="b">
        <f>+SUM(AR18:AR22)=V19</f>
        <v>1</v>
      </c>
      <c r="AS24" s="98"/>
      <c r="AT24" s="98"/>
      <c r="AU24" s="32"/>
      <c r="AV24" s="32"/>
      <c r="AW24" s="32"/>
      <c r="BD24" s="32"/>
    </row>
    <row r="25" spans="1:68" x14ac:dyDescent="0.25">
      <c r="B25" s="74">
        <v>799.0394615071956</v>
      </c>
      <c r="C25" s="74">
        <v>15.129280745426094</v>
      </c>
      <c r="D25" s="94"/>
      <c r="E25" s="32"/>
      <c r="F25" s="32"/>
      <c r="G25" s="93"/>
      <c r="H25" s="94"/>
      <c r="I25" s="94"/>
      <c r="J25" s="94"/>
      <c r="K25" s="94"/>
      <c r="L25" s="94"/>
      <c r="M25" s="94"/>
      <c r="N25" s="95"/>
      <c r="O25" s="95"/>
      <c r="P25" s="95"/>
      <c r="Q25" s="96"/>
      <c r="R25" s="96"/>
      <c r="S25" s="96"/>
      <c r="T25" s="96"/>
      <c r="U25" s="96"/>
      <c r="V25" s="96"/>
      <c r="W25" s="96"/>
      <c r="X25" s="96"/>
      <c r="Y25" s="96"/>
      <c r="Z25" s="53"/>
      <c r="AB25" s="93"/>
      <c r="AC25" s="97"/>
      <c r="AD25" s="97"/>
      <c r="AE25" s="97"/>
      <c r="AF25" s="97"/>
      <c r="AG25" s="97"/>
      <c r="AH25" s="97"/>
      <c r="AI25" s="97"/>
      <c r="AJ25" s="97"/>
      <c r="AK25" s="97"/>
      <c r="AL25" s="97"/>
      <c r="AM25" s="97"/>
      <c r="AN25" s="97"/>
      <c r="AO25" s="97"/>
      <c r="AP25" s="97"/>
      <c r="AQ25" s="97"/>
      <c r="AR25" s="98"/>
      <c r="AS25" s="98"/>
      <c r="AT25" s="98"/>
      <c r="AU25" s="32"/>
      <c r="AV25" s="32"/>
      <c r="AW25" s="32"/>
      <c r="BD25" s="32"/>
    </row>
    <row r="26" spans="1:68" x14ac:dyDescent="0.25">
      <c r="B26" s="94"/>
      <c r="C26" s="94"/>
      <c r="D26" s="94"/>
      <c r="E26" s="32"/>
      <c r="F26" s="32"/>
      <c r="G26" s="93"/>
      <c r="H26" s="94"/>
      <c r="I26" s="94"/>
      <c r="J26" s="94"/>
      <c r="K26" s="94"/>
      <c r="L26" s="94"/>
      <c r="M26" s="94"/>
      <c r="N26" s="95"/>
      <c r="O26" s="95"/>
      <c r="P26" s="95"/>
      <c r="Q26" s="96"/>
      <c r="R26" s="96"/>
      <c r="S26" s="96"/>
      <c r="T26" s="96"/>
      <c r="U26" s="96"/>
      <c r="V26" s="96"/>
      <c r="W26" s="96"/>
      <c r="X26" s="96"/>
      <c r="Y26" s="96"/>
      <c r="Z26" s="53"/>
      <c r="AB26" s="93"/>
      <c r="AC26" s="97"/>
      <c r="AD26" s="97"/>
      <c r="AE26" s="97"/>
      <c r="AF26" s="97"/>
      <c r="AG26" s="97"/>
      <c r="AH26" s="97"/>
      <c r="AI26" s="97"/>
      <c r="AJ26" s="97"/>
      <c r="AK26" s="97"/>
      <c r="AL26" s="97"/>
      <c r="AM26" s="97"/>
      <c r="AN26" s="97"/>
      <c r="AO26" s="97"/>
      <c r="AP26" s="97"/>
      <c r="AQ26" s="97"/>
      <c r="AR26" s="98"/>
      <c r="AS26" s="98"/>
      <c r="AT26" s="98"/>
      <c r="AU26" s="32"/>
      <c r="AV26" s="32"/>
      <c r="AW26" s="32"/>
      <c r="BD26" s="32"/>
    </row>
    <row r="27" spans="1:68" x14ac:dyDescent="0.25">
      <c r="B27" s="94"/>
      <c r="C27" s="94"/>
      <c r="D27" s="94"/>
      <c r="E27" s="32"/>
      <c r="F27" s="32"/>
      <c r="G27" s="93"/>
      <c r="H27" s="94"/>
      <c r="I27" s="94"/>
      <c r="J27" s="94"/>
      <c r="K27" s="94"/>
      <c r="L27" s="94"/>
      <c r="M27" s="94"/>
      <c r="N27" s="95"/>
      <c r="O27" s="95"/>
      <c r="P27" s="95"/>
      <c r="Q27" s="96"/>
      <c r="R27" s="96"/>
      <c r="S27" s="96"/>
      <c r="T27" s="96"/>
      <c r="U27" s="96"/>
      <c r="V27" s="96"/>
      <c r="W27" s="96"/>
      <c r="X27" s="96"/>
      <c r="Y27" s="96"/>
      <c r="Z27" s="53"/>
      <c r="AB27" s="93"/>
      <c r="AC27" s="97"/>
      <c r="AD27" s="97"/>
      <c r="AE27" s="97"/>
      <c r="AF27" s="97"/>
      <c r="AG27" s="97"/>
      <c r="AH27" s="97"/>
      <c r="AI27" s="97"/>
      <c r="AJ27" s="97"/>
      <c r="AK27" s="97"/>
      <c r="AL27" s="97"/>
      <c r="AM27" s="97"/>
      <c r="AN27" s="97"/>
      <c r="AO27" s="97"/>
      <c r="AP27" s="97"/>
      <c r="AQ27" s="97"/>
      <c r="AR27" s="98"/>
      <c r="AS27" s="98"/>
      <c r="AT27" s="98"/>
      <c r="AU27" s="32"/>
      <c r="AV27" s="32"/>
      <c r="AW27" s="32"/>
      <c r="BD27" s="32"/>
    </row>
    <row r="28" spans="1:68" x14ac:dyDescent="0.25">
      <c r="B28" s="94"/>
      <c r="C28" s="94"/>
      <c r="D28" s="94"/>
      <c r="E28" s="32"/>
      <c r="F28" s="32"/>
      <c r="G28" s="93"/>
      <c r="H28" s="94"/>
      <c r="I28" s="94"/>
      <c r="J28" s="94"/>
      <c r="K28" s="94"/>
      <c r="L28" s="94"/>
      <c r="M28" s="94"/>
      <c r="N28" s="95"/>
      <c r="O28" s="95"/>
      <c r="P28" s="95"/>
      <c r="Q28" s="96"/>
      <c r="R28" s="96"/>
      <c r="S28" s="96"/>
      <c r="T28" s="96"/>
      <c r="U28" s="96"/>
      <c r="V28" s="96"/>
      <c r="W28" s="96"/>
      <c r="X28" s="96"/>
      <c r="Y28" s="96"/>
      <c r="Z28" s="53"/>
      <c r="AB28" s="93"/>
      <c r="AC28" s="97"/>
      <c r="AD28" s="97"/>
      <c r="AE28" s="97"/>
      <c r="AF28" s="97"/>
      <c r="AG28" s="97"/>
      <c r="AH28" s="97"/>
      <c r="AI28" s="97"/>
      <c r="AJ28" s="97"/>
      <c r="AK28" s="97"/>
      <c r="AL28" s="97"/>
      <c r="AM28" s="97"/>
      <c r="AN28" s="97"/>
      <c r="AO28" s="97"/>
      <c r="AP28" s="97"/>
      <c r="AQ28" s="97"/>
      <c r="AR28" s="98"/>
      <c r="AS28" s="98"/>
      <c r="AT28" s="98"/>
      <c r="AU28" s="32"/>
      <c r="AV28" s="32"/>
    </row>
    <row r="29" spans="1:68" x14ac:dyDescent="0.25">
      <c r="B29" s="94"/>
      <c r="C29" s="94"/>
      <c r="D29" s="94"/>
      <c r="E29" s="32"/>
      <c r="F29" s="32"/>
      <c r="G29" s="93"/>
      <c r="H29" s="94"/>
      <c r="I29" s="94"/>
      <c r="J29" s="94"/>
      <c r="K29" s="94"/>
      <c r="L29" s="94"/>
      <c r="M29" s="94"/>
      <c r="N29" s="95"/>
      <c r="O29" s="95"/>
      <c r="P29" s="95"/>
      <c r="Q29" s="96"/>
      <c r="R29" s="96"/>
      <c r="S29" s="96"/>
      <c r="T29" s="96"/>
      <c r="U29" s="96"/>
      <c r="V29" s="96"/>
      <c r="W29" s="96"/>
      <c r="X29" s="96"/>
      <c r="Y29" s="96"/>
      <c r="Z29" s="53"/>
      <c r="AB29" s="93"/>
      <c r="AC29" s="97"/>
      <c r="AD29" s="97"/>
      <c r="AE29" s="97"/>
      <c r="AF29" s="97"/>
      <c r="AG29" s="97"/>
      <c r="AH29" s="97"/>
      <c r="AI29" s="97"/>
      <c r="AJ29" s="97"/>
      <c r="AK29" s="97"/>
      <c r="AL29" s="97"/>
      <c r="AM29" s="97"/>
      <c r="AN29" s="97"/>
      <c r="AO29" s="97"/>
      <c r="AP29" s="97"/>
      <c r="AQ29" s="97"/>
      <c r="AR29" s="98"/>
      <c r="AS29" s="98"/>
      <c r="AT29" s="98"/>
      <c r="AU29" s="32"/>
      <c r="AV29" s="32"/>
    </row>
    <row r="30" spans="1:68" x14ac:dyDescent="0.25">
      <c r="P30" s="95"/>
      <c r="Q30" s="96"/>
      <c r="R30" s="96"/>
      <c r="S30" s="96"/>
      <c r="T30" s="96"/>
      <c r="U30" s="96"/>
      <c r="V30" s="96"/>
      <c r="W30" s="96"/>
      <c r="X30" s="96"/>
      <c r="Y30" s="96"/>
      <c r="Z30" s="53"/>
      <c r="AB30" s="93"/>
      <c r="AC30" s="97"/>
      <c r="AD30" s="97"/>
      <c r="AE30" s="97"/>
      <c r="AF30" s="97"/>
      <c r="AG30" s="97"/>
      <c r="AH30" s="97"/>
      <c r="AI30" s="97"/>
      <c r="AJ30" s="97"/>
      <c r="AK30" s="97"/>
      <c r="AL30" s="97"/>
      <c r="AM30" s="97"/>
      <c r="AN30" s="97"/>
      <c r="AO30" s="97"/>
      <c r="AP30" s="97"/>
      <c r="AQ30" s="97"/>
      <c r="AR30" s="98"/>
      <c r="AS30" s="98"/>
      <c r="AT30" s="98"/>
      <c r="AU30" s="32"/>
      <c r="AV30" s="32"/>
    </row>
    <row r="31" spans="1:68" x14ac:dyDescent="0.25">
      <c r="B31" s="94"/>
      <c r="C31" s="94"/>
      <c r="D31" s="94"/>
      <c r="G31" s="93"/>
      <c r="H31" s="94"/>
      <c r="I31" s="94"/>
      <c r="J31" s="94"/>
      <c r="K31" s="94"/>
      <c r="L31" s="94"/>
      <c r="M31" s="94"/>
      <c r="N31" s="95"/>
      <c r="O31" s="95"/>
      <c r="P31" s="95"/>
      <c r="Q31" s="96"/>
      <c r="R31" s="96"/>
      <c r="S31" s="96"/>
      <c r="T31" s="96"/>
      <c r="U31" s="96"/>
      <c r="V31" s="96"/>
      <c r="W31" s="96"/>
      <c r="X31" s="96"/>
      <c r="Y31" s="96"/>
      <c r="Z31" s="53"/>
      <c r="AB31" s="93"/>
      <c r="AC31" s="97"/>
      <c r="AD31" s="97"/>
      <c r="AE31" s="97"/>
      <c r="AF31" s="97"/>
      <c r="AG31" s="97"/>
      <c r="AH31" s="97"/>
      <c r="AI31" s="97"/>
      <c r="AJ31" s="97"/>
      <c r="AK31" s="97"/>
      <c r="AL31" s="97"/>
      <c r="AM31" s="97"/>
      <c r="AN31" s="97"/>
      <c r="AO31" s="97"/>
      <c r="AP31" s="97"/>
      <c r="AQ31" s="97"/>
      <c r="AR31" s="98"/>
      <c r="AS31" s="98"/>
      <c r="AT31" s="98"/>
      <c r="AU31" s="32"/>
      <c r="AV31" s="32"/>
    </row>
    <row r="32" spans="1:68" x14ac:dyDescent="0.25">
      <c r="B32" s="94"/>
      <c r="C32" s="94"/>
      <c r="D32" s="94"/>
      <c r="G32" s="93"/>
      <c r="H32" s="94"/>
      <c r="I32" s="94"/>
      <c r="J32" s="94"/>
      <c r="K32" s="94"/>
      <c r="L32" s="94"/>
      <c r="M32" s="94"/>
      <c r="N32" s="95"/>
      <c r="O32" s="95"/>
      <c r="P32" s="95"/>
      <c r="Q32" s="96"/>
      <c r="R32" s="96"/>
      <c r="S32" s="96"/>
      <c r="T32" s="96"/>
      <c r="U32" s="96"/>
      <c r="V32" s="96"/>
      <c r="W32" s="96"/>
      <c r="X32" s="96"/>
      <c r="Y32" s="96"/>
      <c r="Z32" s="53"/>
      <c r="AB32" s="93"/>
      <c r="AC32" s="97"/>
      <c r="AD32" s="97"/>
      <c r="AE32" s="97"/>
      <c r="AF32" s="97"/>
      <c r="AG32" s="97"/>
      <c r="AH32" s="97"/>
      <c r="AI32" s="97"/>
      <c r="AJ32" s="97"/>
      <c r="AK32" s="97"/>
      <c r="AL32" s="97"/>
      <c r="AM32" s="97"/>
      <c r="AN32" s="97"/>
      <c r="AO32" s="97"/>
      <c r="AP32" s="97"/>
      <c r="AQ32" s="97"/>
      <c r="AR32" s="98"/>
      <c r="AS32" s="98"/>
      <c r="AT32" s="98"/>
      <c r="AU32" s="32"/>
      <c r="AV32" s="32"/>
    </row>
    <row r="33" spans="1:68" x14ac:dyDescent="0.25">
      <c r="B33" s="94"/>
      <c r="C33" s="94"/>
      <c r="D33" s="94"/>
      <c r="G33" s="93"/>
      <c r="H33" s="94"/>
      <c r="I33" s="94"/>
      <c r="J33" s="94"/>
      <c r="K33" s="94"/>
      <c r="L33" s="94"/>
      <c r="M33" s="94"/>
      <c r="N33" s="95"/>
      <c r="O33" s="95"/>
      <c r="P33" s="95"/>
      <c r="Q33" s="96"/>
      <c r="R33" s="96"/>
      <c r="S33" s="96"/>
      <c r="T33" s="96"/>
      <c r="U33" s="96"/>
      <c r="V33" s="96"/>
      <c r="W33" s="96"/>
      <c r="X33" s="96"/>
      <c r="Y33" s="96"/>
      <c r="Z33" s="53"/>
      <c r="AB33" s="93"/>
      <c r="AC33" s="97"/>
      <c r="AD33" s="97"/>
      <c r="AE33" s="97"/>
      <c r="AF33" s="97"/>
      <c r="AG33" s="97"/>
      <c r="AH33" s="97"/>
      <c r="AI33" s="97"/>
      <c r="AJ33" s="97"/>
      <c r="AK33" s="97"/>
      <c r="AL33" s="97"/>
      <c r="AM33" s="97"/>
      <c r="AN33" s="97"/>
      <c r="AO33" s="97"/>
      <c r="AP33" s="97"/>
      <c r="AQ33" s="97"/>
      <c r="AR33" s="98"/>
      <c r="AS33" s="98"/>
      <c r="AT33" s="98"/>
      <c r="AU33" s="32"/>
      <c r="AV33" s="32"/>
    </row>
    <row r="34" spans="1:68" x14ac:dyDescent="0.25">
      <c r="A34" s="93"/>
      <c r="B34" s="94"/>
      <c r="C34" s="94"/>
      <c r="D34" s="94"/>
      <c r="G34" s="93"/>
      <c r="H34" s="94"/>
      <c r="I34" s="94"/>
      <c r="J34" s="94"/>
      <c r="K34" s="94"/>
      <c r="L34" s="94"/>
      <c r="M34" s="94"/>
      <c r="N34" s="95"/>
      <c r="O34" s="95"/>
      <c r="P34" s="95"/>
      <c r="Q34" s="96"/>
      <c r="R34" s="96"/>
      <c r="S34" s="96"/>
      <c r="T34" s="96"/>
      <c r="U34" s="96"/>
      <c r="V34" s="96"/>
      <c r="W34" s="96"/>
      <c r="X34" s="96"/>
      <c r="Y34" s="96"/>
      <c r="Z34" s="53"/>
      <c r="AB34" s="93"/>
      <c r="AC34" s="97"/>
      <c r="AD34" s="97"/>
      <c r="AE34" s="97"/>
      <c r="AF34" s="97"/>
      <c r="AG34" s="97"/>
      <c r="AH34" s="97"/>
      <c r="AI34" s="97"/>
      <c r="AJ34" s="97"/>
      <c r="AK34" s="97"/>
      <c r="AL34" s="97"/>
      <c r="AM34" s="97"/>
      <c r="AN34" s="97"/>
      <c r="AO34" s="97"/>
      <c r="AP34" s="97"/>
      <c r="AQ34" s="97"/>
      <c r="AR34" s="98"/>
      <c r="AS34" s="98"/>
      <c r="AT34" s="98"/>
      <c r="AU34" s="32"/>
      <c r="AV34" s="32"/>
    </row>
    <row r="35" spans="1:68" x14ac:dyDescent="0.25">
      <c r="A35" s="93"/>
      <c r="B35" s="94"/>
      <c r="C35" s="94"/>
      <c r="D35" s="94"/>
      <c r="G35" s="93"/>
      <c r="H35" s="94"/>
      <c r="I35" s="94"/>
      <c r="J35" s="94"/>
      <c r="K35" s="94"/>
      <c r="L35" s="94"/>
      <c r="M35" s="94"/>
      <c r="N35" s="95"/>
      <c r="O35" s="95"/>
      <c r="P35" s="95"/>
      <c r="Q35" s="96"/>
      <c r="R35" s="96"/>
      <c r="S35" s="96"/>
      <c r="T35" s="96"/>
      <c r="U35" s="96"/>
      <c r="V35" s="96"/>
      <c r="W35" s="96"/>
      <c r="X35" s="96"/>
      <c r="Y35" s="96"/>
      <c r="Z35" s="53"/>
      <c r="AB35" s="93"/>
      <c r="AC35" s="97"/>
      <c r="AD35" s="97"/>
      <c r="AE35" s="97"/>
      <c r="AF35" s="97"/>
      <c r="AG35" s="97"/>
      <c r="AH35" s="97"/>
      <c r="AI35" s="97"/>
      <c r="AJ35" s="97"/>
      <c r="AK35" s="97"/>
      <c r="AL35" s="97"/>
      <c r="AM35" s="97"/>
      <c r="AN35" s="97"/>
      <c r="AO35" s="97"/>
      <c r="AP35" s="97"/>
      <c r="AQ35" s="97"/>
      <c r="AR35" s="98"/>
      <c r="AS35" s="98"/>
      <c r="AT35" s="98"/>
      <c r="AU35" s="32"/>
      <c r="AV35" s="32"/>
    </row>
    <row r="40" spans="1:68" ht="18" x14ac:dyDescent="0.25">
      <c r="BP40" s="200" t="s">
        <v>224</v>
      </c>
    </row>
    <row r="41" spans="1:68" ht="15.75" x14ac:dyDescent="0.25">
      <c r="BP41" s="201" t="s">
        <v>227</v>
      </c>
    </row>
    <row r="42" spans="1:68" ht="15.75" x14ac:dyDescent="0.25">
      <c r="BP42" s="201" t="s">
        <v>248</v>
      </c>
    </row>
    <row r="58" spans="61:68" ht="18" x14ac:dyDescent="0.25">
      <c r="BI58">
        <v>2023</v>
      </c>
      <c r="BJ58" s="69">
        <v>57379.118437812736</v>
      </c>
      <c r="BK58" s="133">
        <v>130.1440193267137</v>
      </c>
      <c r="BP58" s="200" t="s">
        <v>225</v>
      </c>
    </row>
    <row r="59" spans="61:68" ht="15.75" x14ac:dyDescent="0.25">
      <c r="BI59">
        <f t="shared" ref="BI59:BI64" si="18">+BI58+1</f>
        <v>2024</v>
      </c>
      <c r="BJ59" s="69">
        <v>51781.507506252805</v>
      </c>
      <c r="BK59" s="133">
        <v>131.63255926391793</v>
      </c>
      <c r="BP59" s="201" t="s">
        <v>226</v>
      </c>
    </row>
    <row r="60" spans="61:68" ht="15.75" x14ac:dyDescent="0.25">
      <c r="BI60">
        <f t="shared" si="18"/>
        <v>2025</v>
      </c>
      <c r="BJ60" s="69">
        <v>50305.22820138411</v>
      </c>
      <c r="BK60" s="133">
        <v>127.52941473698539</v>
      </c>
      <c r="BP60" s="201" t="s">
        <v>248</v>
      </c>
    </row>
    <row r="61" spans="61:68" x14ac:dyDescent="0.25">
      <c r="BI61">
        <f t="shared" si="18"/>
        <v>2026</v>
      </c>
      <c r="BJ61" s="69">
        <v>20987.031982115805</v>
      </c>
      <c r="BK61" s="133">
        <v>115.99110210438297</v>
      </c>
    </row>
    <row r="62" spans="61:68" x14ac:dyDescent="0.25">
      <c r="BI62">
        <f t="shared" si="18"/>
        <v>2027</v>
      </c>
      <c r="BJ62" s="69">
        <v>9837.7974685177815</v>
      </c>
      <c r="BK62" s="133">
        <v>110.13940346877978</v>
      </c>
    </row>
    <row r="63" spans="61:68" x14ac:dyDescent="0.25">
      <c r="BI63">
        <f t="shared" si="18"/>
        <v>2028</v>
      </c>
      <c r="BJ63" s="69">
        <v>1112.8817752573786</v>
      </c>
      <c r="BK63" s="133">
        <v>104.63168077568065</v>
      </c>
    </row>
    <row r="64" spans="61:68" x14ac:dyDescent="0.25">
      <c r="BI64">
        <f t="shared" si="18"/>
        <v>2029</v>
      </c>
      <c r="BJ64" s="69">
        <v>1070.5287756615126</v>
      </c>
      <c r="BK64" s="133">
        <v>59.042744500707443</v>
      </c>
    </row>
    <row r="65" spans="61:63" x14ac:dyDescent="0.25">
      <c r="BI65" t="s">
        <v>218</v>
      </c>
      <c r="BJ65" s="69">
        <v>799.0394615071956</v>
      </c>
      <c r="BK65" s="133">
        <v>15.129280745426094</v>
      </c>
    </row>
    <row r="94" spans="59:69" ht="18" x14ac:dyDescent="0.25">
      <c r="BI94" t="s">
        <v>195</v>
      </c>
      <c r="BJ94" t="s">
        <v>196</v>
      </c>
      <c r="BQ94" s="200" t="s">
        <v>251</v>
      </c>
    </row>
    <row r="95" spans="59:69" ht="18" x14ac:dyDescent="0.25">
      <c r="BG95">
        <v>2023</v>
      </c>
      <c r="BH95" s="69">
        <v>57379.118437812736</v>
      </c>
      <c r="BI95" s="113">
        <v>0.49839014794218117</v>
      </c>
      <c r="BJ95" s="113">
        <v>0.50160985205781883</v>
      </c>
      <c r="BQ95" s="200" t="s">
        <v>252</v>
      </c>
    </row>
    <row r="96" spans="59:69" ht="15.75" x14ac:dyDescent="0.25">
      <c r="BG96">
        <f t="shared" ref="BG96:BG101" si="19">+BG95+1</f>
        <v>2024</v>
      </c>
      <c r="BH96" s="69">
        <v>51781.507506252805</v>
      </c>
      <c r="BI96" s="113">
        <v>0.64896038374950349</v>
      </c>
      <c r="BJ96" s="113">
        <v>0.35103961625049657</v>
      </c>
      <c r="BQ96" s="201" t="s">
        <v>230</v>
      </c>
    </row>
    <row r="97" spans="59:72" ht="15.75" x14ac:dyDescent="0.25">
      <c r="BG97">
        <f t="shared" si="19"/>
        <v>2025</v>
      </c>
      <c r="BH97" s="69">
        <v>50305.22820138411</v>
      </c>
      <c r="BI97" s="113">
        <v>0.88960674544042051</v>
      </c>
      <c r="BJ97" s="113">
        <v>0.1103932545595795</v>
      </c>
      <c r="BQ97" s="201" t="s">
        <v>253</v>
      </c>
    </row>
    <row r="98" spans="59:72" x14ac:dyDescent="0.25">
      <c r="BG98">
        <f t="shared" si="19"/>
        <v>2026</v>
      </c>
      <c r="BH98" s="69">
        <v>20987.031982115805</v>
      </c>
      <c r="BI98" s="113">
        <v>0.8588271005913497</v>
      </c>
      <c r="BJ98" s="113">
        <v>0.14117289940865038</v>
      </c>
    </row>
    <row r="99" spans="59:72" x14ac:dyDescent="0.25">
      <c r="BG99">
        <f t="shared" si="19"/>
        <v>2027</v>
      </c>
      <c r="BH99" s="69">
        <v>9837.7974685177815</v>
      </c>
      <c r="BI99" s="113">
        <v>0.97253847511760871</v>
      </c>
      <c r="BJ99" s="113">
        <v>2.7461524882391251E-2</v>
      </c>
    </row>
    <row r="100" spans="59:72" x14ac:dyDescent="0.25">
      <c r="BG100">
        <f t="shared" si="19"/>
        <v>2028</v>
      </c>
      <c r="BH100" s="69">
        <v>1112.8817752573786</v>
      </c>
      <c r="BI100" s="113">
        <v>0.82700128710015253</v>
      </c>
      <c r="BJ100" s="113">
        <v>0.1729987128998475</v>
      </c>
    </row>
    <row r="101" spans="59:72" x14ac:dyDescent="0.25">
      <c r="BG101">
        <f t="shared" si="19"/>
        <v>2029</v>
      </c>
      <c r="BH101" s="69">
        <v>1070.5287756615126</v>
      </c>
      <c r="BI101" s="113">
        <v>0.85971968381647601</v>
      </c>
      <c r="BJ101" s="113">
        <v>0.14028031618352399</v>
      </c>
    </row>
    <row r="102" spans="59:72" x14ac:dyDescent="0.25">
      <c r="BG102" t="s">
        <v>218</v>
      </c>
      <c r="BH102" s="69">
        <v>799.0394615071956</v>
      </c>
      <c r="BI102" s="113">
        <v>0.88903564255630707</v>
      </c>
      <c r="BJ102" s="113">
        <v>0.11096435744369297</v>
      </c>
    </row>
    <row r="112" spans="59:72" ht="18" x14ac:dyDescent="0.25">
      <c r="BT112" s="200" t="s">
        <v>228</v>
      </c>
    </row>
    <row r="113" spans="67:72" ht="15.75" x14ac:dyDescent="0.25">
      <c r="BP113" t="s">
        <v>176</v>
      </c>
      <c r="BQ113" t="s">
        <v>197</v>
      </c>
      <c r="BT113" s="201" t="s">
        <v>229</v>
      </c>
    </row>
    <row r="114" spans="67:72" ht="15.75" x14ac:dyDescent="0.25">
      <c r="BO114" s="114">
        <v>130.1440193267137</v>
      </c>
      <c r="BP114" s="113">
        <v>0.73768534719952839</v>
      </c>
      <c r="BQ114" s="113">
        <v>0.26231465280047167</v>
      </c>
      <c r="BT114" s="201" t="s">
        <v>253</v>
      </c>
    </row>
    <row r="115" spans="67:72" x14ac:dyDescent="0.25">
      <c r="BO115" s="114">
        <v>131.63255926391793</v>
      </c>
      <c r="BP115" s="113">
        <v>0.72977548974035988</v>
      </c>
      <c r="BQ115" s="113">
        <v>0.27022451025964023</v>
      </c>
    </row>
    <row r="116" spans="67:72" x14ac:dyDescent="0.25">
      <c r="BO116" s="114">
        <v>127.52941473698539</v>
      </c>
      <c r="BP116" s="113">
        <v>0.76521858039848323</v>
      </c>
      <c r="BQ116" s="113">
        <v>0.2347814196015168</v>
      </c>
    </row>
    <row r="117" spans="67:72" x14ac:dyDescent="0.25">
      <c r="BO117" s="114">
        <v>115.99110210438297</v>
      </c>
      <c r="BP117" s="113">
        <v>0.80354070734225791</v>
      </c>
      <c r="BQ117" s="113">
        <v>0.19645929265774198</v>
      </c>
    </row>
    <row r="118" spans="67:72" x14ac:dyDescent="0.25">
      <c r="BO118" s="114">
        <v>110.13940346877978</v>
      </c>
      <c r="BP118" s="113">
        <v>0.84623578278943223</v>
      </c>
      <c r="BQ118" s="113">
        <v>0.15376421721056779</v>
      </c>
    </row>
    <row r="119" spans="67:72" x14ac:dyDescent="0.25">
      <c r="BO119" s="114">
        <v>104.63168077568065</v>
      </c>
      <c r="BP119" s="113">
        <v>0.89078412646533001</v>
      </c>
      <c r="BQ119" s="113">
        <v>0.10921587353466991</v>
      </c>
    </row>
    <row r="120" spans="67:72" x14ac:dyDescent="0.25">
      <c r="BO120" s="114">
        <v>59.042744500707443</v>
      </c>
      <c r="BP120" s="113">
        <v>0.90369801811898198</v>
      </c>
      <c r="BQ120" s="113">
        <v>9.6301981881018059E-2</v>
      </c>
    </row>
    <row r="121" spans="67:72" x14ac:dyDescent="0.25">
      <c r="BO121" s="114">
        <v>15.129280745426094</v>
      </c>
      <c r="BP121" s="113">
        <v>0.85922441246472359</v>
      </c>
      <c r="BQ121" s="113">
        <v>0.14077558753527636</v>
      </c>
    </row>
    <row r="122" spans="67:72" x14ac:dyDescent="0.25">
      <c r="BP122" s="113"/>
      <c r="BQ122" s="113"/>
    </row>
    <row r="149" spans="67:69" ht="18" x14ac:dyDescent="0.25">
      <c r="BQ149" s="200" t="s">
        <v>232</v>
      </c>
    </row>
    <row r="150" spans="67:69" ht="15.75" x14ac:dyDescent="0.25">
      <c r="BQ150" s="201" t="s">
        <v>227</v>
      </c>
    </row>
    <row r="151" spans="67:69" ht="15.75" x14ac:dyDescent="0.25">
      <c r="BO151" s="69">
        <v>57379.118437812736</v>
      </c>
      <c r="BQ151" s="201" t="s">
        <v>248</v>
      </c>
    </row>
    <row r="152" spans="67:69" x14ac:dyDescent="0.25">
      <c r="BO152" s="69">
        <v>51781.507506252805</v>
      </c>
    </row>
    <row r="153" spans="67:69" x14ac:dyDescent="0.25">
      <c r="BO153" s="69">
        <v>50305.22820138411</v>
      </c>
    </row>
    <row r="154" spans="67:69" x14ac:dyDescent="0.25">
      <c r="BO154" s="69">
        <v>20987.031982115805</v>
      </c>
    </row>
    <row r="155" spans="67:69" x14ac:dyDescent="0.25">
      <c r="BO155" s="69">
        <v>9837.7974685177815</v>
      </c>
    </row>
    <row r="156" spans="67:69" x14ac:dyDescent="0.25">
      <c r="BO156" s="69">
        <v>1112.8817752573786</v>
      </c>
    </row>
    <row r="157" spans="67:69" x14ac:dyDescent="0.25">
      <c r="BO157" s="69">
        <v>1070.5287756615126</v>
      </c>
    </row>
    <row r="158" spans="67:69" x14ac:dyDescent="0.25">
      <c r="BO158" s="69">
        <v>799.0394615071956</v>
      </c>
    </row>
    <row r="167" spans="67:69" ht="18" x14ac:dyDescent="0.25">
      <c r="BO167" s="114">
        <v>130.1440193267137</v>
      </c>
      <c r="BQ167" s="200" t="s">
        <v>233</v>
      </c>
    </row>
    <row r="168" spans="67:69" ht="15.75" x14ac:dyDescent="0.25">
      <c r="BO168" s="114">
        <v>131.63255926391793</v>
      </c>
      <c r="BQ168" s="201" t="s">
        <v>226</v>
      </c>
    </row>
    <row r="169" spans="67:69" ht="15.75" x14ac:dyDescent="0.25">
      <c r="BO169" s="114">
        <v>127.52941473698539</v>
      </c>
      <c r="BQ169" s="201" t="s">
        <v>248</v>
      </c>
    </row>
    <row r="170" spans="67:69" x14ac:dyDescent="0.25">
      <c r="BO170" s="114">
        <v>115.99110210438297</v>
      </c>
    </row>
    <row r="171" spans="67:69" x14ac:dyDescent="0.25">
      <c r="BO171" s="114">
        <v>110.13940346877978</v>
      </c>
    </row>
    <row r="172" spans="67:69" x14ac:dyDescent="0.25">
      <c r="BO172" s="114">
        <v>104.63168077568065</v>
      </c>
    </row>
    <row r="173" spans="67:69" x14ac:dyDescent="0.25">
      <c r="BO173" s="114">
        <v>59.042744500707443</v>
      </c>
    </row>
    <row r="174" spans="67:69" x14ac:dyDescent="0.25">
      <c r="BO174" s="114">
        <v>15.129280745426094</v>
      </c>
    </row>
  </sheetData>
  <mergeCells count="10">
    <mergeCell ref="BT3:BV3"/>
    <mergeCell ref="H2:J2"/>
    <mergeCell ref="K2:M2"/>
    <mergeCell ref="N2:P2"/>
    <mergeCell ref="G2:G3"/>
    <mergeCell ref="AR2:AT2"/>
    <mergeCell ref="AB2:AB3"/>
    <mergeCell ref="Q2:S2"/>
    <mergeCell ref="T2:V2"/>
    <mergeCell ref="W2:Y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52"/>
  <sheetViews>
    <sheetView showGridLines="0" zoomScaleNormal="100" workbookViewId="0">
      <pane xSplit="3" ySplit="6" topLeftCell="E7" activePane="bottomRight" state="frozen"/>
      <selection activeCell="F1" sqref="F1:F1048576"/>
      <selection pane="topRight" activeCell="F1" sqref="F1:F1048576"/>
      <selection pane="bottomLeft" activeCell="F1" sqref="F1:F1048576"/>
      <selection pane="bottomRight"/>
    </sheetView>
  </sheetViews>
  <sheetFormatPr baseColWidth="10" defaultRowHeight="16.5" x14ac:dyDescent="0.3"/>
  <cols>
    <col min="1" max="1" width="5.28515625" style="16" customWidth="1"/>
    <col min="2" max="2" width="43.7109375" style="2" bestFit="1" customWidth="1"/>
    <col min="3" max="3" width="12.5703125" style="2" customWidth="1"/>
    <col min="4" max="4" width="30.85546875" style="2" bestFit="1" customWidth="1"/>
    <col min="5" max="5" width="13.7109375" style="116" customWidth="1"/>
    <col min="6" max="6" width="14.85546875" style="116" bestFit="1" customWidth="1"/>
    <col min="7" max="17" width="13" style="116" bestFit="1" customWidth="1"/>
    <col min="18" max="21" width="11.42578125" style="116"/>
    <col min="22" max="16384" width="11.42578125" style="1"/>
  </cols>
  <sheetData>
    <row r="1" spans="1:29" ht="28.5" customHeight="1" x14ac:dyDescent="0.3">
      <c r="A1" s="115"/>
      <c r="B1" s="284" t="s">
        <v>38</v>
      </c>
      <c r="C1" s="284"/>
      <c r="D1" s="284"/>
      <c r="E1" s="284"/>
    </row>
    <row r="2" spans="1:29" x14ac:dyDescent="0.3">
      <c r="B2" s="187" t="s">
        <v>46</v>
      </c>
    </row>
    <row r="4" spans="1:29" ht="30.75" customHeight="1" x14ac:dyDescent="0.3">
      <c r="B4" s="285" t="s">
        <v>130</v>
      </c>
      <c r="C4" s="285"/>
      <c r="D4" s="285"/>
      <c r="F4" s="117"/>
      <c r="G4" s="117"/>
      <c r="H4" s="117"/>
      <c r="I4" s="117"/>
      <c r="J4" s="117"/>
      <c r="K4" s="117"/>
      <c r="L4" s="117"/>
      <c r="M4" s="117"/>
      <c r="N4" s="117"/>
      <c r="O4" s="117"/>
      <c r="P4" s="117"/>
      <c r="Q4" s="117"/>
      <c r="R4" s="117"/>
      <c r="S4" s="117"/>
      <c r="T4" s="117"/>
      <c r="U4" s="117"/>
      <c r="V4" s="117"/>
      <c r="W4" s="117"/>
      <c r="X4" s="117"/>
      <c r="Y4" s="117"/>
      <c r="Z4" s="117"/>
      <c r="AA4" s="117"/>
      <c r="AB4" s="117"/>
      <c r="AC4" s="117"/>
    </row>
    <row r="5" spans="1:29" ht="15.75" customHeight="1" x14ac:dyDescent="0.3">
      <c r="B5" s="279" t="s">
        <v>0</v>
      </c>
      <c r="C5" s="281" t="s">
        <v>1</v>
      </c>
      <c r="D5" s="281" t="s">
        <v>94</v>
      </c>
      <c r="F5" s="189">
        <v>2024</v>
      </c>
      <c r="G5" s="189">
        <v>2024</v>
      </c>
      <c r="H5" s="189">
        <v>2024</v>
      </c>
      <c r="I5" s="189">
        <v>2024</v>
      </c>
      <c r="J5" s="189">
        <v>2024</v>
      </c>
      <c r="K5" s="189">
        <v>2024</v>
      </c>
      <c r="L5" s="189">
        <v>2024</v>
      </c>
      <c r="M5" s="189">
        <v>2024</v>
      </c>
      <c r="N5" s="189">
        <v>2024</v>
      </c>
      <c r="O5" s="189">
        <v>2024</v>
      </c>
      <c r="P5" s="189">
        <v>2024</v>
      </c>
      <c r="Q5" s="189">
        <v>2024</v>
      </c>
      <c r="R5" s="189">
        <v>2025</v>
      </c>
      <c r="S5" s="189">
        <v>2025</v>
      </c>
      <c r="T5" s="189">
        <v>2025</v>
      </c>
      <c r="U5" s="189">
        <v>2025</v>
      </c>
      <c r="V5" s="189">
        <v>2025</v>
      </c>
      <c r="W5" s="189">
        <v>2025</v>
      </c>
      <c r="X5" s="189">
        <v>2025</v>
      </c>
      <c r="Y5" s="189">
        <v>2025</v>
      </c>
      <c r="Z5" s="189">
        <v>2025</v>
      </c>
      <c r="AA5" s="189">
        <v>2025</v>
      </c>
      <c r="AB5" s="189">
        <v>2025</v>
      </c>
      <c r="AC5" s="189">
        <v>2025</v>
      </c>
    </row>
    <row r="6" spans="1:29" x14ac:dyDescent="0.3">
      <c r="B6" s="280"/>
      <c r="C6" s="282"/>
      <c r="D6" s="282"/>
      <c r="F6" s="189">
        <v>1</v>
      </c>
      <c r="G6" s="189">
        <f>+F6+1</f>
        <v>2</v>
      </c>
      <c r="H6" s="189">
        <f t="shared" ref="H6:Q6" si="0">+G6+1</f>
        <v>3</v>
      </c>
      <c r="I6" s="189">
        <f t="shared" si="0"/>
        <v>4</v>
      </c>
      <c r="J6" s="189">
        <f t="shared" si="0"/>
        <v>5</v>
      </c>
      <c r="K6" s="189">
        <f t="shared" si="0"/>
        <v>6</v>
      </c>
      <c r="L6" s="189">
        <f t="shared" si="0"/>
        <v>7</v>
      </c>
      <c r="M6" s="189">
        <f t="shared" si="0"/>
        <v>8</v>
      </c>
      <c r="N6" s="189">
        <f t="shared" si="0"/>
        <v>9</v>
      </c>
      <c r="O6" s="189">
        <f t="shared" si="0"/>
        <v>10</v>
      </c>
      <c r="P6" s="189">
        <f t="shared" si="0"/>
        <v>11</v>
      </c>
      <c r="Q6" s="189">
        <f t="shared" si="0"/>
        <v>12</v>
      </c>
      <c r="R6" s="189">
        <v>1</v>
      </c>
      <c r="S6" s="189">
        <f t="shared" ref="S6:AC6" si="1">+R6+1</f>
        <v>2</v>
      </c>
      <c r="T6" s="189">
        <f t="shared" si="1"/>
        <v>3</v>
      </c>
      <c r="U6" s="189">
        <f t="shared" si="1"/>
        <v>4</v>
      </c>
      <c r="V6" s="189">
        <f t="shared" si="1"/>
        <v>5</v>
      </c>
      <c r="W6" s="189">
        <f t="shared" si="1"/>
        <v>6</v>
      </c>
      <c r="X6" s="189">
        <f t="shared" si="1"/>
        <v>7</v>
      </c>
      <c r="Y6" s="189">
        <f t="shared" si="1"/>
        <v>8</v>
      </c>
      <c r="Z6" s="189">
        <f t="shared" si="1"/>
        <v>9</v>
      </c>
      <c r="AA6" s="189">
        <f t="shared" si="1"/>
        <v>10</v>
      </c>
      <c r="AB6" s="189">
        <f t="shared" si="1"/>
        <v>11</v>
      </c>
      <c r="AC6" s="189">
        <f t="shared" si="1"/>
        <v>12</v>
      </c>
    </row>
    <row r="7" spans="1:29" x14ac:dyDescent="0.3">
      <c r="A7" s="86"/>
      <c r="B7" s="209" t="s">
        <v>7</v>
      </c>
      <c r="C7" s="209" t="s">
        <v>8</v>
      </c>
      <c r="D7" s="209" t="s">
        <v>88</v>
      </c>
      <c r="F7" s="225">
        <v>5.3271497999999999</v>
      </c>
      <c r="G7" s="225">
        <v>0</v>
      </c>
      <c r="H7" s="225">
        <v>0</v>
      </c>
      <c r="I7" s="225">
        <v>5.5510141299999995</v>
      </c>
      <c r="J7" s="225">
        <v>0</v>
      </c>
      <c r="K7" s="225">
        <v>0</v>
      </c>
      <c r="L7" s="225">
        <v>5.5882304000000005</v>
      </c>
      <c r="M7" s="225">
        <v>0</v>
      </c>
      <c r="N7" s="225">
        <v>0</v>
      </c>
      <c r="O7" s="225">
        <v>5.6110632000000003</v>
      </c>
      <c r="P7" s="225">
        <v>0</v>
      </c>
      <c r="Q7" s="225">
        <v>0</v>
      </c>
      <c r="R7" s="225">
        <v>5.83294493</v>
      </c>
      <c r="S7" s="225">
        <v>0</v>
      </c>
      <c r="T7" s="225">
        <v>0</v>
      </c>
      <c r="U7" s="225">
        <v>6.0230032400000004</v>
      </c>
      <c r="V7" s="225">
        <v>0</v>
      </c>
      <c r="W7" s="225">
        <v>0</v>
      </c>
      <c r="X7" s="225">
        <v>6.0949683800000001</v>
      </c>
      <c r="Y7" s="225">
        <v>0</v>
      </c>
      <c r="Z7" s="225">
        <v>0</v>
      </c>
      <c r="AA7" s="225">
        <v>6.2482901200000001</v>
      </c>
      <c r="AB7" s="225">
        <v>0</v>
      </c>
      <c r="AC7" s="225">
        <v>0</v>
      </c>
    </row>
    <row r="8" spans="1:29" x14ac:dyDescent="0.3">
      <c r="A8" s="86"/>
      <c r="B8" s="209" t="s">
        <v>133</v>
      </c>
      <c r="C8" s="209" t="s">
        <v>134</v>
      </c>
      <c r="D8" s="209" t="s">
        <v>92</v>
      </c>
      <c r="F8" s="225">
        <v>0</v>
      </c>
      <c r="G8" s="225">
        <v>0</v>
      </c>
      <c r="H8" s="225">
        <v>0</v>
      </c>
      <c r="I8" s="225">
        <v>0</v>
      </c>
      <c r="J8" s="225">
        <v>0</v>
      </c>
      <c r="K8" s="225">
        <v>10553.175258406711</v>
      </c>
      <c r="L8" s="225">
        <v>0</v>
      </c>
      <c r="M8" s="225">
        <v>0</v>
      </c>
      <c r="N8" s="225">
        <v>0</v>
      </c>
      <c r="O8" s="225">
        <v>0</v>
      </c>
      <c r="P8" s="225">
        <v>0</v>
      </c>
      <c r="Q8" s="225">
        <v>10556.341527611152</v>
      </c>
      <c r="R8" s="225">
        <v>0</v>
      </c>
      <c r="S8" s="225">
        <v>0</v>
      </c>
      <c r="T8" s="225">
        <v>0</v>
      </c>
      <c r="U8" s="225">
        <v>0</v>
      </c>
      <c r="V8" s="225">
        <v>0</v>
      </c>
      <c r="W8" s="225">
        <v>0</v>
      </c>
      <c r="X8" s="225">
        <v>0</v>
      </c>
      <c r="Y8" s="225">
        <v>0</v>
      </c>
      <c r="Z8" s="225">
        <v>0</v>
      </c>
      <c r="AA8" s="225">
        <v>0</v>
      </c>
      <c r="AB8" s="225">
        <v>0</v>
      </c>
      <c r="AC8" s="225">
        <v>0</v>
      </c>
    </row>
    <row r="9" spans="1:29" x14ac:dyDescent="0.3">
      <c r="A9" s="86"/>
      <c r="B9" s="209" t="s">
        <v>173</v>
      </c>
      <c r="C9" s="209" t="s">
        <v>166</v>
      </c>
      <c r="D9" s="209" t="s">
        <v>92</v>
      </c>
      <c r="F9" s="225">
        <v>0</v>
      </c>
      <c r="G9" s="225">
        <v>0</v>
      </c>
      <c r="H9" s="225">
        <v>1008.75</v>
      </c>
      <c r="I9" s="225">
        <v>0</v>
      </c>
      <c r="J9" s="225">
        <v>0</v>
      </c>
      <c r="K9" s="225">
        <v>1008.75</v>
      </c>
      <c r="L9" s="225">
        <v>0</v>
      </c>
      <c r="M9" s="225">
        <v>0</v>
      </c>
      <c r="N9" s="225">
        <v>1008.75</v>
      </c>
      <c r="O9" s="225">
        <v>0</v>
      </c>
      <c r="P9" s="225">
        <v>0</v>
      </c>
      <c r="Q9" s="225">
        <v>1008.75</v>
      </c>
      <c r="R9" s="225">
        <v>0</v>
      </c>
      <c r="S9" s="225">
        <v>0</v>
      </c>
      <c r="T9" s="225">
        <v>1008.75</v>
      </c>
      <c r="U9" s="225">
        <v>0</v>
      </c>
      <c r="V9" s="225">
        <v>0</v>
      </c>
      <c r="W9" s="225">
        <v>1008.75</v>
      </c>
      <c r="X9" s="225">
        <v>0</v>
      </c>
      <c r="Y9" s="225">
        <v>0</v>
      </c>
      <c r="Z9" s="225">
        <v>0</v>
      </c>
      <c r="AA9" s="225">
        <v>0</v>
      </c>
      <c r="AB9" s="225">
        <v>0</v>
      </c>
      <c r="AC9" s="225">
        <v>0</v>
      </c>
    </row>
    <row r="10" spans="1:29" x14ac:dyDescent="0.3">
      <c r="A10" s="86"/>
      <c r="B10" s="209" t="s">
        <v>174</v>
      </c>
      <c r="C10" s="209" t="s">
        <v>167</v>
      </c>
      <c r="D10" s="209" t="s">
        <v>92</v>
      </c>
      <c r="F10" s="225">
        <v>0</v>
      </c>
      <c r="G10" s="225">
        <v>0</v>
      </c>
      <c r="H10" s="225">
        <v>438.85341849999998</v>
      </c>
      <c r="I10" s="225">
        <v>0</v>
      </c>
      <c r="J10" s="225">
        <v>0</v>
      </c>
      <c r="K10" s="225">
        <v>438.85341849999998</v>
      </c>
      <c r="L10" s="225">
        <v>0</v>
      </c>
      <c r="M10" s="225">
        <v>0</v>
      </c>
      <c r="N10" s="225">
        <v>438.85341849999998</v>
      </c>
      <c r="O10" s="225">
        <v>0</v>
      </c>
      <c r="P10" s="225">
        <v>0</v>
      </c>
      <c r="Q10" s="225">
        <v>438.85341849999998</v>
      </c>
      <c r="R10" s="225">
        <v>0</v>
      </c>
      <c r="S10" s="225">
        <v>0</v>
      </c>
      <c r="T10" s="225">
        <v>0</v>
      </c>
      <c r="U10" s="225">
        <v>0</v>
      </c>
      <c r="V10" s="225">
        <v>0</v>
      </c>
      <c r="W10" s="225">
        <v>0</v>
      </c>
      <c r="X10" s="225">
        <v>0</v>
      </c>
      <c r="Y10" s="225">
        <v>0</v>
      </c>
      <c r="Z10" s="225">
        <v>0</v>
      </c>
      <c r="AA10" s="225">
        <v>0</v>
      </c>
      <c r="AB10" s="225">
        <v>0</v>
      </c>
      <c r="AC10" s="225">
        <v>0</v>
      </c>
    </row>
    <row r="11" spans="1:29" x14ac:dyDescent="0.3">
      <c r="A11" s="86"/>
      <c r="B11" s="209" t="s">
        <v>135</v>
      </c>
      <c r="C11" s="209" t="s">
        <v>136</v>
      </c>
      <c r="D11" s="209" t="s">
        <v>92</v>
      </c>
      <c r="F11" s="225">
        <v>0</v>
      </c>
      <c r="G11" s="225">
        <v>0</v>
      </c>
      <c r="H11" s="225">
        <v>0</v>
      </c>
      <c r="I11" s="225">
        <v>0</v>
      </c>
      <c r="J11" s="225">
        <v>0</v>
      </c>
      <c r="K11" s="225">
        <v>0</v>
      </c>
      <c r="L11" s="225">
        <v>0</v>
      </c>
      <c r="M11" s="225">
        <v>0</v>
      </c>
      <c r="N11" s="225">
        <v>0</v>
      </c>
      <c r="O11" s="225">
        <v>0</v>
      </c>
      <c r="P11" s="225">
        <v>0</v>
      </c>
      <c r="Q11" s="225">
        <v>0</v>
      </c>
      <c r="R11" s="225">
        <v>0</v>
      </c>
      <c r="S11" s="225">
        <v>0</v>
      </c>
      <c r="T11" s="225">
        <v>0</v>
      </c>
      <c r="U11" s="225">
        <v>0</v>
      </c>
      <c r="V11" s="225">
        <v>0</v>
      </c>
      <c r="W11" s="225">
        <v>0</v>
      </c>
      <c r="X11" s="225">
        <v>0</v>
      </c>
      <c r="Y11" s="225">
        <v>0</v>
      </c>
      <c r="Z11" s="225">
        <v>406.55448841666663</v>
      </c>
      <c r="AA11" s="225">
        <v>0</v>
      </c>
      <c r="AB11" s="225">
        <v>0</v>
      </c>
      <c r="AC11" s="225">
        <v>0</v>
      </c>
    </row>
    <row r="12" spans="1:29" x14ac:dyDescent="0.3">
      <c r="A12" s="86"/>
      <c r="B12" s="209" t="s">
        <v>127</v>
      </c>
      <c r="C12" s="209" t="s">
        <v>128</v>
      </c>
      <c r="D12" s="209" t="s">
        <v>92</v>
      </c>
      <c r="F12" s="225">
        <v>0</v>
      </c>
      <c r="G12" s="225">
        <v>201.92307692307693</v>
      </c>
      <c r="H12" s="225">
        <v>0</v>
      </c>
      <c r="I12" s="225">
        <v>0</v>
      </c>
      <c r="J12" s="225">
        <v>201.92307692307693</v>
      </c>
      <c r="K12" s="225">
        <v>0</v>
      </c>
      <c r="L12" s="225">
        <v>0</v>
      </c>
      <c r="M12" s="225">
        <v>201.92307692307693</v>
      </c>
      <c r="N12" s="225">
        <v>0</v>
      </c>
      <c r="O12" s="225">
        <v>0</v>
      </c>
      <c r="P12" s="225">
        <v>201.92307692307693</v>
      </c>
      <c r="Q12" s="225">
        <v>0</v>
      </c>
      <c r="R12" s="225">
        <v>0</v>
      </c>
      <c r="S12" s="225">
        <v>201.92307692307693</v>
      </c>
      <c r="T12" s="225">
        <v>0</v>
      </c>
      <c r="U12" s="225">
        <v>0</v>
      </c>
      <c r="V12" s="225">
        <v>201.92307692307693</v>
      </c>
      <c r="W12" s="225">
        <v>0</v>
      </c>
      <c r="X12" s="225">
        <v>0</v>
      </c>
      <c r="Y12" s="225">
        <v>0</v>
      </c>
      <c r="Z12" s="225">
        <v>0</v>
      </c>
      <c r="AA12" s="225">
        <v>0</v>
      </c>
      <c r="AB12" s="225">
        <v>0</v>
      </c>
      <c r="AC12" s="225">
        <v>0</v>
      </c>
    </row>
    <row r="13" spans="1:29" x14ac:dyDescent="0.3">
      <c r="A13" s="86"/>
      <c r="B13" s="209" t="s">
        <v>34</v>
      </c>
      <c r="C13" s="209" t="s">
        <v>35</v>
      </c>
      <c r="D13" s="209" t="s">
        <v>92</v>
      </c>
      <c r="F13" s="225">
        <v>0</v>
      </c>
      <c r="G13" s="225">
        <v>3.5214128711999999</v>
      </c>
      <c r="H13" s="225">
        <v>0</v>
      </c>
      <c r="I13" s="225">
        <v>0</v>
      </c>
      <c r="J13" s="225">
        <v>0</v>
      </c>
      <c r="K13" s="225">
        <v>0</v>
      </c>
      <c r="L13" s="225">
        <v>0</v>
      </c>
      <c r="M13" s="225">
        <v>3.5214128711999999</v>
      </c>
      <c r="N13" s="225">
        <v>0</v>
      </c>
      <c r="O13" s="225">
        <v>0</v>
      </c>
      <c r="P13" s="225">
        <v>0</v>
      </c>
      <c r="Q13" s="225">
        <v>0</v>
      </c>
      <c r="R13" s="225">
        <v>0</v>
      </c>
      <c r="S13" s="225">
        <v>3.5214128711999999</v>
      </c>
      <c r="T13" s="225">
        <v>0</v>
      </c>
      <c r="U13" s="225">
        <v>0</v>
      </c>
      <c r="V13" s="225">
        <v>0</v>
      </c>
      <c r="W13" s="225">
        <v>0</v>
      </c>
      <c r="X13" s="225">
        <v>0</v>
      </c>
      <c r="Y13" s="225">
        <v>3.5383224167999998</v>
      </c>
      <c r="Z13" s="225">
        <v>0</v>
      </c>
      <c r="AA13" s="225">
        <v>0</v>
      </c>
      <c r="AB13" s="225">
        <v>0</v>
      </c>
      <c r="AC13" s="225">
        <v>0</v>
      </c>
    </row>
    <row r="14" spans="1:29" x14ac:dyDescent="0.3">
      <c r="A14" s="86"/>
      <c r="B14" s="209" t="s">
        <v>234</v>
      </c>
      <c r="C14" s="209" t="s">
        <v>236</v>
      </c>
      <c r="D14" s="209" t="s">
        <v>92</v>
      </c>
      <c r="F14" s="225">
        <v>0</v>
      </c>
      <c r="G14" s="225">
        <v>0</v>
      </c>
      <c r="H14" s="225">
        <v>0</v>
      </c>
      <c r="I14" s="225">
        <v>0</v>
      </c>
      <c r="J14" s="225">
        <v>0</v>
      </c>
      <c r="K14" s="225">
        <v>0</v>
      </c>
      <c r="L14" s="225">
        <v>0</v>
      </c>
      <c r="M14" s="225">
        <v>0</v>
      </c>
      <c r="N14" s="225">
        <v>0</v>
      </c>
      <c r="O14" s="225">
        <v>0</v>
      </c>
      <c r="P14" s="225">
        <v>0</v>
      </c>
      <c r="Q14" s="225">
        <v>0</v>
      </c>
      <c r="R14" s="225">
        <v>0</v>
      </c>
      <c r="S14" s="225">
        <v>0</v>
      </c>
      <c r="T14" s="225">
        <v>0</v>
      </c>
      <c r="U14" s="225">
        <v>0</v>
      </c>
      <c r="V14" s="225">
        <v>0</v>
      </c>
      <c r="W14" s="225">
        <v>0</v>
      </c>
      <c r="X14" s="225">
        <v>0</v>
      </c>
      <c r="Y14" s="225">
        <v>0</v>
      </c>
      <c r="Z14" s="225">
        <v>0</v>
      </c>
      <c r="AA14" s="225">
        <v>0</v>
      </c>
      <c r="AB14" s="225">
        <v>0</v>
      </c>
      <c r="AC14" s="225">
        <v>37314.775999999998</v>
      </c>
    </row>
    <row r="15" spans="1:29" x14ac:dyDescent="0.3">
      <c r="A15" s="86"/>
      <c r="B15" s="209" t="s">
        <v>235</v>
      </c>
      <c r="C15" s="209" t="s">
        <v>237</v>
      </c>
      <c r="D15" s="209" t="s">
        <v>92</v>
      </c>
      <c r="F15" s="225">
        <v>0</v>
      </c>
      <c r="G15" s="225">
        <v>0</v>
      </c>
      <c r="H15" s="225">
        <v>0</v>
      </c>
      <c r="I15" s="225">
        <v>0</v>
      </c>
      <c r="J15" s="225">
        <v>0</v>
      </c>
      <c r="K15" s="225">
        <v>0</v>
      </c>
      <c r="L15" s="225">
        <v>0</v>
      </c>
      <c r="M15" s="225">
        <v>0</v>
      </c>
      <c r="N15" s="225">
        <v>0</v>
      </c>
      <c r="O15" s="225">
        <v>0</v>
      </c>
      <c r="P15" s="225">
        <v>0</v>
      </c>
      <c r="Q15" s="225">
        <v>0</v>
      </c>
      <c r="R15" s="225">
        <v>0</v>
      </c>
      <c r="S15" s="225">
        <v>0</v>
      </c>
      <c r="T15" s="225">
        <v>0</v>
      </c>
      <c r="U15" s="225">
        <v>0</v>
      </c>
      <c r="V15" s="225">
        <v>0</v>
      </c>
      <c r="W15" s="225">
        <v>0</v>
      </c>
      <c r="X15" s="225">
        <v>0</v>
      </c>
      <c r="Y15" s="225">
        <v>0</v>
      </c>
      <c r="Z15" s="225">
        <v>0</v>
      </c>
      <c r="AA15" s="225">
        <v>0</v>
      </c>
      <c r="AB15" s="225">
        <v>0</v>
      </c>
      <c r="AC15" s="225">
        <v>0</v>
      </c>
    </row>
    <row r="16" spans="1:29" x14ac:dyDescent="0.3">
      <c r="A16" s="86"/>
      <c r="B16" s="209" t="s">
        <v>3</v>
      </c>
      <c r="C16" s="209" t="s">
        <v>4</v>
      </c>
      <c r="D16" s="209" t="s">
        <v>88</v>
      </c>
      <c r="F16" s="225">
        <v>80.146061861197197</v>
      </c>
      <c r="G16" s="225">
        <v>104.23365951178366</v>
      </c>
      <c r="H16" s="225">
        <v>120.41589298328648</v>
      </c>
      <c r="I16" s="225">
        <v>128.07977323139792</v>
      </c>
      <c r="J16" s="225">
        <v>138.48510001809717</v>
      </c>
      <c r="K16" s="225">
        <v>143.97002204907358</v>
      </c>
      <c r="L16" s="225">
        <v>159.52940087246719</v>
      </c>
      <c r="M16" s="225">
        <v>164.76029292273154</v>
      </c>
      <c r="N16" s="225">
        <v>167.68501631986348</v>
      </c>
      <c r="O16" s="225">
        <v>170.3076474828585</v>
      </c>
      <c r="P16" s="225">
        <v>0</v>
      </c>
      <c r="Q16" s="225">
        <v>0</v>
      </c>
      <c r="R16" s="225">
        <v>0</v>
      </c>
      <c r="S16" s="225">
        <v>0</v>
      </c>
      <c r="T16" s="225">
        <v>0</v>
      </c>
      <c r="U16" s="225">
        <v>0</v>
      </c>
      <c r="V16" s="225">
        <v>0</v>
      </c>
      <c r="W16" s="225">
        <v>0</v>
      </c>
      <c r="X16" s="225">
        <v>0</v>
      </c>
      <c r="Y16" s="225">
        <v>0</v>
      </c>
      <c r="Z16" s="225">
        <v>0</v>
      </c>
      <c r="AA16" s="225">
        <v>0</v>
      </c>
      <c r="AB16" s="225">
        <v>0</v>
      </c>
      <c r="AC16" s="225">
        <v>0</v>
      </c>
    </row>
    <row r="17" spans="1:29" x14ac:dyDescent="0.3">
      <c r="A17" s="86"/>
      <c r="B17" s="209" t="s">
        <v>5</v>
      </c>
      <c r="C17" s="209" t="s">
        <v>6</v>
      </c>
      <c r="D17" s="209" t="s">
        <v>88</v>
      </c>
      <c r="F17" s="225">
        <v>10.94459516691923</v>
      </c>
      <c r="G17" s="225">
        <v>11.088733278711496</v>
      </c>
      <c r="H17" s="225">
        <v>11.234767390185677</v>
      </c>
      <c r="I17" s="225">
        <v>11.382718568062645</v>
      </c>
      <c r="J17" s="225">
        <v>11.532628935672799</v>
      </c>
      <c r="K17" s="225">
        <v>11.684519594108414</v>
      </c>
      <c r="L17" s="225">
        <v>11.838390519999999</v>
      </c>
      <c r="M17" s="225">
        <v>11.99430488</v>
      </c>
      <c r="N17" s="225">
        <v>12.15226272</v>
      </c>
      <c r="O17" s="225">
        <v>12.31230616</v>
      </c>
      <c r="P17" s="225">
        <v>12.31230614</v>
      </c>
      <c r="Q17" s="225">
        <v>12.31230614</v>
      </c>
      <c r="R17" s="225">
        <v>12.31230614</v>
      </c>
      <c r="S17" s="225">
        <v>12.31230614</v>
      </c>
      <c r="T17" s="225">
        <v>12.31230614</v>
      </c>
      <c r="U17" s="225">
        <v>12.31230614</v>
      </c>
      <c r="V17" s="225">
        <v>12.31230614</v>
      </c>
      <c r="W17" s="225">
        <v>12.31230614</v>
      </c>
      <c r="X17" s="225">
        <v>12.31230614</v>
      </c>
      <c r="Y17" s="225">
        <v>12.31230614</v>
      </c>
      <c r="Z17" s="225">
        <v>12.31230614</v>
      </c>
      <c r="AA17" s="225">
        <v>12.31230614</v>
      </c>
      <c r="AB17" s="225">
        <v>12.31230614</v>
      </c>
      <c r="AC17" s="225">
        <v>12.31230614</v>
      </c>
    </row>
    <row r="18" spans="1:29" x14ac:dyDescent="0.3">
      <c r="A18" s="86"/>
      <c r="B18" s="209" t="s">
        <v>9</v>
      </c>
      <c r="C18" s="209" t="s">
        <v>10</v>
      </c>
      <c r="D18" s="209" t="s">
        <v>88</v>
      </c>
      <c r="F18" s="225">
        <v>1.1822483319961241</v>
      </c>
      <c r="G18" s="225">
        <v>1.197818304133444</v>
      </c>
      <c r="H18" s="225">
        <v>1.2135930944019933</v>
      </c>
      <c r="I18" s="225">
        <v>1.2295749486517167</v>
      </c>
      <c r="J18" s="225">
        <v>1.2457684378765228</v>
      </c>
      <c r="K18" s="225">
        <v>1.262175859593023</v>
      </c>
      <c r="L18" s="225">
        <v>1.2787971802297895</v>
      </c>
      <c r="M18" s="225">
        <v>1.295639241511628</v>
      </c>
      <c r="N18" s="225">
        <v>1.3127020356976744</v>
      </c>
      <c r="O18" s="225">
        <v>1.3299901196113377</v>
      </c>
      <c r="P18" s="225">
        <v>1.3299901096113378</v>
      </c>
      <c r="Q18" s="225">
        <v>1.3299901096113378</v>
      </c>
      <c r="R18" s="225">
        <v>1.3299901096113378</v>
      </c>
      <c r="S18" s="225">
        <v>1.3299901096113378</v>
      </c>
      <c r="T18" s="225">
        <v>1.3299901096113378</v>
      </c>
      <c r="U18" s="225">
        <v>1.3299901096113378</v>
      </c>
      <c r="V18" s="225">
        <v>1.3299901096113378</v>
      </c>
      <c r="W18" s="225">
        <v>1.3299901096113378</v>
      </c>
      <c r="X18" s="225">
        <v>1.3299901096113378</v>
      </c>
      <c r="Y18" s="225">
        <v>1.3299901096113378</v>
      </c>
      <c r="Z18" s="225">
        <v>1.3299901096113378</v>
      </c>
      <c r="AA18" s="225">
        <v>1.3299901096113378</v>
      </c>
      <c r="AB18" s="225">
        <v>1.3299901096113378</v>
      </c>
      <c r="AC18" s="225">
        <v>1.3299901096113378</v>
      </c>
    </row>
    <row r="19" spans="1:29" x14ac:dyDescent="0.3">
      <c r="A19" s="86"/>
      <c r="B19" s="209" t="s">
        <v>190</v>
      </c>
      <c r="C19" s="209" t="s">
        <v>241</v>
      </c>
      <c r="D19" s="209" t="s">
        <v>88</v>
      </c>
      <c r="F19" s="225">
        <v>0</v>
      </c>
      <c r="G19" s="225">
        <v>0</v>
      </c>
      <c r="H19" s="225">
        <v>0</v>
      </c>
      <c r="I19" s="225">
        <v>0</v>
      </c>
      <c r="J19" s="225">
        <v>0</v>
      </c>
      <c r="K19" s="225">
        <v>0</v>
      </c>
      <c r="L19" s="225">
        <v>0</v>
      </c>
      <c r="M19" s="225">
        <v>0</v>
      </c>
      <c r="N19" s="225">
        <v>0</v>
      </c>
      <c r="O19" s="225">
        <v>8.9371403079017924</v>
      </c>
      <c r="P19" s="225">
        <v>8.9371403079017924</v>
      </c>
      <c r="Q19" s="225">
        <v>8.9371403079017924</v>
      </c>
      <c r="R19" s="225">
        <v>8.9371403079017924</v>
      </c>
      <c r="S19" s="225">
        <v>8.9371403079017924</v>
      </c>
      <c r="T19" s="225">
        <v>8.9371403079017924</v>
      </c>
      <c r="U19" s="225">
        <v>8.9371403079017924</v>
      </c>
      <c r="V19" s="225">
        <v>8.9371403079017924</v>
      </c>
      <c r="W19" s="225">
        <v>8.9371403079017924</v>
      </c>
      <c r="X19" s="225">
        <v>8.9371403079017924</v>
      </c>
      <c r="Y19" s="225">
        <v>8.9371403079017924</v>
      </c>
      <c r="Z19" s="225">
        <v>8.9371403079017924</v>
      </c>
      <c r="AA19" s="225">
        <v>8.9371403079017924</v>
      </c>
      <c r="AB19" s="225">
        <v>8.9371403079017924</v>
      </c>
      <c r="AC19" s="225">
        <v>8.9371403079017924</v>
      </c>
    </row>
    <row r="20" spans="1:29" x14ac:dyDescent="0.3">
      <c r="A20" s="86"/>
      <c r="B20" s="209" t="s">
        <v>141</v>
      </c>
      <c r="C20" s="209" t="s">
        <v>142</v>
      </c>
      <c r="D20" s="209" t="s">
        <v>89</v>
      </c>
      <c r="F20" s="225">
        <v>358.91512632999996</v>
      </c>
      <c r="G20" s="225">
        <v>358.91512632999996</v>
      </c>
      <c r="H20" s="225">
        <v>358.91512632999996</v>
      </c>
      <c r="I20" s="225">
        <v>358.91512632999996</v>
      </c>
      <c r="J20" s="225">
        <v>358.91512632999996</v>
      </c>
      <c r="K20" s="225">
        <v>358.91512632999996</v>
      </c>
      <c r="L20" s="225">
        <v>358.91512632999996</v>
      </c>
      <c r="M20" s="225">
        <v>358.91512632999996</v>
      </c>
      <c r="N20" s="225">
        <v>358.91512632999996</v>
      </c>
      <c r="O20" s="225">
        <v>358.91512632999996</v>
      </c>
      <c r="P20" s="225">
        <v>358.91512632999996</v>
      </c>
      <c r="Q20" s="225">
        <v>358.91512632999996</v>
      </c>
      <c r="R20" s="225">
        <v>358.91512632999996</v>
      </c>
      <c r="S20" s="225">
        <v>358.91512632999996</v>
      </c>
      <c r="T20" s="225">
        <v>358.91512632999996</v>
      </c>
      <c r="U20" s="225">
        <v>358.91512632999996</v>
      </c>
      <c r="V20" s="225">
        <v>358.91512632999996</v>
      </c>
      <c r="W20" s="225">
        <v>358.91512632999996</v>
      </c>
      <c r="X20" s="225">
        <v>358.91512632999996</v>
      </c>
      <c r="Y20" s="225">
        <v>358.91512632999996</v>
      </c>
      <c r="Z20" s="225">
        <v>358.91512632999996</v>
      </c>
      <c r="AA20" s="225">
        <v>358.91512632999996</v>
      </c>
      <c r="AB20" s="225">
        <v>358.91512632999996</v>
      </c>
      <c r="AC20" s="225">
        <v>358.91512632999996</v>
      </c>
    </row>
    <row r="21" spans="1:29" customFormat="1" ht="6.75" customHeight="1" x14ac:dyDescent="0.25">
      <c r="B21" s="4"/>
      <c r="C21" s="4"/>
      <c r="D21" s="4"/>
      <c r="E21" s="119"/>
      <c r="F21" s="120"/>
      <c r="G21" s="120"/>
      <c r="H21" s="120"/>
      <c r="I21" s="120"/>
      <c r="J21" s="120"/>
      <c r="K21" s="120"/>
      <c r="L21" s="120"/>
      <c r="M21" s="120"/>
      <c r="N21" s="120"/>
      <c r="O21" s="120"/>
      <c r="P21" s="120"/>
      <c r="Q21" s="120"/>
      <c r="R21" s="120"/>
      <c r="S21" s="120"/>
      <c r="T21" s="120"/>
      <c r="U21" s="120"/>
    </row>
    <row r="22" spans="1:29" ht="28.5" customHeight="1" x14ac:dyDescent="0.3">
      <c r="B22" s="278" t="s">
        <v>37</v>
      </c>
      <c r="C22" s="278"/>
      <c r="D22" s="278"/>
      <c r="E22" s="118"/>
      <c r="F22" s="188">
        <f>+SUM(F7:F20)</f>
        <v>456.51518149011252</v>
      </c>
      <c r="G22" s="188">
        <f>+SUM(G7:G20)</f>
        <v>680.87982721890558</v>
      </c>
      <c r="H22" s="188">
        <f t="shared" ref="H22:AC22" si="2">+SUM(H7:H20)</f>
        <v>1939.3827982978742</v>
      </c>
      <c r="I22" s="188">
        <f t="shared" si="2"/>
        <v>505.15820720811223</v>
      </c>
      <c r="J22" s="188">
        <f t="shared" si="2"/>
        <v>712.10170064472345</v>
      </c>
      <c r="K22" s="188">
        <f t="shared" si="2"/>
        <v>12516.610520739485</v>
      </c>
      <c r="L22" s="188">
        <f t="shared" si="2"/>
        <v>537.14994530269689</v>
      </c>
      <c r="M22" s="188">
        <f t="shared" si="2"/>
        <v>742.40985316852016</v>
      </c>
      <c r="N22" s="188">
        <f t="shared" si="2"/>
        <v>1987.668525905561</v>
      </c>
      <c r="O22" s="188">
        <f t="shared" si="2"/>
        <v>557.41327360037155</v>
      </c>
      <c r="P22" s="188">
        <f t="shared" si="2"/>
        <v>583.41763981059</v>
      </c>
      <c r="Q22" s="188">
        <f t="shared" si="2"/>
        <v>12385.439508998665</v>
      </c>
      <c r="R22" s="188">
        <f t="shared" si="2"/>
        <v>387.32750781751309</v>
      </c>
      <c r="S22" s="188">
        <f t="shared" si="2"/>
        <v>586.93905268179003</v>
      </c>
      <c r="T22" s="188">
        <f t="shared" si="2"/>
        <v>1390.2445628875132</v>
      </c>
      <c r="U22" s="188">
        <f t="shared" si="2"/>
        <v>387.51756612751308</v>
      </c>
      <c r="V22" s="188">
        <f t="shared" si="2"/>
        <v>583.41763981059</v>
      </c>
      <c r="W22" s="188">
        <f t="shared" si="2"/>
        <v>1390.2445628875132</v>
      </c>
      <c r="X22" s="188">
        <f t="shared" si="2"/>
        <v>387.58953126751311</v>
      </c>
      <c r="Y22" s="188">
        <f t="shared" si="2"/>
        <v>385.03288530431308</v>
      </c>
      <c r="Z22" s="188">
        <f t="shared" si="2"/>
        <v>788.04905130417978</v>
      </c>
      <c r="AA22" s="188">
        <f t="shared" si="2"/>
        <v>387.74285300751308</v>
      </c>
      <c r="AB22" s="188">
        <f t="shared" si="2"/>
        <v>381.4945628875131</v>
      </c>
      <c r="AC22" s="188">
        <f t="shared" si="2"/>
        <v>37696.270562887505</v>
      </c>
    </row>
    <row r="23" spans="1:29" x14ac:dyDescent="0.3">
      <c r="B23" s="283" t="s">
        <v>182</v>
      </c>
      <c r="C23" s="283"/>
      <c r="D23" s="283"/>
      <c r="E23" s="118"/>
      <c r="F23" s="118"/>
      <c r="G23" s="118"/>
      <c r="H23" s="118"/>
      <c r="I23" s="118"/>
      <c r="J23" s="118"/>
      <c r="K23" s="118"/>
      <c r="L23" s="118"/>
      <c r="M23" s="118"/>
      <c r="N23" s="118"/>
      <c r="O23" s="118"/>
      <c r="P23" s="118"/>
      <c r="Q23" s="118"/>
    </row>
    <row r="24" spans="1:29" x14ac:dyDescent="0.3">
      <c r="B24" s="283"/>
      <c r="C24" s="283"/>
      <c r="D24" s="283"/>
      <c r="E24" s="118"/>
      <c r="F24" s="118"/>
      <c r="G24" s="118"/>
    </row>
    <row r="25" spans="1:29" ht="16.5" customHeight="1" x14ac:dyDescent="0.3">
      <c r="B25" s="283"/>
      <c r="C25" s="283"/>
      <c r="D25" s="283"/>
      <c r="E25" s="118"/>
    </row>
    <row r="26" spans="1:29" x14ac:dyDescent="0.3">
      <c r="B26" s="283"/>
      <c r="C26" s="283"/>
      <c r="D26" s="283"/>
      <c r="E26" s="118"/>
    </row>
    <row r="27" spans="1:29" x14ac:dyDescent="0.3">
      <c r="B27" s="121"/>
      <c r="C27" s="121"/>
      <c r="D27" s="121"/>
      <c r="E27" s="118"/>
    </row>
    <row r="28" spans="1:29" x14ac:dyDescent="0.3">
      <c r="B28" s="116"/>
      <c r="C28" s="121"/>
      <c r="D28" s="121"/>
      <c r="E28" s="118"/>
    </row>
    <row r="29" spans="1:29" ht="30.75" customHeight="1" x14ac:dyDescent="0.3">
      <c r="B29" s="285" t="s">
        <v>97</v>
      </c>
      <c r="C29" s="285"/>
      <c r="D29" s="285"/>
      <c r="E29" s="118"/>
      <c r="F29" s="117"/>
      <c r="G29" s="117"/>
      <c r="H29" s="117"/>
      <c r="I29" s="117"/>
      <c r="J29" s="117"/>
      <c r="K29" s="117"/>
      <c r="L29" s="117"/>
      <c r="M29" s="117"/>
      <c r="N29" s="117"/>
      <c r="O29" s="117"/>
      <c r="P29" s="117"/>
      <c r="Q29" s="117"/>
    </row>
    <row r="30" spans="1:29" x14ac:dyDescent="0.3">
      <c r="B30" s="279" t="s">
        <v>0</v>
      </c>
      <c r="C30" s="281" t="s">
        <v>1</v>
      </c>
      <c r="D30" s="281" t="s">
        <v>94</v>
      </c>
      <c r="E30" s="118"/>
      <c r="F30" s="189">
        <v>2024</v>
      </c>
      <c r="G30" s="189">
        <v>2024</v>
      </c>
      <c r="H30" s="189">
        <v>2024</v>
      </c>
      <c r="I30" s="189">
        <v>2024</v>
      </c>
      <c r="J30" s="189">
        <v>2024</v>
      </c>
      <c r="K30" s="189">
        <v>2024</v>
      </c>
      <c r="L30" s="189">
        <v>2024</v>
      </c>
      <c r="M30" s="189">
        <v>2024</v>
      </c>
      <c r="N30" s="189">
        <v>2024</v>
      </c>
      <c r="O30" s="189">
        <v>2024</v>
      </c>
      <c r="P30" s="189">
        <v>2024</v>
      </c>
      <c r="Q30" s="189">
        <v>2024</v>
      </c>
      <c r="R30" s="189">
        <v>2025</v>
      </c>
      <c r="S30" s="189">
        <v>2025</v>
      </c>
      <c r="T30" s="189">
        <v>2025</v>
      </c>
      <c r="U30" s="189">
        <v>2025</v>
      </c>
      <c r="V30" s="189">
        <v>2025</v>
      </c>
      <c r="W30" s="189">
        <v>2025</v>
      </c>
      <c r="X30" s="189">
        <v>2025</v>
      </c>
      <c r="Y30" s="189">
        <v>2025</v>
      </c>
      <c r="Z30" s="189">
        <v>2025</v>
      </c>
      <c r="AA30" s="189">
        <v>2025</v>
      </c>
      <c r="AB30" s="189">
        <v>2025</v>
      </c>
      <c r="AC30" s="189">
        <v>2025</v>
      </c>
    </row>
    <row r="31" spans="1:29" x14ac:dyDescent="0.3">
      <c r="B31" s="280"/>
      <c r="C31" s="282"/>
      <c r="D31" s="282"/>
      <c r="E31" s="118"/>
      <c r="F31" s="189">
        <v>1</v>
      </c>
      <c r="G31" s="189">
        <f>+F31+1</f>
        <v>2</v>
      </c>
      <c r="H31" s="189">
        <f t="shared" ref="H31:Q31" si="3">+G31+1</f>
        <v>3</v>
      </c>
      <c r="I31" s="189">
        <f t="shared" si="3"/>
        <v>4</v>
      </c>
      <c r="J31" s="189">
        <f t="shared" si="3"/>
        <v>5</v>
      </c>
      <c r="K31" s="189">
        <f t="shared" si="3"/>
        <v>6</v>
      </c>
      <c r="L31" s="189">
        <f t="shared" si="3"/>
        <v>7</v>
      </c>
      <c r="M31" s="189">
        <f t="shared" si="3"/>
        <v>8</v>
      </c>
      <c r="N31" s="189">
        <f t="shared" si="3"/>
        <v>9</v>
      </c>
      <c r="O31" s="189">
        <f t="shared" si="3"/>
        <v>10</v>
      </c>
      <c r="P31" s="189">
        <f t="shared" si="3"/>
        <v>11</v>
      </c>
      <c r="Q31" s="189">
        <f t="shared" si="3"/>
        <v>12</v>
      </c>
      <c r="R31" s="189">
        <v>1</v>
      </c>
      <c r="S31" s="189">
        <f t="shared" ref="S31:AC31" si="4">+R31+1</f>
        <v>2</v>
      </c>
      <c r="T31" s="189">
        <f t="shared" si="4"/>
        <v>3</v>
      </c>
      <c r="U31" s="189">
        <f t="shared" si="4"/>
        <v>4</v>
      </c>
      <c r="V31" s="189">
        <f t="shared" si="4"/>
        <v>5</v>
      </c>
      <c r="W31" s="189">
        <f t="shared" si="4"/>
        <v>6</v>
      </c>
      <c r="X31" s="189">
        <f t="shared" si="4"/>
        <v>7</v>
      </c>
      <c r="Y31" s="189">
        <f t="shared" si="4"/>
        <v>8</v>
      </c>
      <c r="Z31" s="189">
        <f t="shared" si="4"/>
        <v>9</v>
      </c>
      <c r="AA31" s="189">
        <f t="shared" si="4"/>
        <v>10</v>
      </c>
      <c r="AB31" s="189">
        <f t="shared" si="4"/>
        <v>11</v>
      </c>
      <c r="AC31" s="189">
        <f t="shared" si="4"/>
        <v>12</v>
      </c>
    </row>
    <row r="32" spans="1:29" x14ac:dyDescent="0.3">
      <c r="A32" s="17" t="s">
        <v>40</v>
      </c>
      <c r="B32" s="209" t="s">
        <v>13</v>
      </c>
      <c r="C32" s="209" t="s">
        <v>14</v>
      </c>
      <c r="D32" s="209" t="s">
        <v>91</v>
      </c>
      <c r="E32" s="118"/>
      <c r="F32" s="225">
        <v>0</v>
      </c>
      <c r="G32" s="225">
        <v>0</v>
      </c>
      <c r="H32" s="225">
        <v>0</v>
      </c>
      <c r="I32" s="225">
        <v>0</v>
      </c>
      <c r="J32" s="225">
        <v>0</v>
      </c>
      <c r="K32" s="225">
        <v>1.42576605</v>
      </c>
      <c r="L32" s="225">
        <v>0</v>
      </c>
      <c r="M32" s="225">
        <v>0</v>
      </c>
      <c r="N32" s="225">
        <v>0</v>
      </c>
      <c r="O32" s="225">
        <v>0</v>
      </c>
      <c r="P32" s="225">
        <v>0</v>
      </c>
      <c r="Q32" s="225">
        <v>1.4257660471664431</v>
      </c>
      <c r="R32" s="225">
        <v>0</v>
      </c>
      <c r="S32" s="225">
        <v>0</v>
      </c>
      <c r="T32" s="225">
        <v>0</v>
      </c>
      <c r="U32" s="225">
        <v>0</v>
      </c>
      <c r="V32" s="225">
        <v>0</v>
      </c>
      <c r="W32" s="225">
        <v>1.4257660471664431</v>
      </c>
      <c r="X32" s="225">
        <v>0</v>
      </c>
      <c r="Y32" s="225">
        <v>0</v>
      </c>
      <c r="Z32" s="225">
        <v>0</v>
      </c>
      <c r="AA32" s="225">
        <v>0</v>
      </c>
      <c r="AB32" s="225">
        <v>0</v>
      </c>
      <c r="AC32" s="225">
        <v>1.4257660471664431</v>
      </c>
    </row>
    <row r="33" spans="1:29" x14ac:dyDescent="0.3">
      <c r="A33" s="17" t="s">
        <v>40</v>
      </c>
      <c r="B33" s="209" t="s">
        <v>19</v>
      </c>
      <c r="C33" s="209" t="s">
        <v>20</v>
      </c>
      <c r="D33" s="209" t="s">
        <v>91</v>
      </c>
      <c r="E33" s="118"/>
      <c r="F33" s="225">
        <v>0</v>
      </c>
      <c r="G33" s="225">
        <v>1.2705903105221876</v>
      </c>
      <c r="H33" s="225">
        <v>0</v>
      </c>
      <c r="I33" s="225">
        <v>0</v>
      </c>
      <c r="J33" s="225">
        <v>0</v>
      </c>
      <c r="K33" s="225">
        <v>0</v>
      </c>
      <c r="L33" s="225">
        <v>0</v>
      </c>
      <c r="M33" s="225">
        <v>1.27059031</v>
      </c>
      <c r="N33" s="225">
        <v>0</v>
      </c>
      <c r="O33" s="225">
        <v>0</v>
      </c>
      <c r="P33" s="225">
        <v>0</v>
      </c>
      <c r="Q33" s="225">
        <v>0</v>
      </c>
      <c r="R33" s="225">
        <v>0</v>
      </c>
      <c r="S33" s="225">
        <v>1.2705903105221876</v>
      </c>
      <c r="T33" s="225">
        <v>0</v>
      </c>
      <c r="U33" s="225">
        <v>0</v>
      </c>
      <c r="V33" s="225">
        <v>0</v>
      </c>
      <c r="W33" s="225">
        <v>0</v>
      </c>
      <c r="X33" s="225">
        <v>0</v>
      </c>
      <c r="Y33" s="225">
        <v>1.2705903105221876</v>
      </c>
      <c r="Z33" s="225">
        <v>0</v>
      </c>
      <c r="AA33" s="225">
        <v>0</v>
      </c>
      <c r="AB33" s="225">
        <v>0</v>
      </c>
      <c r="AC33" s="225">
        <v>0</v>
      </c>
    </row>
    <row r="34" spans="1:29" x14ac:dyDescent="0.3">
      <c r="A34" s="17" t="s">
        <v>40</v>
      </c>
      <c r="B34" s="209" t="s">
        <v>15</v>
      </c>
      <c r="C34" s="209" t="s">
        <v>16</v>
      </c>
      <c r="D34" s="209" t="s">
        <v>91</v>
      </c>
      <c r="E34" s="118"/>
      <c r="F34" s="225">
        <v>0</v>
      </c>
      <c r="G34" s="225">
        <v>0</v>
      </c>
      <c r="H34" s="225">
        <v>0</v>
      </c>
      <c r="I34" s="225">
        <v>1.44594277</v>
      </c>
      <c r="J34" s="225">
        <v>0</v>
      </c>
      <c r="K34" s="225">
        <v>0</v>
      </c>
      <c r="L34" s="225">
        <v>0</v>
      </c>
      <c r="M34" s="225">
        <v>0</v>
      </c>
      <c r="N34" s="225">
        <v>0</v>
      </c>
      <c r="O34" s="225">
        <v>1.445942759999999</v>
      </c>
      <c r="P34" s="225">
        <v>0</v>
      </c>
      <c r="Q34" s="225">
        <v>0</v>
      </c>
      <c r="R34" s="159">
        <v>0</v>
      </c>
      <c r="S34" s="225">
        <v>0</v>
      </c>
      <c r="T34" s="225">
        <v>0</v>
      </c>
      <c r="U34" s="225">
        <v>1.445942759999999</v>
      </c>
      <c r="V34" s="225">
        <v>0</v>
      </c>
      <c r="W34" s="225">
        <v>0</v>
      </c>
      <c r="X34" s="225">
        <v>0</v>
      </c>
      <c r="Y34" s="225">
        <v>0</v>
      </c>
      <c r="Z34" s="225">
        <v>0</v>
      </c>
      <c r="AA34" s="225">
        <v>1.445942759999999</v>
      </c>
      <c r="AB34" s="225">
        <v>0</v>
      </c>
      <c r="AC34" s="225">
        <v>0</v>
      </c>
    </row>
    <row r="35" spans="1:29" x14ac:dyDescent="0.3">
      <c r="A35" s="17" t="s">
        <v>40</v>
      </c>
      <c r="B35" s="209" t="s">
        <v>17</v>
      </c>
      <c r="C35" s="209" t="s">
        <v>18</v>
      </c>
      <c r="D35" s="209" t="s">
        <v>91</v>
      </c>
      <c r="E35" s="118"/>
      <c r="F35" s="225">
        <v>0</v>
      </c>
      <c r="G35" s="225">
        <v>2.4354049257142849</v>
      </c>
      <c r="H35" s="225">
        <v>0</v>
      </c>
      <c r="I35" s="225">
        <v>0</v>
      </c>
      <c r="J35" s="225">
        <v>0</v>
      </c>
      <c r="K35" s="225">
        <v>0</v>
      </c>
      <c r="L35" s="225">
        <v>0</v>
      </c>
      <c r="M35" s="225">
        <v>2.4354049300000002</v>
      </c>
      <c r="N35" s="225">
        <v>0</v>
      </c>
      <c r="O35" s="225">
        <v>0</v>
      </c>
      <c r="P35" s="225">
        <v>0</v>
      </c>
      <c r="Q35" s="225">
        <v>0</v>
      </c>
      <c r="R35" s="159">
        <v>0</v>
      </c>
      <c r="S35" s="225">
        <v>2.4354049257142849</v>
      </c>
      <c r="T35" s="225">
        <v>0</v>
      </c>
      <c r="U35" s="225">
        <v>0</v>
      </c>
      <c r="V35" s="225">
        <v>0</v>
      </c>
      <c r="W35" s="225">
        <v>0</v>
      </c>
      <c r="X35" s="225">
        <v>0</v>
      </c>
      <c r="Y35" s="225">
        <v>2.4354049257142849</v>
      </c>
      <c r="Z35" s="225">
        <v>0</v>
      </c>
      <c r="AA35" s="225">
        <v>0</v>
      </c>
      <c r="AB35" s="225">
        <v>0</v>
      </c>
      <c r="AC35" s="225">
        <v>0</v>
      </c>
    </row>
    <row r="36" spans="1:29" x14ac:dyDescent="0.3">
      <c r="A36" s="17" t="s">
        <v>40</v>
      </c>
      <c r="B36" s="209" t="s">
        <v>23</v>
      </c>
      <c r="C36" s="209" t="s">
        <v>24</v>
      </c>
      <c r="D36" s="209" t="s">
        <v>91</v>
      </c>
      <c r="E36" s="118"/>
      <c r="F36" s="225">
        <v>0</v>
      </c>
      <c r="G36" s="225">
        <v>0</v>
      </c>
      <c r="H36" s="225">
        <v>0</v>
      </c>
      <c r="I36" s="225">
        <v>0.3826226830985438</v>
      </c>
      <c r="J36" s="225">
        <v>0</v>
      </c>
      <c r="K36" s="225">
        <v>0</v>
      </c>
      <c r="L36" s="225">
        <v>0</v>
      </c>
      <c r="M36" s="225">
        <v>0</v>
      </c>
      <c r="N36" s="225">
        <v>0</v>
      </c>
      <c r="O36" s="225">
        <v>0.38262268309854375</v>
      </c>
      <c r="P36" s="225">
        <v>0</v>
      </c>
      <c r="Q36" s="225">
        <v>0</v>
      </c>
      <c r="R36" s="159">
        <v>0</v>
      </c>
      <c r="S36" s="225">
        <v>0</v>
      </c>
      <c r="T36" s="225">
        <v>0</v>
      </c>
      <c r="U36" s="225">
        <v>0.38262268309854375</v>
      </c>
      <c r="V36" s="225">
        <v>0</v>
      </c>
      <c r="W36" s="225">
        <v>0</v>
      </c>
      <c r="X36" s="225">
        <v>0</v>
      </c>
      <c r="Y36" s="225">
        <v>0</v>
      </c>
      <c r="Z36" s="225">
        <v>0</v>
      </c>
      <c r="AA36" s="225">
        <v>0.3826226830985438</v>
      </c>
      <c r="AB36" s="225">
        <v>0</v>
      </c>
      <c r="AC36" s="225">
        <v>0</v>
      </c>
    </row>
    <row r="37" spans="1:29" x14ac:dyDescent="0.3">
      <c r="A37" s="17" t="s">
        <v>40</v>
      </c>
      <c r="B37" s="209" t="s">
        <v>21</v>
      </c>
      <c r="C37" s="209" t="s">
        <v>22</v>
      </c>
      <c r="D37" s="209" t="s">
        <v>91</v>
      </c>
      <c r="E37" s="118"/>
      <c r="F37" s="225">
        <v>0</v>
      </c>
      <c r="G37" s="225">
        <v>0</v>
      </c>
      <c r="H37" s="225">
        <v>0</v>
      </c>
      <c r="I37" s="225">
        <v>0</v>
      </c>
      <c r="J37" s="225">
        <v>0.19690853</v>
      </c>
      <c r="K37" s="225">
        <v>0</v>
      </c>
      <c r="L37" s="225">
        <v>0</v>
      </c>
      <c r="M37" s="225">
        <v>0</v>
      </c>
      <c r="N37" s="225">
        <v>0</v>
      </c>
      <c r="O37" s="225">
        <v>0</v>
      </c>
      <c r="P37" s="225">
        <v>0.19690854014551065</v>
      </c>
      <c r="Q37" s="225">
        <v>0</v>
      </c>
      <c r="R37" s="159">
        <v>0</v>
      </c>
      <c r="S37" s="225">
        <v>0</v>
      </c>
      <c r="T37" s="225">
        <v>0</v>
      </c>
      <c r="U37" s="225">
        <v>0</v>
      </c>
      <c r="V37" s="225">
        <v>0.19690854014551065</v>
      </c>
      <c r="W37" s="225">
        <v>0</v>
      </c>
      <c r="X37" s="225">
        <v>0</v>
      </c>
      <c r="Y37" s="225">
        <v>0</v>
      </c>
      <c r="Z37" s="225">
        <v>0</v>
      </c>
      <c r="AA37" s="225">
        <v>0</v>
      </c>
      <c r="AB37" s="225">
        <v>0.19690854014551065</v>
      </c>
      <c r="AC37" s="225">
        <v>0</v>
      </c>
    </row>
    <row r="38" spans="1:29" x14ac:dyDescent="0.3">
      <c r="A38" s="17" t="s">
        <v>40</v>
      </c>
      <c r="B38" s="209" t="s">
        <v>124</v>
      </c>
      <c r="C38" s="209" t="s">
        <v>125</v>
      </c>
      <c r="D38" s="209" t="s">
        <v>91</v>
      </c>
      <c r="E38" s="118"/>
      <c r="F38" s="225">
        <v>0</v>
      </c>
      <c r="G38" s="225">
        <v>0</v>
      </c>
      <c r="H38" s="225">
        <v>0</v>
      </c>
      <c r="I38" s="225">
        <v>0</v>
      </c>
      <c r="J38" s="225">
        <v>0</v>
      </c>
      <c r="K38" s="225">
        <v>0</v>
      </c>
      <c r="L38" s="225">
        <v>0</v>
      </c>
      <c r="M38" s="225">
        <v>0</v>
      </c>
      <c r="N38" s="225">
        <v>0</v>
      </c>
      <c r="O38" s="225">
        <v>0</v>
      </c>
      <c r="P38" s="225">
        <v>0</v>
      </c>
      <c r="Q38" s="225">
        <v>0</v>
      </c>
      <c r="R38" s="159">
        <v>0</v>
      </c>
      <c r="S38" s="225">
        <v>0</v>
      </c>
      <c r="T38" s="225">
        <v>0</v>
      </c>
      <c r="U38" s="225">
        <v>0</v>
      </c>
      <c r="V38" s="225">
        <v>0.68287500000000001</v>
      </c>
      <c r="W38" s="225">
        <v>0</v>
      </c>
      <c r="X38" s="225">
        <v>0</v>
      </c>
      <c r="Y38" s="225">
        <v>0</v>
      </c>
      <c r="Z38" s="225">
        <v>0</v>
      </c>
      <c r="AA38" s="225">
        <v>0</v>
      </c>
      <c r="AB38" s="225">
        <v>0.68287500000000001</v>
      </c>
      <c r="AC38" s="225">
        <v>0</v>
      </c>
    </row>
    <row r="39" spans="1:29" x14ac:dyDescent="0.3">
      <c r="A39" s="17"/>
      <c r="B39" s="209" t="s">
        <v>144</v>
      </c>
      <c r="C39" s="209" t="s">
        <v>215</v>
      </c>
      <c r="D39" s="209" t="s">
        <v>91</v>
      </c>
      <c r="E39" s="118"/>
      <c r="F39" s="225">
        <v>0</v>
      </c>
      <c r="G39" s="225">
        <v>0</v>
      </c>
      <c r="H39" s="225">
        <v>0</v>
      </c>
      <c r="I39" s="225">
        <v>0</v>
      </c>
      <c r="J39" s="225">
        <v>0</v>
      </c>
      <c r="K39" s="225">
        <v>0</v>
      </c>
      <c r="L39" s="225">
        <v>0</v>
      </c>
      <c r="M39" s="225">
        <v>0</v>
      </c>
      <c r="N39" s="225">
        <v>0</v>
      </c>
      <c r="O39" s="225">
        <v>0</v>
      </c>
      <c r="P39" s="225">
        <v>0</v>
      </c>
      <c r="Q39" s="225">
        <v>0</v>
      </c>
      <c r="R39" s="159">
        <v>0</v>
      </c>
      <c r="S39" s="225">
        <v>0</v>
      </c>
      <c r="T39" s="225">
        <v>0</v>
      </c>
      <c r="U39" s="225">
        <v>0</v>
      </c>
      <c r="V39" s="225">
        <v>0</v>
      </c>
      <c r="W39" s="225">
        <v>0</v>
      </c>
      <c r="X39" s="225">
        <v>0</v>
      </c>
      <c r="Y39" s="225">
        <v>0</v>
      </c>
      <c r="Z39" s="225">
        <v>0</v>
      </c>
      <c r="AA39" s="225">
        <v>0</v>
      </c>
      <c r="AB39" s="225">
        <v>0</v>
      </c>
      <c r="AC39" s="225">
        <v>0</v>
      </c>
    </row>
    <row r="40" spans="1:29" x14ac:dyDescent="0.3">
      <c r="A40" s="17" t="s">
        <v>40</v>
      </c>
      <c r="B40" s="209" t="s">
        <v>25</v>
      </c>
      <c r="C40" s="209" t="s">
        <v>26</v>
      </c>
      <c r="D40" s="209" t="s">
        <v>91</v>
      </c>
      <c r="E40" s="118"/>
      <c r="F40" s="225">
        <v>0</v>
      </c>
      <c r="G40" s="225">
        <v>0</v>
      </c>
      <c r="H40" s="225">
        <v>0</v>
      </c>
      <c r="I40" s="225">
        <v>0.12026002000000001</v>
      </c>
      <c r="J40" s="225">
        <v>0</v>
      </c>
      <c r="K40" s="225">
        <v>0</v>
      </c>
      <c r="L40" s="225">
        <v>0</v>
      </c>
      <c r="M40" s="225">
        <v>0</v>
      </c>
      <c r="N40" s="225">
        <v>0</v>
      </c>
      <c r="O40" s="225">
        <v>0.12025969000000042</v>
      </c>
      <c r="P40" s="225">
        <v>0</v>
      </c>
      <c r="Q40" s="225">
        <v>0</v>
      </c>
      <c r="R40" s="159">
        <v>0</v>
      </c>
      <c r="S40" s="225">
        <v>0</v>
      </c>
      <c r="T40" s="225">
        <v>0</v>
      </c>
      <c r="U40" s="225">
        <v>0</v>
      </c>
      <c r="V40" s="225">
        <v>0</v>
      </c>
      <c r="W40" s="225">
        <v>0</v>
      </c>
      <c r="X40" s="225">
        <v>0</v>
      </c>
      <c r="Y40" s="225">
        <v>0</v>
      </c>
      <c r="Z40" s="225">
        <v>0</v>
      </c>
      <c r="AA40" s="225">
        <v>0</v>
      </c>
      <c r="AB40" s="225">
        <v>0</v>
      </c>
      <c r="AC40" s="225">
        <v>0</v>
      </c>
    </row>
    <row r="41" spans="1:29" x14ac:dyDescent="0.3">
      <c r="A41" s="17" t="s">
        <v>40</v>
      </c>
      <c r="B41" s="209" t="s">
        <v>27</v>
      </c>
      <c r="C41" s="209" t="s">
        <v>28</v>
      </c>
      <c r="D41" s="209" t="s">
        <v>91</v>
      </c>
      <c r="E41" s="118"/>
      <c r="F41" s="225">
        <v>0</v>
      </c>
      <c r="G41" s="225">
        <v>0</v>
      </c>
      <c r="H41" s="225">
        <v>6.7520600000000007E-3</v>
      </c>
      <c r="I41" s="225">
        <v>0</v>
      </c>
      <c r="J41" s="225">
        <v>0</v>
      </c>
      <c r="K41" s="225">
        <v>6.7721400000000003E-3</v>
      </c>
      <c r="L41" s="225">
        <v>0</v>
      </c>
      <c r="M41" s="225">
        <v>0</v>
      </c>
      <c r="N41" s="225">
        <v>6.7922900000000003E-3</v>
      </c>
      <c r="O41" s="225">
        <v>0</v>
      </c>
      <c r="P41" s="225">
        <v>0</v>
      </c>
      <c r="Q41" s="225">
        <v>6.8125E-3</v>
      </c>
      <c r="R41" s="159">
        <v>0</v>
      </c>
      <c r="S41" s="225">
        <v>0</v>
      </c>
      <c r="T41" s="225">
        <v>6.8327700000000002E-3</v>
      </c>
      <c r="U41" s="225">
        <v>0</v>
      </c>
      <c r="V41" s="225">
        <v>0</v>
      </c>
      <c r="W41" s="225">
        <v>6.85309E-3</v>
      </c>
      <c r="X41" s="225">
        <v>0</v>
      </c>
      <c r="Y41" s="225">
        <v>0</v>
      </c>
      <c r="Z41" s="225">
        <v>6.8734799999999995E-3</v>
      </c>
      <c r="AA41" s="225">
        <v>0</v>
      </c>
      <c r="AB41" s="225">
        <v>0</v>
      </c>
      <c r="AC41" s="225">
        <v>6.8939300000000004E-3</v>
      </c>
    </row>
    <row r="42" spans="1:29" x14ac:dyDescent="0.3">
      <c r="A42" s="17" t="s">
        <v>40</v>
      </c>
      <c r="B42" s="209" t="s">
        <v>29</v>
      </c>
      <c r="C42" s="209" t="s">
        <v>30</v>
      </c>
      <c r="D42" s="209" t="s">
        <v>91</v>
      </c>
      <c r="E42" s="118"/>
      <c r="F42" s="225">
        <v>0</v>
      </c>
      <c r="G42" s="225">
        <v>0</v>
      </c>
      <c r="H42" s="225">
        <v>0</v>
      </c>
      <c r="I42" s="225">
        <v>0</v>
      </c>
      <c r="J42" s="225">
        <v>0</v>
      </c>
      <c r="K42" s="225">
        <v>0</v>
      </c>
      <c r="L42" s="225">
        <v>0</v>
      </c>
      <c r="M42" s="225">
        <v>0</v>
      </c>
      <c r="N42" s="225">
        <v>6.1915900000000003E-2</v>
      </c>
      <c r="O42" s="225">
        <v>0</v>
      </c>
      <c r="P42" s="225">
        <v>0</v>
      </c>
      <c r="Q42" s="225">
        <v>0</v>
      </c>
      <c r="R42" s="159">
        <v>0</v>
      </c>
      <c r="S42" s="225">
        <v>0</v>
      </c>
      <c r="T42" s="225">
        <v>0</v>
      </c>
      <c r="U42" s="225">
        <v>0</v>
      </c>
      <c r="V42" s="225">
        <v>0</v>
      </c>
      <c r="W42" s="225">
        <v>0</v>
      </c>
      <c r="X42" s="225">
        <v>0</v>
      </c>
      <c r="Y42" s="225">
        <v>0</v>
      </c>
      <c r="Z42" s="225">
        <v>0</v>
      </c>
      <c r="AA42" s="225">
        <v>0</v>
      </c>
      <c r="AB42" s="225">
        <v>0</v>
      </c>
      <c r="AC42" s="225">
        <v>0</v>
      </c>
    </row>
    <row r="43" spans="1:29" x14ac:dyDescent="0.3">
      <c r="A43" s="17" t="s">
        <v>40</v>
      </c>
      <c r="B43" s="209" t="s">
        <v>32</v>
      </c>
      <c r="C43" s="209" t="s">
        <v>33</v>
      </c>
      <c r="D43" s="209" t="s">
        <v>91</v>
      </c>
      <c r="E43" s="118"/>
      <c r="F43" s="225">
        <v>0</v>
      </c>
      <c r="G43" s="225">
        <v>0</v>
      </c>
      <c r="H43" s="225">
        <v>0.89227885142857055</v>
      </c>
      <c r="I43" s="225">
        <v>0</v>
      </c>
      <c r="J43" s="225">
        <v>0</v>
      </c>
      <c r="K43" s="225">
        <v>0</v>
      </c>
      <c r="L43" s="225">
        <v>0</v>
      </c>
      <c r="M43" s="225">
        <v>0</v>
      </c>
      <c r="N43" s="225">
        <v>0.89227885142857055</v>
      </c>
      <c r="O43" s="225">
        <v>0</v>
      </c>
      <c r="P43" s="225">
        <v>0</v>
      </c>
      <c r="Q43" s="225">
        <v>0</v>
      </c>
      <c r="R43" s="159">
        <v>0</v>
      </c>
      <c r="S43" s="225">
        <v>0</v>
      </c>
      <c r="T43" s="225">
        <v>0.89227885142857055</v>
      </c>
      <c r="U43" s="225">
        <v>0</v>
      </c>
      <c r="V43" s="225">
        <v>0</v>
      </c>
      <c r="W43" s="225">
        <v>0</v>
      </c>
      <c r="X43" s="225">
        <v>0</v>
      </c>
      <c r="Y43" s="225">
        <v>0</v>
      </c>
      <c r="Z43" s="225">
        <v>0.89227885142857055</v>
      </c>
      <c r="AA43" s="225">
        <v>0</v>
      </c>
      <c r="AB43" s="225">
        <v>0</v>
      </c>
      <c r="AC43" s="225">
        <v>0</v>
      </c>
    </row>
    <row r="44" spans="1:29" x14ac:dyDescent="0.3">
      <c r="A44" s="17"/>
      <c r="B44" s="209" t="s">
        <v>145</v>
      </c>
      <c r="C44" s="209" t="s">
        <v>146</v>
      </c>
      <c r="D44" s="209" t="s">
        <v>91</v>
      </c>
      <c r="E44" s="122"/>
      <c r="F44" s="225">
        <v>0</v>
      </c>
      <c r="G44" s="225">
        <v>0</v>
      </c>
      <c r="H44" s="225">
        <v>0</v>
      </c>
      <c r="I44" s="225">
        <v>0</v>
      </c>
      <c r="J44" s="225">
        <v>0</v>
      </c>
      <c r="K44" s="225">
        <v>0</v>
      </c>
      <c r="L44" s="225">
        <v>0</v>
      </c>
      <c r="M44" s="225">
        <v>0</v>
      </c>
      <c r="N44" s="225">
        <v>0</v>
      </c>
      <c r="O44" s="225">
        <v>0</v>
      </c>
      <c r="P44" s="225">
        <v>0</v>
      </c>
      <c r="Q44" s="225">
        <v>0</v>
      </c>
      <c r="R44" s="159">
        <v>0</v>
      </c>
      <c r="S44" s="225">
        <v>0</v>
      </c>
      <c r="T44" s="225">
        <v>0</v>
      </c>
      <c r="U44" s="225">
        <v>0</v>
      </c>
      <c r="V44" s="225">
        <v>0</v>
      </c>
      <c r="W44" s="225">
        <v>0</v>
      </c>
      <c r="X44" s="225">
        <v>0</v>
      </c>
      <c r="Y44" s="225">
        <v>0</v>
      </c>
      <c r="Z44" s="225">
        <v>0</v>
      </c>
      <c r="AA44" s="225">
        <v>0</v>
      </c>
      <c r="AB44" s="225">
        <v>0</v>
      </c>
      <c r="AC44" s="225">
        <v>0</v>
      </c>
    </row>
    <row r="45" spans="1:29" x14ac:dyDescent="0.3">
      <c r="A45" s="17"/>
      <c r="B45" s="227" t="s">
        <v>170</v>
      </c>
      <c r="C45" s="227" t="s">
        <v>171</v>
      </c>
      <c r="D45" s="227" t="s">
        <v>91</v>
      </c>
      <c r="E45" s="122"/>
      <c r="F45" s="225">
        <v>0</v>
      </c>
      <c r="G45" s="225">
        <v>0</v>
      </c>
      <c r="H45" s="225">
        <v>0</v>
      </c>
      <c r="I45" s="225">
        <v>0</v>
      </c>
      <c r="J45" s="225">
        <v>0</v>
      </c>
      <c r="K45" s="225">
        <v>0</v>
      </c>
      <c r="L45" s="225">
        <v>0</v>
      </c>
      <c r="M45" s="225">
        <v>0</v>
      </c>
      <c r="N45" s="225">
        <v>0</v>
      </c>
      <c r="O45" s="225">
        <v>0</v>
      </c>
      <c r="P45" s="225">
        <v>0</v>
      </c>
      <c r="Q45" s="225">
        <v>0</v>
      </c>
      <c r="R45" s="228">
        <v>0</v>
      </c>
      <c r="S45" s="225">
        <v>0</v>
      </c>
      <c r="T45" s="225">
        <v>0</v>
      </c>
      <c r="U45" s="225">
        <v>0</v>
      </c>
      <c r="V45" s="225">
        <v>0.20005386819791166</v>
      </c>
      <c r="W45" s="225">
        <v>0</v>
      </c>
      <c r="X45" s="225">
        <v>0</v>
      </c>
      <c r="Y45" s="225">
        <v>0</v>
      </c>
      <c r="Z45" s="225">
        <v>0</v>
      </c>
      <c r="AA45" s="225">
        <v>0</v>
      </c>
      <c r="AB45" s="225">
        <v>0.20005386819791166</v>
      </c>
      <c r="AC45" s="225">
        <v>0</v>
      </c>
    </row>
    <row r="46" spans="1:29" x14ac:dyDescent="0.3">
      <c r="A46" s="17" t="s">
        <v>40</v>
      </c>
      <c r="B46" s="209" t="s">
        <v>123</v>
      </c>
      <c r="C46" s="209" t="s">
        <v>122</v>
      </c>
      <c r="D46" s="209" t="s">
        <v>92</v>
      </c>
      <c r="E46" s="118"/>
      <c r="F46" s="225">
        <v>0</v>
      </c>
      <c r="G46" s="225">
        <v>0</v>
      </c>
      <c r="H46" s="225">
        <v>39.847769229999997</v>
      </c>
      <c r="I46" s="225">
        <v>0</v>
      </c>
      <c r="J46" s="225">
        <v>0</v>
      </c>
      <c r="K46" s="225">
        <v>0</v>
      </c>
      <c r="L46" s="225">
        <v>0</v>
      </c>
      <c r="M46" s="225">
        <v>0</v>
      </c>
      <c r="N46" s="225">
        <v>39.847769229999997</v>
      </c>
      <c r="O46" s="225">
        <v>0</v>
      </c>
      <c r="P46" s="225">
        <v>0</v>
      </c>
      <c r="Q46" s="225">
        <v>0</v>
      </c>
      <c r="R46" s="159">
        <v>0</v>
      </c>
      <c r="S46" s="225">
        <v>0</v>
      </c>
      <c r="T46" s="225">
        <v>39.847769230769231</v>
      </c>
      <c r="U46" s="225">
        <v>0</v>
      </c>
      <c r="V46" s="225">
        <v>0</v>
      </c>
      <c r="W46" s="225">
        <v>0</v>
      </c>
      <c r="X46" s="225">
        <v>0</v>
      </c>
      <c r="Y46" s="225">
        <v>0</v>
      </c>
      <c r="Z46" s="225">
        <v>39.847769230769231</v>
      </c>
      <c r="AA46" s="225">
        <v>0</v>
      </c>
      <c r="AB46" s="225">
        <v>0</v>
      </c>
      <c r="AC46" s="225">
        <v>0</v>
      </c>
    </row>
    <row r="47" spans="1:29" customFormat="1" ht="6.75" customHeight="1" x14ac:dyDescent="0.25">
      <c r="B47" s="123"/>
      <c r="C47" s="4"/>
      <c r="D47" s="4"/>
      <c r="E47" s="119"/>
      <c r="F47" s="120"/>
      <c r="G47" s="120"/>
      <c r="H47" s="120"/>
      <c r="I47" s="120"/>
      <c r="J47" s="120"/>
      <c r="K47" s="120"/>
      <c r="L47" s="120"/>
      <c r="M47" s="120"/>
      <c r="N47" s="120"/>
      <c r="O47" s="120"/>
      <c r="P47" s="120"/>
      <c r="Q47" s="120"/>
      <c r="R47" s="120"/>
      <c r="S47" s="120"/>
      <c r="T47" s="120"/>
      <c r="U47" s="120"/>
    </row>
    <row r="48" spans="1:29" ht="28.5" customHeight="1" x14ac:dyDescent="0.3">
      <c r="B48" s="278" t="s">
        <v>118</v>
      </c>
      <c r="C48" s="278"/>
      <c r="D48" s="278"/>
      <c r="E48" s="124"/>
      <c r="F48" s="188">
        <f t="shared" ref="F48:AC48" si="5">+SUM(F32:F46)</f>
        <v>0</v>
      </c>
      <c r="G48" s="188">
        <f t="shared" si="5"/>
        <v>3.7059952362364728</v>
      </c>
      <c r="H48" s="188">
        <f t="shared" si="5"/>
        <v>40.746800141428565</v>
      </c>
      <c r="I48" s="188">
        <f t="shared" si="5"/>
        <v>1.9488254730985437</v>
      </c>
      <c r="J48" s="188">
        <f t="shared" si="5"/>
        <v>0.19690853</v>
      </c>
      <c r="K48" s="188">
        <f t="shared" si="5"/>
        <v>1.43253819</v>
      </c>
      <c r="L48" s="188">
        <f t="shared" si="5"/>
        <v>0</v>
      </c>
      <c r="M48" s="188">
        <f t="shared" si="5"/>
        <v>3.70599524</v>
      </c>
      <c r="N48" s="188">
        <f t="shared" si="5"/>
        <v>40.808756271428571</v>
      </c>
      <c r="O48" s="188">
        <f t="shared" si="5"/>
        <v>1.9488251330985431</v>
      </c>
      <c r="P48" s="188">
        <f t="shared" si="5"/>
        <v>0.19690854014551065</v>
      </c>
      <c r="Q48" s="188">
        <f t="shared" si="5"/>
        <v>1.4325785471664432</v>
      </c>
      <c r="R48" s="188">
        <f t="shared" si="5"/>
        <v>0</v>
      </c>
      <c r="S48" s="188">
        <f t="shared" si="5"/>
        <v>3.7059952362364728</v>
      </c>
      <c r="T48" s="188">
        <f t="shared" si="5"/>
        <v>40.746880852197805</v>
      </c>
      <c r="U48" s="188">
        <f t="shared" si="5"/>
        <v>1.8285654430985427</v>
      </c>
      <c r="V48" s="188">
        <f t="shared" si="5"/>
        <v>1.0798374083434223</v>
      </c>
      <c r="W48" s="188">
        <f t="shared" si="5"/>
        <v>1.432619137166443</v>
      </c>
      <c r="X48" s="188">
        <f t="shared" si="5"/>
        <v>0</v>
      </c>
      <c r="Y48" s="188">
        <f t="shared" si="5"/>
        <v>3.7059952362364728</v>
      </c>
      <c r="Z48" s="188">
        <f t="shared" si="5"/>
        <v>40.746921562197798</v>
      </c>
      <c r="AA48" s="188">
        <f t="shared" si="5"/>
        <v>1.8285654430985427</v>
      </c>
      <c r="AB48" s="188">
        <f t="shared" si="5"/>
        <v>1.0798374083434223</v>
      </c>
      <c r="AC48" s="188">
        <f t="shared" si="5"/>
        <v>1.432659977166443</v>
      </c>
    </row>
    <row r="49" spans="2:29" x14ac:dyDescent="0.3">
      <c r="B49" s="4"/>
      <c r="C49" s="4"/>
      <c r="D49" s="4"/>
      <c r="E49" s="118"/>
    </row>
    <row r="50" spans="2:29" x14ac:dyDescent="0.3">
      <c r="B50" s="4"/>
      <c r="C50" s="4"/>
      <c r="D50" s="4"/>
      <c r="E50" s="118"/>
      <c r="F50" s="224"/>
    </row>
    <row r="51" spans="2:29" x14ac:dyDescent="0.3">
      <c r="B51" s="4"/>
      <c r="C51" s="4"/>
      <c r="D51" s="4"/>
      <c r="G51" s="224"/>
    </row>
    <row r="52" spans="2:29" x14ac:dyDescent="0.3">
      <c r="W52" s="116"/>
      <c r="Z52" s="116"/>
      <c r="AC52" s="116"/>
    </row>
  </sheetData>
  <mergeCells count="13">
    <mergeCell ref="B1:E1"/>
    <mergeCell ref="D5:D6"/>
    <mergeCell ref="D30:D31"/>
    <mergeCell ref="B4:D4"/>
    <mergeCell ref="B29:D29"/>
    <mergeCell ref="B5:B6"/>
    <mergeCell ref="C5:C6"/>
    <mergeCell ref="B25:D26"/>
    <mergeCell ref="B48:D48"/>
    <mergeCell ref="B22:D22"/>
    <mergeCell ref="B30:B31"/>
    <mergeCell ref="C30:C31"/>
    <mergeCell ref="B23:D24"/>
  </mergeCells>
  <hyperlinks>
    <hyperlink ref="C7" location="IPVO26!A1" display="IPVO26" xr:uid="{00000000-0004-0000-0100-000002000000}"/>
    <hyperlink ref="C13" location="'PMG25'!A1" display="PMG25" xr:uid="{00000000-0004-0000-0100-000003000000}"/>
    <hyperlink ref="C33" location="BIDF40!A1" display="BIDF40" xr:uid="{00000000-0004-0000-0100-000004000000}"/>
    <hyperlink ref="C40" location="BIDO24!A1" display="BIDO24" xr:uid="{00000000-0004-0000-0100-000005000000}"/>
    <hyperlink ref="C37" location="BIDN32!A1" display="BIDN32" xr:uid="{00000000-0004-0000-0100-000006000000}"/>
    <hyperlink ref="C41" location="BIDS34!A1" display="BIDS34" xr:uid="{00000000-0004-0000-0100-000007000000}"/>
    <hyperlink ref="C42" location="BIDS23!A1" display="BIDS23" xr:uid="{00000000-0004-0000-0100-000008000000}"/>
    <hyperlink ref="C36" location="BIDY42!A1" display="BIDY42" xr:uid="{00000000-0004-0000-0100-000009000000}"/>
    <hyperlink ref="C43" location="BIRS38!A1" display="BIRS38" xr:uid="{00000000-0004-0000-0100-00000A000000}"/>
    <hyperlink ref="C16" location="FFFIRO24!A1" display="FFFIRO24" xr:uid="{00000000-0004-0000-0100-00000B000000}"/>
    <hyperlink ref="C17" location="FFFIRF26!A1" display="FFFIRF26" xr:uid="{00000000-0004-0000-0100-00000C000000}"/>
    <hyperlink ref="C18" location="FFFIRE26!A1" display="FFFIRE26" xr:uid="{00000000-0004-0000-0100-00000D000000}"/>
    <hyperlink ref="C12" location="'PMY25'!A1" display="PMY25" xr:uid="{00000000-0004-0000-0100-00000F000000}"/>
  </hyperlinks>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K6:K64"/>
  <sheetViews>
    <sheetView showGridLines="0" topLeftCell="A109" workbookViewId="0">
      <selection sqref="A1:H1"/>
    </sheetView>
  </sheetViews>
  <sheetFormatPr baseColWidth="10" defaultRowHeight="15" x14ac:dyDescent="0.25"/>
  <sheetData>
    <row r="6" spans="11:11" x14ac:dyDescent="0.25">
      <c r="K6" s="55">
        <v>1</v>
      </c>
    </row>
    <row r="25" spans="11:11" x14ac:dyDescent="0.25">
      <c r="K25" s="55">
        <v>1</v>
      </c>
    </row>
    <row r="44" spans="11:11" x14ac:dyDescent="0.25">
      <c r="K44" s="55">
        <v>2</v>
      </c>
    </row>
    <row r="64" spans="11:11" x14ac:dyDescent="0.25">
      <c r="K64" s="55">
        <v>2</v>
      </c>
    </row>
  </sheetData>
  <pageMargins left="0.7" right="0.7" top="0.75" bottom="0.75" header="0.3" footer="0.3"/>
  <drawing r:id="rId1"/>
  <legacyDrawing r:id="rId2"/>
  <picture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1</xdr:col>
                    <xdr:colOff>752475</xdr:colOff>
                    <xdr:row>4</xdr:row>
                    <xdr:rowOff>9525</xdr:rowOff>
                  </from>
                  <to>
                    <xdr:col>5</xdr:col>
                    <xdr:colOff>581025</xdr:colOff>
                    <xdr:row>5</xdr:row>
                    <xdr:rowOff>180975</xdr:rowOff>
                  </to>
                </anchor>
              </controlPr>
            </control>
          </mc:Choice>
        </mc:AlternateContent>
        <mc:AlternateContent xmlns:mc="http://schemas.openxmlformats.org/markup-compatibility/2006">
          <mc:Choice Requires="x14">
            <control shapeId="12291" r:id="rId5" name="Drop Down 3">
              <controlPr defaultSize="0" autoLine="0" autoPict="0">
                <anchor moveWithCells="1">
                  <from>
                    <xdr:col>1</xdr:col>
                    <xdr:colOff>752475</xdr:colOff>
                    <xdr:row>23</xdr:row>
                    <xdr:rowOff>19050</xdr:rowOff>
                  </from>
                  <to>
                    <xdr:col>5</xdr:col>
                    <xdr:colOff>581025</xdr:colOff>
                    <xdr:row>24</xdr:row>
                    <xdr:rowOff>190500</xdr:rowOff>
                  </to>
                </anchor>
              </controlPr>
            </control>
          </mc:Choice>
        </mc:AlternateContent>
        <mc:AlternateContent xmlns:mc="http://schemas.openxmlformats.org/markup-compatibility/2006">
          <mc:Choice Requires="x14">
            <control shapeId="12295" r:id="rId6" name="Drop Down 7">
              <controlPr defaultSize="0" autoLine="0" autoPict="0">
                <anchor moveWithCells="1">
                  <from>
                    <xdr:col>1</xdr:col>
                    <xdr:colOff>752475</xdr:colOff>
                    <xdr:row>41</xdr:row>
                    <xdr:rowOff>114300</xdr:rowOff>
                  </from>
                  <to>
                    <xdr:col>5</xdr:col>
                    <xdr:colOff>581025</xdr:colOff>
                    <xdr:row>43</xdr:row>
                    <xdr:rowOff>95250</xdr:rowOff>
                  </to>
                </anchor>
              </controlPr>
            </control>
          </mc:Choice>
        </mc:AlternateContent>
        <mc:AlternateContent xmlns:mc="http://schemas.openxmlformats.org/markup-compatibility/2006">
          <mc:Choice Requires="x14">
            <control shapeId="12301" r:id="rId7" name="Drop Down 13">
              <controlPr defaultSize="0" autoLine="0" autoPict="0">
                <anchor moveWithCells="1">
                  <from>
                    <xdr:col>1</xdr:col>
                    <xdr:colOff>647700</xdr:colOff>
                    <xdr:row>61</xdr:row>
                    <xdr:rowOff>38100</xdr:rowOff>
                  </from>
                  <to>
                    <xdr:col>5</xdr:col>
                    <xdr:colOff>476250</xdr:colOff>
                    <xdr:row>63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57"/>
  <sheetViews>
    <sheetView showGridLines="0" zoomScaleNormal="100" workbookViewId="0">
      <pane xSplit="2" ySplit="1" topLeftCell="C2" activePane="bottomRight" state="frozen"/>
      <selection activeCell="F22" sqref="F22:Q22"/>
      <selection pane="topRight" activeCell="F22" sqref="F22:Q22"/>
      <selection pane="bottomLeft" activeCell="F22" sqref="F22:Q22"/>
      <selection pane="bottomRight"/>
    </sheetView>
  </sheetViews>
  <sheetFormatPr baseColWidth="10" defaultRowHeight="16.5" x14ac:dyDescent="0.3"/>
  <cols>
    <col min="1" max="1" width="5.28515625" style="16" customWidth="1"/>
    <col min="2" max="2" width="43.7109375" style="2" bestFit="1" customWidth="1"/>
    <col min="3" max="3" width="12.5703125" style="2" customWidth="1"/>
    <col min="4" max="4" width="30.85546875" style="2" customWidth="1"/>
    <col min="5" max="5" width="13.7109375" style="1" customWidth="1"/>
    <col min="6" max="7" width="11.42578125" style="1"/>
    <col min="8" max="8" width="10.7109375" style="1" customWidth="1"/>
    <col min="9" max="16384" width="11.42578125" style="1"/>
  </cols>
  <sheetData>
    <row r="1" spans="1:29" ht="28.5" customHeight="1" x14ac:dyDescent="0.3">
      <c r="B1" s="259" t="s">
        <v>39</v>
      </c>
      <c r="C1" s="259"/>
      <c r="D1" s="259"/>
      <c r="E1" s="259"/>
    </row>
    <row r="2" spans="1:29" ht="17.25" x14ac:dyDescent="0.3">
      <c r="B2" s="166" t="s">
        <v>46</v>
      </c>
    </row>
    <row r="3" spans="1:29" x14ac:dyDescent="0.3">
      <c r="F3" s="89"/>
    </row>
    <row r="4" spans="1:29" ht="30.75" customHeight="1" x14ac:dyDescent="0.3">
      <c r="B4" s="285" t="s">
        <v>130</v>
      </c>
      <c r="C4" s="285"/>
      <c r="D4" s="285"/>
      <c r="F4" s="117"/>
      <c r="G4" s="117"/>
      <c r="H4" s="117"/>
      <c r="I4" s="117"/>
      <c r="J4" s="117"/>
      <c r="K4" s="117"/>
      <c r="L4" s="117"/>
      <c r="M4" s="117"/>
      <c r="N4" s="117"/>
      <c r="O4" s="117"/>
      <c r="P4" s="117"/>
      <c r="Q4" s="117"/>
      <c r="R4" s="117"/>
      <c r="S4" s="117"/>
      <c r="T4" s="117"/>
      <c r="U4" s="117"/>
      <c r="V4" s="117"/>
      <c r="W4" s="117"/>
      <c r="X4" s="117"/>
      <c r="Y4" s="117"/>
      <c r="Z4" s="117"/>
      <c r="AA4" s="117"/>
      <c r="AB4" s="117"/>
      <c r="AC4" s="117"/>
    </row>
    <row r="5" spans="1:29" ht="15.75" customHeight="1" x14ac:dyDescent="0.3">
      <c r="B5" s="279" t="s">
        <v>0</v>
      </c>
      <c r="C5" s="281" t="s">
        <v>1</v>
      </c>
      <c r="D5" s="262" t="s">
        <v>94</v>
      </c>
      <c r="F5" s="191">
        <v>2024</v>
      </c>
      <c r="G5" s="191">
        <v>2024</v>
      </c>
      <c r="H5" s="191">
        <v>2024</v>
      </c>
      <c r="I5" s="191">
        <v>2024</v>
      </c>
      <c r="J5" s="191">
        <v>2024</v>
      </c>
      <c r="K5" s="191">
        <v>2024</v>
      </c>
      <c r="L5" s="191">
        <v>2024</v>
      </c>
      <c r="M5" s="191">
        <v>2024</v>
      </c>
      <c r="N5" s="191">
        <v>2024</v>
      </c>
      <c r="O5" s="191">
        <v>2024</v>
      </c>
      <c r="P5" s="191">
        <v>2024</v>
      </c>
      <c r="Q5" s="191">
        <v>2024</v>
      </c>
      <c r="R5" s="191">
        <v>2025</v>
      </c>
      <c r="S5" s="191">
        <v>2025</v>
      </c>
      <c r="T5" s="191">
        <v>2025</v>
      </c>
      <c r="U5" s="191">
        <v>2025</v>
      </c>
      <c r="V5" s="191">
        <v>2025</v>
      </c>
      <c r="W5" s="191">
        <v>2025</v>
      </c>
      <c r="X5" s="191">
        <v>2025</v>
      </c>
      <c r="Y5" s="191">
        <v>2025</v>
      </c>
      <c r="Z5" s="191">
        <v>2025</v>
      </c>
      <c r="AA5" s="191">
        <v>2025</v>
      </c>
      <c r="AB5" s="191">
        <v>2025</v>
      </c>
      <c r="AC5" s="191">
        <v>2025</v>
      </c>
    </row>
    <row r="6" spans="1:29" x14ac:dyDescent="0.3">
      <c r="B6" s="280"/>
      <c r="C6" s="282"/>
      <c r="D6" s="263"/>
      <c r="F6" s="191">
        <v>1</v>
      </c>
      <c r="G6" s="191">
        <f>+F6+1</f>
        <v>2</v>
      </c>
      <c r="H6" s="191">
        <f t="shared" ref="H6:Q6" si="0">+G6+1</f>
        <v>3</v>
      </c>
      <c r="I6" s="191">
        <f t="shared" si="0"/>
        <v>4</v>
      </c>
      <c r="J6" s="191">
        <f t="shared" si="0"/>
        <v>5</v>
      </c>
      <c r="K6" s="191">
        <f t="shared" si="0"/>
        <v>6</v>
      </c>
      <c r="L6" s="191">
        <f t="shared" si="0"/>
        <v>7</v>
      </c>
      <c r="M6" s="191">
        <f t="shared" si="0"/>
        <v>8</v>
      </c>
      <c r="N6" s="191">
        <f t="shared" si="0"/>
        <v>9</v>
      </c>
      <c r="O6" s="191">
        <f t="shared" si="0"/>
        <v>10</v>
      </c>
      <c r="P6" s="191">
        <f t="shared" si="0"/>
        <v>11</v>
      </c>
      <c r="Q6" s="191">
        <f t="shared" si="0"/>
        <v>12</v>
      </c>
      <c r="R6" s="191">
        <v>1</v>
      </c>
      <c r="S6" s="191">
        <f>+R6+1</f>
        <v>2</v>
      </c>
      <c r="T6" s="191">
        <f t="shared" ref="T6:AC6" si="1">+S6+1</f>
        <v>3</v>
      </c>
      <c r="U6" s="191">
        <f t="shared" si="1"/>
        <v>4</v>
      </c>
      <c r="V6" s="191">
        <f t="shared" si="1"/>
        <v>5</v>
      </c>
      <c r="W6" s="191">
        <f t="shared" si="1"/>
        <v>6</v>
      </c>
      <c r="X6" s="191">
        <f t="shared" si="1"/>
        <v>7</v>
      </c>
      <c r="Y6" s="191">
        <f t="shared" si="1"/>
        <v>8</v>
      </c>
      <c r="Z6" s="191">
        <f t="shared" si="1"/>
        <v>9</v>
      </c>
      <c r="AA6" s="191">
        <f t="shared" si="1"/>
        <v>10</v>
      </c>
      <c r="AB6" s="191">
        <f t="shared" si="1"/>
        <v>11</v>
      </c>
      <c r="AC6" s="191">
        <f t="shared" si="1"/>
        <v>12</v>
      </c>
    </row>
    <row r="7" spans="1:29" x14ac:dyDescent="0.3">
      <c r="A7" s="86"/>
      <c r="B7" s="209" t="s">
        <v>7</v>
      </c>
      <c r="C7" s="209" t="s">
        <v>8</v>
      </c>
      <c r="D7" s="209" t="s">
        <v>88</v>
      </c>
      <c r="E7" s="60"/>
      <c r="F7" s="225">
        <v>16.75627811</v>
      </c>
      <c r="G7" s="225">
        <v>0</v>
      </c>
      <c r="H7" s="225">
        <v>0</v>
      </c>
      <c r="I7" s="225">
        <v>18.852388489999999</v>
      </c>
      <c r="J7" s="225">
        <v>0</v>
      </c>
      <c r="K7" s="225">
        <v>0</v>
      </c>
      <c r="L7" s="225">
        <v>13.638098429999999</v>
      </c>
      <c r="M7" s="225">
        <v>0</v>
      </c>
      <c r="N7" s="225">
        <v>0</v>
      </c>
      <c r="O7" s="225">
        <v>5.5925221199999999</v>
      </c>
      <c r="P7" s="225">
        <v>0</v>
      </c>
      <c r="Q7" s="225">
        <v>0</v>
      </c>
      <c r="R7" s="225">
        <v>4.3036220999999992</v>
      </c>
      <c r="S7" s="225">
        <v>0</v>
      </c>
      <c r="T7" s="225">
        <v>0</v>
      </c>
      <c r="U7" s="225">
        <v>3.4403644199999999</v>
      </c>
      <c r="V7" s="225">
        <v>0</v>
      </c>
      <c r="W7" s="225">
        <v>0</v>
      </c>
      <c r="X7" s="225">
        <v>2.7643531800000001</v>
      </c>
      <c r="Y7" s="225">
        <v>0</v>
      </c>
      <c r="Z7" s="225">
        <v>0</v>
      </c>
      <c r="AA7" s="225">
        <v>2.0393481499999999</v>
      </c>
      <c r="AB7" s="225">
        <v>0</v>
      </c>
      <c r="AC7" s="225">
        <v>0</v>
      </c>
    </row>
    <row r="8" spans="1:29" x14ac:dyDescent="0.3">
      <c r="A8" s="86"/>
      <c r="B8" s="209" t="s">
        <v>133</v>
      </c>
      <c r="C8" s="209" t="s">
        <v>134</v>
      </c>
      <c r="D8" s="209" t="s">
        <v>92</v>
      </c>
      <c r="E8" s="60"/>
      <c r="F8" s="225">
        <v>0</v>
      </c>
      <c r="G8" s="225">
        <v>0</v>
      </c>
      <c r="H8" s="225">
        <v>0</v>
      </c>
      <c r="I8" s="225">
        <v>0</v>
      </c>
      <c r="J8" s="225">
        <v>0</v>
      </c>
      <c r="K8" s="225">
        <v>449.80621041987388</v>
      </c>
      <c r="L8" s="225">
        <v>0</v>
      </c>
      <c r="M8" s="225">
        <v>0</v>
      </c>
      <c r="N8" s="225">
        <v>0</v>
      </c>
      <c r="O8" s="225">
        <v>0</v>
      </c>
      <c r="P8" s="225">
        <v>0</v>
      </c>
      <c r="Q8" s="225">
        <v>224.93683898902952</v>
      </c>
      <c r="R8" s="225">
        <v>0</v>
      </c>
      <c r="S8" s="225">
        <v>0</v>
      </c>
      <c r="T8" s="225">
        <v>0</v>
      </c>
      <c r="U8" s="225">
        <v>0</v>
      </c>
      <c r="V8" s="225">
        <v>0</v>
      </c>
      <c r="W8" s="225">
        <v>0</v>
      </c>
      <c r="X8" s="225">
        <v>0</v>
      </c>
      <c r="Y8" s="225">
        <v>0</v>
      </c>
      <c r="Z8" s="225">
        <v>0</v>
      </c>
      <c r="AA8" s="225">
        <v>0</v>
      </c>
      <c r="AB8" s="225">
        <v>0</v>
      </c>
      <c r="AC8" s="225">
        <v>0</v>
      </c>
    </row>
    <row r="9" spans="1:29" x14ac:dyDescent="0.3">
      <c r="A9" s="86"/>
      <c r="B9" s="209" t="s">
        <v>173</v>
      </c>
      <c r="C9" s="209" t="s">
        <v>166</v>
      </c>
      <c r="D9" s="209" t="s">
        <v>92</v>
      </c>
      <c r="E9" s="60"/>
      <c r="F9" s="225">
        <v>0</v>
      </c>
      <c r="G9" s="225">
        <v>0</v>
      </c>
      <c r="H9" s="225">
        <v>1776.1182945</v>
      </c>
      <c r="I9" s="225">
        <v>0</v>
      </c>
      <c r="J9" s="225">
        <v>0</v>
      </c>
      <c r="K9" s="225">
        <v>783.4071527000001</v>
      </c>
      <c r="L9" s="225">
        <v>0</v>
      </c>
      <c r="M9" s="225">
        <v>0</v>
      </c>
      <c r="N9" s="225">
        <v>435.19824144</v>
      </c>
      <c r="O9" s="225">
        <v>0</v>
      </c>
      <c r="P9" s="225">
        <v>0</v>
      </c>
      <c r="Q9" s="225">
        <v>343.24465407999998</v>
      </c>
      <c r="R9" s="225">
        <v>0</v>
      </c>
      <c r="S9" s="225">
        <v>0</v>
      </c>
      <c r="T9" s="225">
        <v>223.02996078999999</v>
      </c>
      <c r="U9" s="225">
        <v>0</v>
      </c>
      <c r="V9" s="225">
        <v>0</v>
      </c>
      <c r="W9" s="225">
        <v>109.04828556</v>
      </c>
      <c r="X9" s="225">
        <v>0</v>
      </c>
      <c r="Y9" s="225">
        <v>0</v>
      </c>
      <c r="Z9" s="225">
        <v>0</v>
      </c>
      <c r="AA9" s="225">
        <v>0</v>
      </c>
      <c r="AB9" s="225">
        <v>0</v>
      </c>
      <c r="AC9" s="225">
        <v>0</v>
      </c>
    </row>
    <row r="10" spans="1:29" x14ac:dyDescent="0.3">
      <c r="A10" s="86"/>
      <c r="B10" s="209" t="s">
        <v>174</v>
      </c>
      <c r="C10" s="209" t="s">
        <v>167</v>
      </c>
      <c r="D10" s="209" t="s">
        <v>92</v>
      </c>
      <c r="E10" s="60"/>
      <c r="F10" s="225">
        <v>0</v>
      </c>
      <c r="G10" s="225">
        <v>0</v>
      </c>
      <c r="H10" s="225">
        <v>514.47319555047875</v>
      </c>
      <c r="I10" s="225">
        <v>0</v>
      </c>
      <c r="J10" s="225">
        <v>0</v>
      </c>
      <c r="K10" s="225">
        <v>203.99347783517146</v>
      </c>
      <c r="L10" s="225">
        <v>0</v>
      </c>
      <c r="M10" s="225">
        <v>0</v>
      </c>
      <c r="N10" s="225">
        <v>94.333946982840772</v>
      </c>
      <c r="O10" s="225">
        <v>0</v>
      </c>
      <c r="P10" s="225">
        <v>0</v>
      </c>
      <c r="Q10" s="225">
        <v>49.611705652070597</v>
      </c>
      <c r="R10" s="225">
        <v>0</v>
      </c>
      <c r="S10" s="225">
        <v>0</v>
      </c>
      <c r="T10" s="225">
        <v>0</v>
      </c>
      <c r="U10" s="225">
        <v>0</v>
      </c>
      <c r="V10" s="225">
        <v>0</v>
      </c>
      <c r="W10" s="225">
        <v>0</v>
      </c>
      <c r="X10" s="225">
        <v>0</v>
      </c>
      <c r="Y10" s="225">
        <v>0</v>
      </c>
      <c r="Z10" s="225">
        <v>0</v>
      </c>
      <c r="AA10" s="225">
        <v>0</v>
      </c>
      <c r="AB10" s="225">
        <v>0</v>
      </c>
      <c r="AC10" s="225">
        <v>0</v>
      </c>
    </row>
    <row r="11" spans="1:29" x14ac:dyDescent="0.3">
      <c r="A11" s="86"/>
      <c r="B11" s="209" t="s">
        <v>135</v>
      </c>
      <c r="C11" s="209" t="s">
        <v>136</v>
      </c>
      <c r="D11" s="209" t="s">
        <v>92</v>
      </c>
      <c r="E11" s="60"/>
      <c r="F11" s="225">
        <v>0</v>
      </c>
      <c r="G11" s="225">
        <v>0</v>
      </c>
      <c r="H11" s="225">
        <v>1373.3422388188621</v>
      </c>
      <c r="I11" s="225">
        <v>0</v>
      </c>
      <c r="J11" s="225">
        <v>0</v>
      </c>
      <c r="K11" s="225">
        <v>759.60871153251992</v>
      </c>
      <c r="L11" s="225">
        <v>0</v>
      </c>
      <c r="M11" s="225">
        <v>0</v>
      </c>
      <c r="N11" s="225">
        <v>439.5016816398018</v>
      </c>
      <c r="O11" s="225">
        <v>0</v>
      </c>
      <c r="P11" s="225">
        <v>0</v>
      </c>
      <c r="Q11" s="225">
        <v>481.08292110833781</v>
      </c>
      <c r="R11" s="225">
        <v>0</v>
      </c>
      <c r="S11" s="225">
        <v>0</v>
      </c>
      <c r="T11" s="225">
        <v>468.81437018880365</v>
      </c>
      <c r="U11" s="225">
        <v>0</v>
      </c>
      <c r="V11" s="225">
        <v>0</v>
      </c>
      <c r="W11" s="225">
        <v>456.7985148701643</v>
      </c>
      <c r="X11" s="225">
        <v>0</v>
      </c>
      <c r="Y11" s="225">
        <v>0</v>
      </c>
      <c r="Z11" s="225">
        <v>422.14654624853955</v>
      </c>
      <c r="AA11" s="225">
        <v>0</v>
      </c>
      <c r="AB11" s="225">
        <v>0</v>
      </c>
      <c r="AC11" s="225">
        <v>353.29019957440738</v>
      </c>
    </row>
    <row r="12" spans="1:29" x14ac:dyDescent="0.3">
      <c r="A12" s="86"/>
      <c r="B12" s="209" t="s">
        <v>127</v>
      </c>
      <c r="C12" s="209" t="s">
        <v>128</v>
      </c>
      <c r="D12" s="209" t="s">
        <v>92</v>
      </c>
      <c r="E12" s="60"/>
      <c r="F12" s="225">
        <v>0</v>
      </c>
      <c r="G12" s="225">
        <v>369.87824446786112</v>
      </c>
      <c r="H12" s="225">
        <v>0</v>
      </c>
      <c r="I12" s="225">
        <v>0</v>
      </c>
      <c r="J12" s="225">
        <v>200.43858271865139</v>
      </c>
      <c r="K12" s="225">
        <v>0</v>
      </c>
      <c r="L12" s="225">
        <v>0</v>
      </c>
      <c r="M12" s="225">
        <v>79.592292518440544</v>
      </c>
      <c r="N12" s="225">
        <v>0</v>
      </c>
      <c r="O12" s="225">
        <v>0</v>
      </c>
      <c r="P12" s="225">
        <v>66.463684859660944</v>
      </c>
      <c r="Q12" s="225">
        <v>0</v>
      </c>
      <c r="R12" s="225">
        <v>0</v>
      </c>
      <c r="S12" s="225">
        <v>43.84746082646425</v>
      </c>
      <c r="T12" s="225">
        <v>0</v>
      </c>
      <c r="U12" s="225">
        <v>0</v>
      </c>
      <c r="V12" s="225">
        <v>20.529311684270617</v>
      </c>
      <c r="W12" s="225">
        <v>0</v>
      </c>
      <c r="X12" s="225">
        <v>0</v>
      </c>
      <c r="Y12" s="225">
        <v>0</v>
      </c>
      <c r="Z12" s="225">
        <v>0</v>
      </c>
      <c r="AA12" s="225">
        <v>0</v>
      </c>
      <c r="AB12" s="225">
        <v>0</v>
      </c>
      <c r="AC12" s="225">
        <v>0</v>
      </c>
    </row>
    <row r="13" spans="1:29" x14ac:dyDescent="0.3">
      <c r="A13" s="86"/>
      <c r="B13" s="209" t="s">
        <v>34</v>
      </c>
      <c r="C13" s="209" t="s">
        <v>35</v>
      </c>
      <c r="D13" s="209" t="s">
        <v>92</v>
      </c>
      <c r="E13" s="60"/>
      <c r="F13" s="225">
        <v>0</v>
      </c>
      <c r="G13" s="225">
        <v>7.0532510100289008</v>
      </c>
      <c r="H13" s="225">
        <v>0</v>
      </c>
      <c r="I13" s="225">
        <v>0</v>
      </c>
      <c r="J13" s="225">
        <v>0</v>
      </c>
      <c r="K13" s="225">
        <v>0</v>
      </c>
      <c r="L13" s="225">
        <v>0</v>
      </c>
      <c r="M13" s="225">
        <v>5.7426852621885054</v>
      </c>
      <c r="N13" s="225">
        <v>0</v>
      </c>
      <c r="O13" s="225">
        <v>0</v>
      </c>
      <c r="P13" s="225">
        <v>0</v>
      </c>
      <c r="Q13" s="225">
        <v>0</v>
      </c>
      <c r="R13" s="225">
        <v>0</v>
      </c>
      <c r="S13" s="225">
        <v>1.3586025372594395</v>
      </c>
      <c r="T13" s="225">
        <v>0</v>
      </c>
      <c r="U13" s="225">
        <v>0</v>
      </c>
      <c r="V13" s="225">
        <v>0</v>
      </c>
      <c r="W13" s="225">
        <v>0</v>
      </c>
      <c r="X13" s="225">
        <v>0</v>
      </c>
      <c r="Y13" s="225">
        <v>0.68341284859098694</v>
      </c>
      <c r="Z13" s="225">
        <v>0</v>
      </c>
      <c r="AA13" s="225">
        <v>0</v>
      </c>
      <c r="AB13" s="225">
        <v>0</v>
      </c>
      <c r="AC13" s="225">
        <v>0</v>
      </c>
    </row>
    <row r="14" spans="1:29" x14ac:dyDescent="0.3">
      <c r="A14" s="86"/>
      <c r="B14" s="209" t="s">
        <v>234</v>
      </c>
      <c r="C14" s="209" t="s">
        <v>236</v>
      </c>
      <c r="D14" s="209" t="s">
        <v>92</v>
      </c>
      <c r="E14" s="60"/>
      <c r="F14" s="225">
        <v>0</v>
      </c>
      <c r="G14" s="225">
        <v>0</v>
      </c>
      <c r="H14" s="225">
        <v>0</v>
      </c>
      <c r="I14" s="225">
        <v>0</v>
      </c>
      <c r="J14" s="225">
        <v>0</v>
      </c>
      <c r="K14" s="225">
        <v>0</v>
      </c>
      <c r="L14" s="225">
        <v>0</v>
      </c>
      <c r="M14" s="225">
        <v>0</v>
      </c>
      <c r="N14" s="225">
        <v>0</v>
      </c>
      <c r="O14" s="225">
        <v>0</v>
      </c>
      <c r="P14" s="225">
        <v>0</v>
      </c>
      <c r="Q14" s="225">
        <v>0</v>
      </c>
      <c r="R14" s="225">
        <v>0</v>
      </c>
      <c r="S14" s="225">
        <v>0</v>
      </c>
      <c r="T14" s="225">
        <v>0</v>
      </c>
      <c r="U14" s="225">
        <v>0</v>
      </c>
      <c r="V14" s="225">
        <v>0</v>
      </c>
      <c r="W14" s="225">
        <v>0</v>
      </c>
      <c r="X14" s="225">
        <v>0</v>
      </c>
      <c r="Y14" s="225">
        <v>0</v>
      </c>
      <c r="Z14" s="225">
        <v>0</v>
      </c>
      <c r="AA14" s="225">
        <v>0</v>
      </c>
      <c r="AB14" s="225">
        <v>0</v>
      </c>
      <c r="AC14" s="225">
        <v>0</v>
      </c>
    </row>
    <row r="15" spans="1:29" x14ac:dyDescent="0.3">
      <c r="A15" s="86"/>
      <c r="B15" s="209" t="s">
        <v>235</v>
      </c>
      <c r="C15" s="209" t="s">
        <v>237</v>
      </c>
      <c r="D15" s="209" t="s">
        <v>92</v>
      </c>
      <c r="E15" s="60"/>
      <c r="F15" s="225">
        <v>0</v>
      </c>
      <c r="G15" s="225">
        <v>0</v>
      </c>
      <c r="H15" s="225">
        <v>0</v>
      </c>
      <c r="I15" s="225">
        <v>0</v>
      </c>
      <c r="J15" s="225">
        <v>0</v>
      </c>
      <c r="K15" s="225">
        <v>0</v>
      </c>
      <c r="L15" s="225">
        <v>0</v>
      </c>
      <c r="M15" s="225">
        <v>0</v>
      </c>
      <c r="N15" s="225">
        <v>0</v>
      </c>
      <c r="O15" s="225">
        <v>0</v>
      </c>
      <c r="P15" s="225">
        <v>0</v>
      </c>
      <c r="Q15" s="225">
        <v>0</v>
      </c>
      <c r="R15" s="225">
        <v>0</v>
      </c>
      <c r="S15" s="225">
        <v>0</v>
      </c>
      <c r="T15" s="225">
        <v>0</v>
      </c>
      <c r="U15" s="225">
        <v>0</v>
      </c>
      <c r="V15" s="225">
        <v>0</v>
      </c>
      <c r="W15" s="225">
        <v>0</v>
      </c>
      <c r="X15" s="225">
        <v>0</v>
      </c>
      <c r="Y15" s="225">
        <v>0</v>
      </c>
      <c r="Z15" s="225">
        <v>0</v>
      </c>
      <c r="AA15" s="225">
        <v>0</v>
      </c>
      <c r="AB15" s="225">
        <v>0</v>
      </c>
      <c r="AC15" s="225">
        <v>0</v>
      </c>
    </row>
    <row r="16" spans="1:29" x14ac:dyDescent="0.3">
      <c r="A16" s="86"/>
      <c r="B16" s="209" t="s">
        <v>3</v>
      </c>
      <c r="C16" s="209" t="s">
        <v>4</v>
      </c>
      <c r="D16" s="209" t="s">
        <v>88</v>
      </c>
      <c r="E16" s="60"/>
      <c r="F16" s="225">
        <v>4.7686906799999997</v>
      </c>
      <c r="G16" s="225">
        <v>6.1797530900000002</v>
      </c>
      <c r="H16" s="225">
        <v>6.3459175599999993</v>
      </c>
      <c r="I16" s="225">
        <v>5.8067099899999999</v>
      </c>
      <c r="J16" s="225">
        <v>5.56710102</v>
      </c>
      <c r="K16" s="225">
        <v>5.1445287899999999</v>
      </c>
      <c r="L16" s="225">
        <v>4.1174538299999996</v>
      </c>
      <c r="M16" s="225">
        <v>3.4093023699999998</v>
      </c>
      <c r="N16" s="225">
        <v>2.3132147999999999</v>
      </c>
      <c r="O16" s="225">
        <v>1.04029588</v>
      </c>
      <c r="P16" s="225">
        <v>0</v>
      </c>
      <c r="Q16" s="225">
        <v>0</v>
      </c>
      <c r="R16" s="225">
        <v>0</v>
      </c>
      <c r="S16" s="225">
        <v>0</v>
      </c>
      <c r="T16" s="225">
        <v>0</v>
      </c>
      <c r="U16" s="225">
        <v>0</v>
      </c>
      <c r="V16" s="225">
        <v>0</v>
      </c>
      <c r="W16" s="225">
        <v>0</v>
      </c>
      <c r="X16" s="225">
        <v>0</v>
      </c>
      <c r="Y16" s="225">
        <v>0</v>
      </c>
      <c r="Z16" s="225">
        <v>0</v>
      </c>
      <c r="AA16" s="225">
        <v>0</v>
      </c>
      <c r="AB16" s="225">
        <v>0</v>
      </c>
      <c r="AC16" s="225">
        <v>0</v>
      </c>
    </row>
    <row r="17" spans="1:29" x14ac:dyDescent="0.3">
      <c r="A17" s="86"/>
      <c r="B17" s="209" t="s">
        <v>5</v>
      </c>
      <c r="C17" s="209" t="s">
        <v>6</v>
      </c>
      <c r="D17" s="209" t="s">
        <v>88</v>
      </c>
      <c r="E17" s="60"/>
      <c r="F17" s="225">
        <v>1.6931288799999999</v>
      </c>
      <c r="G17" s="225">
        <v>1.8261757700000001</v>
      </c>
      <c r="H17" s="225">
        <v>1.77621673</v>
      </c>
      <c r="I17" s="225">
        <v>1.69560771</v>
      </c>
      <c r="J17" s="225">
        <v>1.6999095100000003</v>
      </c>
      <c r="K17" s="225">
        <v>1.7536126900000002</v>
      </c>
      <c r="L17" s="225">
        <v>1.5277442999999999</v>
      </c>
      <c r="M17" s="225">
        <v>1.57188364</v>
      </c>
      <c r="N17" s="225">
        <v>1.5087641800000002</v>
      </c>
      <c r="O17" s="225">
        <v>1.2785304</v>
      </c>
      <c r="P17" s="225">
        <v>1.24343348</v>
      </c>
      <c r="Q17" s="225">
        <v>1.1281150500000001</v>
      </c>
      <c r="R17" s="225">
        <v>1.39461247</v>
      </c>
      <c r="S17" s="225">
        <v>1.2949973000000001</v>
      </c>
      <c r="T17" s="225">
        <v>1.07969998</v>
      </c>
      <c r="U17" s="225">
        <v>1.03022375</v>
      </c>
      <c r="V17" s="225">
        <v>0.90635521000000008</v>
      </c>
      <c r="W17" s="225">
        <v>0.84291033999999998</v>
      </c>
      <c r="X17" s="225">
        <v>0.70456364999999987</v>
      </c>
      <c r="Y17" s="225">
        <v>0.63704296999999999</v>
      </c>
      <c r="Z17" s="225">
        <v>0.54603683000000003</v>
      </c>
      <c r="AA17" s="225">
        <v>0.42752695999999996</v>
      </c>
      <c r="AB17" s="225">
        <v>0.35342230000000002</v>
      </c>
      <c r="AC17" s="225">
        <v>0.25651617999999998</v>
      </c>
    </row>
    <row r="18" spans="1:29" x14ac:dyDescent="0.3">
      <c r="A18" s="86"/>
      <c r="B18" s="209" t="s">
        <v>9</v>
      </c>
      <c r="C18" s="209" t="s">
        <v>10</v>
      </c>
      <c r="D18" s="209" t="s">
        <v>88</v>
      </c>
      <c r="E18" s="60"/>
      <c r="F18" s="225">
        <v>0.19310056076266668</v>
      </c>
      <c r="G18" s="225">
        <v>0.19234567321617499</v>
      </c>
      <c r="H18" s="225">
        <v>0.18675882835580834</v>
      </c>
      <c r="I18" s="225">
        <v>0.16931450965621672</v>
      </c>
      <c r="J18" s="225">
        <v>0.18247393336500001</v>
      </c>
      <c r="K18" s="225">
        <v>0.18781176640560002</v>
      </c>
      <c r="L18" s="225">
        <v>0.16382350953457497</v>
      </c>
      <c r="M18" s="225">
        <v>0.15804855228478337</v>
      </c>
      <c r="N18" s="225">
        <v>0.1512338486985437</v>
      </c>
      <c r="O18" s="225">
        <v>0.13956029635628162</v>
      </c>
      <c r="P18" s="225">
        <v>0.1721279878720576</v>
      </c>
      <c r="Q18" s="225">
        <v>0.15547044069697533</v>
      </c>
      <c r="R18" s="225">
        <v>0.14917758956835808</v>
      </c>
      <c r="S18" s="225">
        <v>0.12369345671441422</v>
      </c>
      <c r="T18" s="225">
        <v>0.10241286205104133</v>
      </c>
      <c r="U18" s="225">
        <v>0.10307788068432017</v>
      </c>
      <c r="V18" s="225">
        <v>8.7283777557714146E-2</v>
      </c>
      <c r="W18" s="225">
        <v>8.017176611068054E-2</v>
      </c>
      <c r="X18" s="225">
        <v>6.788738265650629E-2</v>
      </c>
      <c r="Y18" s="225">
        <v>5.8410920801399396E-2</v>
      </c>
      <c r="Z18" s="225">
        <v>4.8675767418531614E-2</v>
      </c>
      <c r="AA18" s="225">
        <v>3.76844651958037E-2</v>
      </c>
      <c r="AB18" s="225">
        <v>2.8346508689698551E-2</v>
      </c>
      <c r="AC18" s="225">
        <v>1.8288070280245535E-2</v>
      </c>
    </row>
    <row r="19" spans="1:29" x14ac:dyDescent="0.3">
      <c r="A19" s="86"/>
      <c r="B19" s="209" t="s">
        <v>190</v>
      </c>
      <c r="C19" s="209" t="s">
        <v>241</v>
      </c>
      <c r="D19" s="209" t="s">
        <v>88</v>
      </c>
      <c r="E19" s="60"/>
      <c r="F19" s="225">
        <v>2.2007638691843261</v>
      </c>
      <c r="G19" s="225">
        <v>3.4422413524833777</v>
      </c>
      <c r="H19" s="225">
        <v>3.8928982785521491</v>
      </c>
      <c r="I19" s="225">
        <v>4.0217885701714975</v>
      </c>
      <c r="J19" s="225">
        <v>4.6361078364150332</v>
      </c>
      <c r="K19" s="225">
        <v>5.4433870362361079</v>
      </c>
      <c r="L19" s="225">
        <v>5.4961709365499187</v>
      </c>
      <c r="M19" s="225">
        <v>6.4460269306894578</v>
      </c>
      <c r="N19" s="225">
        <v>7.0387246904588885</v>
      </c>
      <c r="O19" s="225">
        <v>7.3722288975933639</v>
      </c>
      <c r="P19" s="225">
        <v>7.6179698608464754</v>
      </c>
      <c r="Q19" s="225">
        <v>7.3722288975933639</v>
      </c>
      <c r="R19" s="225">
        <v>7.8092339647232425</v>
      </c>
      <c r="S19" s="225">
        <v>7.8092339647232425</v>
      </c>
      <c r="T19" s="225">
        <v>7.0535016455564756</v>
      </c>
      <c r="U19" s="225">
        <v>7.3421253893904463</v>
      </c>
      <c r="V19" s="225">
        <v>7.1052826348939799</v>
      </c>
      <c r="W19" s="225">
        <v>7.3421253893904463</v>
      </c>
      <c r="X19" s="225">
        <v>6.9041969779661905</v>
      </c>
      <c r="Y19" s="225">
        <v>7.1343368772317302</v>
      </c>
      <c r="Z19" s="225">
        <v>7.1343368772317302</v>
      </c>
      <c r="AA19" s="225">
        <v>6.7031113210383992</v>
      </c>
      <c r="AB19" s="225">
        <v>6.9265483650730122</v>
      </c>
      <c r="AC19" s="225">
        <v>6.7031113210383992</v>
      </c>
    </row>
    <row r="20" spans="1:29" x14ac:dyDescent="0.3">
      <c r="A20" s="86"/>
      <c r="B20" s="209" t="s">
        <v>141</v>
      </c>
      <c r="C20" s="209" t="s">
        <v>142</v>
      </c>
      <c r="D20" s="209" t="s">
        <v>89</v>
      </c>
      <c r="E20" s="60"/>
      <c r="F20" s="225">
        <v>1602.5806222670271</v>
      </c>
      <c r="G20" s="225">
        <v>1457.8099936284852</v>
      </c>
      <c r="H20" s="225">
        <v>1202.650838674846</v>
      </c>
      <c r="I20" s="225">
        <v>1253.4127457647303</v>
      </c>
      <c r="J20" s="225">
        <v>821.35022503810012</v>
      </c>
      <c r="K20" s="225">
        <v>652.95019776047957</v>
      </c>
      <c r="L20" s="225">
        <v>357.50159076443703</v>
      </c>
      <c r="M20" s="225">
        <v>395.80717637272789</v>
      </c>
      <c r="N20" s="225">
        <v>382.88807551652383</v>
      </c>
      <c r="O20" s="225">
        <v>417.12820980520837</v>
      </c>
      <c r="P20" s="225">
        <v>412.24721695806636</v>
      </c>
      <c r="Q20" s="225">
        <v>377.93763466676091</v>
      </c>
      <c r="R20" s="225">
        <v>375.30767196816498</v>
      </c>
      <c r="S20" s="225">
        <v>358.48246826953158</v>
      </c>
      <c r="T20" s="225">
        <v>312.22666612989377</v>
      </c>
      <c r="U20" s="225">
        <v>332.47501039919251</v>
      </c>
      <c r="V20" s="225">
        <v>303.73807786860829</v>
      </c>
      <c r="W20" s="225">
        <v>294.09045082652455</v>
      </c>
      <c r="X20" s="225">
        <v>266.22426725846134</v>
      </c>
      <c r="Y20" s="225">
        <v>256.85882975349352</v>
      </c>
      <c r="Z20" s="225">
        <v>239.34489678352043</v>
      </c>
      <c r="AA20" s="225">
        <v>215.35227010107337</v>
      </c>
      <c r="AB20" s="225">
        <v>206.39110080232101</v>
      </c>
      <c r="AC20" s="225">
        <v>184.42563625786406</v>
      </c>
    </row>
    <row r="21" spans="1:29" customFormat="1" ht="6.75" customHeight="1" x14ac:dyDescent="0.3">
      <c r="B21" s="14"/>
      <c r="C21" s="12"/>
      <c r="D21" s="12"/>
      <c r="E21" s="15"/>
    </row>
    <row r="22" spans="1:29" ht="28.5" customHeight="1" x14ac:dyDescent="0.3">
      <c r="B22" s="287" t="s">
        <v>119</v>
      </c>
      <c r="C22" s="287"/>
      <c r="D22" s="287"/>
      <c r="E22" s="3"/>
      <c r="F22" s="190">
        <f t="shared" ref="F22:AC22" si="2">+SUM(F7:F20)</f>
        <v>1628.1925843669742</v>
      </c>
      <c r="G22" s="190">
        <f>+SUM(G7:G20)</f>
        <v>1846.3820049920748</v>
      </c>
      <c r="H22" s="190">
        <f t="shared" si="2"/>
        <v>4878.7863589410954</v>
      </c>
      <c r="I22" s="190">
        <f t="shared" si="2"/>
        <v>1283.958555034558</v>
      </c>
      <c r="J22" s="190">
        <f t="shared" si="2"/>
        <v>1033.8744000565316</v>
      </c>
      <c r="K22" s="190">
        <f t="shared" si="2"/>
        <v>2862.2950905306866</v>
      </c>
      <c r="L22" s="190">
        <f t="shared" si="2"/>
        <v>382.44488177052153</v>
      </c>
      <c r="M22" s="190">
        <f t="shared" si="2"/>
        <v>492.72741564633117</v>
      </c>
      <c r="N22" s="190">
        <f t="shared" si="2"/>
        <v>1362.9338830983238</v>
      </c>
      <c r="O22" s="190">
        <f t="shared" si="2"/>
        <v>432.55134739915803</v>
      </c>
      <c r="P22" s="190">
        <f t="shared" si="2"/>
        <v>487.74443314644583</v>
      </c>
      <c r="Q22" s="190">
        <f t="shared" si="2"/>
        <v>1485.469568884489</v>
      </c>
      <c r="R22" s="190">
        <f t="shared" si="2"/>
        <v>388.96431809245661</v>
      </c>
      <c r="S22" s="190">
        <f t="shared" si="2"/>
        <v>412.91645635469291</v>
      </c>
      <c r="T22" s="190">
        <f t="shared" si="2"/>
        <v>1012.3066115963049</v>
      </c>
      <c r="U22" s="190">
        <f t="shared" si="2"/>
        <v>344.39080183926728</v>
      </c>
      <c r="V22" s="190">
        <f t="shared" si="2"/>
        <v>332.36631117533062</v>
      </c>
      <c r="W22" s="190">
        <f t="shared" si="2"/>
        <v>868.20245875219007</v>
      </c>
      <c r="X22" s="190">
        <f t="shared" si="2"/>
        <v>276.66526844908401</v>
      </c>
      <c r="Y22" s="190">
        <f t="shared" si="2"/>
        <v>265.37203337011766</v>
      </c>
      <c r="Z22" s="190">
        <f t="shared" si="2"/>
        <v>669.22049250671023</v>
      </c>
      <c r="AA22" s="190">
        <f t="shared" si="2"/>
        <v>224.55994099730756</v>
      </c>
      <c r="AB22" s="190">
        <f t="shared" si="2"/>
        <v>213.69941797608371</v>
      </c>
      <c r="AC22" s="190">
        <f t="shared" si="2"/>
        <v>544.69375140359011</v>
      </c>
    </row>
    <row r="23" spans="1:29" ht="16.5" customHeight="1" x14ac:dyDescent="0.3">
      <c r="B23" s="288" t="s">
        <v>129</v>
      </c>
      <c r="C23" s="288"/>
      <c r="D23" s="288"/>
      <c r="F23" s="6"/>
      <c r="G23" s="6"/>
      <c r="H23" s="6"/>
      <c r="I23" s="6"/>
      <c r="J23" s="6"/>
      <c r="K23" s="6"/>
      <c r="L23" s="6"/>
      <c r="M23" s="6"/>
      <c r="N23" s="6"/>
      <c r="O23" s="6"/>
      <c r="P23" s="6"/>
      <c r="Q23" s="6"/>
      <c r="R23" s="6"/>
      <c r="S23" s="6"/>
      <c r="T23" s="6"/>
      <c r="U23" s="6"/>
      <c r="V23" s="6"/>
      <c r="W23" s="6"/>
      <c r="X23" s="6"/>
      <c r="Y23" s="6"/>
      <c r="Z23" s="6"/>
      <c r="AA23" s="6"/>
      <c r="AB23" s="6"/>
      <c r="AC23" s="6"/>
    </row>
    <row r="24" spans="1:29" x14ac:dyDescent="0.3">
      <c r="B24" s="288"/>
      <c r="C24" s="288"/>
      <c r="D24" s="288"/>
    </row>
    <row r="25" spans="1:29" x14ac:dyDescent="0.3">
      <c r="B25" s="73"/>
      <c r="C25" s="73"/>
      <c r="D25" s="73"/>
      <c r="M25" s="217"/>
    </row>
    <row r="26" spans="1:29" x14ac:dyDescent="0.3">
      <c r="B26" s="73"/>
      <c r="C26" s="73"/>
      <c r="D26" s="73"/>
    </row>
    <row r="27" spans="1:29" x14ac:dyDescent="0.3">
      <c r="B27" s="73"/>
      <c r="C27" s="73"/>
      <c r="D27" s="73"/>
    </row>
    <row r="28" spans="1:29" x14ac:dyDescent="0.3">
      <c r="B28" s="73"/>
      <c r="C28" s="73"/>
      <c r="D28" s="73"/>
    </row>
    <row r="29" spans="1:29" ht="30.75" customHeight="1" x14ac:dyDescent="0.3">
      <c r="B29" s="286" t="s">
        <v>97</v>
      </c>
      <c r="C29" s="286"/>
      <c r="D29" s="286"/>
      <c r="F29" s="89"/>
      <c r="G29" s="89"/>
      <c r="H29" s="89"/>
      <c r="I29" s="89"/>
      <c r="J29" s="89"/>
      <c r="K29" s="89"/>
      <c r="L29" s="89"/>
      <c r="M29" s="89"/>
      <c r="N29" s="89"/>
      <c r="O29" s="89"/>
      <c r="P29" s="89"/>
      <c r="Q29" s="89"/>
      <c r="R29" s="89"/>
      <c r="S29" s="89"/>
      <c r="T29" s="89"/>
      <c r="U29" s="89"/>
      <c r="V29" s="89"/>
      <c r="W29" s="89"/>
      <c r="X29" s="89"/>
      <c r="Y29" s="89"/>
      <c r="Z29" s="89"/>
      <c r="AA29" s="89"/>
      <c r="AB29" s="89"/>
      <c r="AC29" s="89"/>
    </row>
    <row r="30" spans="1:29" x14ac:dyDescent="0.3">
      <c r="B30" s="289" t="s">
        <v>0</v>
      </c>
      <c r="C30" s="262" t="s">
        <v>1</v>
      </c>
      <c r="D30" s="262" t="s">
        <v>94</v>
      </c>
      <c r="F30" s="191">
        <v>2024</v>
      </c>
      <c r="G30" s="191">
        <v>2024</v>
      </c>
      <c r="H30" s="191">
        <v>2024</v>
      </c>
      <c r="I30" s="191">
        <v>2024</v>
      </c>
      <c r="J30" s="191">
        <v>2024</v>
      </c>
      <c r="K30" s="191">
        <v>2024</v>
      </c>
      <c r="L30" s="191">
        <v>2024</v>
      </c>
      <c r="M30" s="191">
        <v>2024</v>
      </c>
      <c r="N30" s="191">
        <v>2024</v>
      </c>
      <c r="O30" s="191">
        <v>2024</v>
      </c>
      <c r="P30" s="191">
        <v>2024</v>
      </c>
      <c r="Q30" s="191">
        <v>2024</v>
      </c>
      <c r="R30" s="191">
        <v>2025</v>
      </c>
      <c r="S30" s="191">
        <v>2025</v>
      </c>
      <c r="T30" s="191">
        <v>2025</v>
      </c>
      <c r="U30" s="191">
        <v>2025</v>
      </c>
      <c r="V30" s="191">
        <v>2025</v>
      </c>
      <c r="W30" s="191">
        <v>2025</v>
      </c>
      <c r="X30" s="191">
        <v>2025</v>
      </c>
      <c r="Y30" s="191">
        <v>2025</v>
      </c>
      <c r="Z30" s="191">
        <v>2025</v>
      </c>
      <c r="AA30" s="191">
        <v>2025</v>
      </c>
      <c r="AB30" s="191">
        <v>2025</v>
      </c>
      <c r="AC30" s="191">
        <v>2025</v>
      </c>
    </row>
    <row r="31" spans="1:29" x14ac:dyDescent="0.3">
      <c r="B31" s="290"/>
      <c r="C31" s="263"/>
      <c r="D31" s="263"/>
      <c r="F31" s="191">
        <v>1</v>
      </c>
      <c r="G31" s="191">
        <f>+F31+1</f>
        <v>2</v>
      </c>
      <c r="H31" s="191">
        <f t="shared" ref="H31:Q31" si="3">+G31+1</f>
        <v>3</v>
      </c>
      <c r="I31" s="191">
        <f t="shared" si="3"/>
        <v>4</v>
      </c>
      <c r="J31" s="191">
        <f t="shared" si="3"/>
        <v>5</v>
      </c>
      <c r="K31" s="191">
        <f t="shared" si="3"/>
        <v>6</v>
      </c>
      <c r="L31" s="191">
        <f t="shared" si="3"/>
        <v>7</v>
      </c>
      <c r="M31" s="191">
        <f t="shared" si="3"/>
        <v>8</v>
      </c>
      <c r="N31" s="191">
        <f t="shared" si="3"/>
        <v>9</v>
      </c>
      <c r="O31" s="191">
        <f t="shared" si="3"/>
        <v>10</v>
      </c>
      <c r="P31" s="191">
        <f t="shared" si="3"/>
        <v>11</v>
      </c>
      <c r="Q31" s="191">
        <f t="shared" si="3"/>
        <v>12</v>
      </c>
      <c r="R31" s="191">
        <v>1</v>
      </c>
      <c r="S31" s="191">
        <f t="shared" ref="S31:AC31" si="4">+R31+1</f>
        <v>2</v>
      </c>
      <c r="T31" s="191">
        <f t="shared" si="4"/>
        <v>3</v>
      </c>
      <c r="U31" s="191">
        <f t="shared" si="4"/>
        <v>4</v>
      </c>
      <c r="V31" s="191">
        <f t="shared" si="4"/>
        <v>5</v>
      </c>
      <c r="W31" s="191">
        <f t="shared" si="4"/>
        <v>6</v>
      </c>
      <c r="X31" s="191">
        <f t="shared" si="4"/>
        <v>7</v>
      </c>
      <c r="Y31" s="191">
        <f t="shared" si="4"/>
        <v>8</v>
      </c>
      <c r="Z31" s="191">
        <f t="shared" si="4"/>
        <v>9</v>
      </c>
      <c r="AA31" s="191">
        <f t="shared" si="4"/>
        <v>10</v>
      </c>
      <c r="AB31" s="191">
        <f t="shared" si="4"/>
        <v>11</v>
      </c>
      <c r="AC31" s="191">
        <f t="shared" si="4"/>
        <v>12</v>
      </c>
    </row>
    <row r="32" spans="1:29" x14ac:dyDescent="0.3">
      <c r="A32" s="17" t="s">
        <v>40</v>
      </c>
      <c r="B32" s="158" t="s">
        <v>13</v>
      </c>
      <c r="C32" s="158" t="s">
        <v>14</v>
      </c>
      <c r="D32" s="158" t="s">
        <v>91</v>
      </c>
      <c r="E32" s="60"/>
      <c r="F32" s="225">
        <v>0</v>
      </c>
      <c r="G32" s="225">
        <v>0</v>
      </c>
      <c r="H32" s="225">
        <v>0</v>
      </c>
      <c r="I32" s="225">
        <v>0</v>
      </c>
      <c r="J32" s="225">
        <v>0</v>
      </c>
      <c r="K32" s="225">
        <v>0.91654387000000004</v>
      </c>
      <c r="L32" s="225">
        <v>0</v>
      </c>
      <c r="M32" s="225">
        <v>0</v>
      </c>
      <c r="N32" s="225">
        <v>0</v>
      </c>
      <c r="O32" s="225">
        <v>0</v>
      </c>
      <c r="P32" s="225">
        <v>0</v>
      </c>
      <c r="Q32" s="225">
        <v>1.1561400159180484</v>
      </c>
      <c r="R32" s="225">
        <v>0</v>
      </c>
      <c r="S32" s="225">
        <v>0</v>
      </c>
      <c r="T32" s="225">
        <v>0</v>
      </c>
      <c r="U32" s="225">
        <v>0</v>
      </c>
      <c r="V32" s="225">
        <v>0</v>
      </c>
      <c r="W32" s="225">
        <v>0.94737114825440605</v>
      </c>
      <c r="X32" s="225">
        <v>0</v>
      </c>
      <c r="Y32" s="225">
        <v>0</v>
      </c>
      <c r="Z32" s="225">
        <v>0</v>
      </c>
      <c r="AA32" s="225">
        <v>0</v>
      </c>
      <c r="AB32" s="225">
        <v>0</v>
      </c>
      <c r="AC32" s="225">
        <v>0.82315762898359612</v>
      </c>
    </row>
    <row r="33" spans="1:29" x14ac:dyDescent="0.3">
      <c r="A33" s="17" t="s">
        <v>40</v>
      </c>
      <c r="B33" s="158" t="s">
        <v>19</v>
      </c>
      <c r="C33" s="158" t="s">
        <v>20</v>
      </c>
      <c r="D33" s="158" t="s">
        <v>91</v>
      </c>
      <c r="E33" s="60"/>
      <c r="F33" s="225">
        <v>0</v>
      </c>
      <c r="G33" s="225">
        <v>1.4534148200000003</v>
      </c>
      <c r="H33" s="225">
        <v>0</v>
      </c>
      <c r="I33" s="225">
        <v>0</v>
      </c>
      <c r="J33" s="225">
        <v>0</v>
      </c>
      <c r="K33" s="225">
        <v>0</v>
      </c>
      <c r="L33" s="225">
        <v>0</v>
      </c>
      <c r="M33" s="225">
        <v>1.3476921399999999</v>
      </c>
      <c r="N33" s="225">
        <v>0</v>
      </c>
      <c r="O33" s="225">
        <v>0</v>
      </c>
      <c r="P33" s="225">
        <v>0</v>
      </c>
      <c r="Q33" s="225">
        <v>0</v>
      </c>
      <c r="R33" s="225">
        <v>0</v>
      </c>
      <c r="S33" s="225">
        <v>1.2330588132840339</v>
      </c>
      <c r="T33" s="225">
        <v>0</v>
      </c>
      <c r="U33" s="225">
        <v>0</v>
      </c>
      <c r="V33" s="225">
        <v>0</v>
      </c>
      <c r="W33" s="225">
        <v>0</v>
      </c>
      <c r="X33" s="225">
        <v>0</v>
      </c>
      <c r="Y33" s="225">
        <v>1.0088556686933048</v>
      </c>
      <c r="Z33" s="225">
        <v>0</v>
      </c>
      <c r="AA33" s="225">
        <v>0</v>
      </c>
      <c r="AB33" s="225">
        <v>0</v>
      </c>
      <c r="AC33" s="225">
        <v>0</v>
      </c>
    </row>
    <row r="34" spans="1:29" x14ac:dyDescent="0.3">
      <c r="A34" s="17" t="s">
        <v>40</v>
      </c>
      <c r="B34" s="158" t="s">
        <v>15</v>
      </c>
      <c r="C34" s="158" t="s">
        <v>16</v>
      </c>
      <c r="D34" s="158" t="s">
        <v>91</v>
      </c>
      <c r="E34" s="60"/>
      <c r="F34" s="225">
        <v>0</v>
      </c>
      <c r="G34" s="225">
        <v>0</v>
      </c>
      <c r="H34" s="225">
        <v>0</v>
      </c>
      <c r="I34" s="225">
        <v>0.40834123</v>
      </c>
      <c r="J34" s="225">
        <v>0</v>
      </c>
      <c r="K34" s="225">
        <v>0</v>
      </c>
      <c r="L34" s="225">
        <v>0</v>
      </c>
      <c r="M34" s="225">
        <v>0</v>
      </c>
      <c r="N34" s="225">
        <v>0</v>
      </c>
      <c r="O34" s="225">
        <v>0.9726243</v>
      </c>
      <c r="P34" s="225">
        <v>0</v>
      </c>
      <c r="Q34" s="225">
        <v>0</v>
      </c>
      <c r="R34" s="225">
        <v>0</v>
      </c>
      <c r="S34" s="225">
        <v>0</v>
      </c>
      <c r="T34" s="225">
        <v>0</v>
      </c>
      <c r="U34" s="225">
        <v>0.83221929000000006</v>
      </c>
      <c r="V34" s="225">
        <v>0</v>
      </c>
      <c r="W34" s="225">
        <v>0</v>
      </c>
      <c r="X34" s="225">
        <v>0</v>
      </c>
      <c r="Y34" s="225">
        <v>0</v>
      </c>
      <c r="Z34" s="225">
        <v>0</v>
      </c>
      <c r="AA34" s="225">
        <v>0.70498622999999994</v>
      </c>
      <c r="AB34" s="225">
        <v>0</v>
      </c>
      <c r="AC34" s="225">
        <v>0</v>
      </c>
    </row>
    <row r="35" spans="1:29" x14ac:dyDescent="0.3">
      <c r="A35" s="17" t="s">
        <v>40</v>
      </c>
      <c r="B35" s="158" t="s">
        <v>17</v>
      </c>
      <c r="C35" s="158" t="s">
        <v>18</v>
      </c>
      <c r="D35" s="158" t="s">
        <v>91</v>
      </c>
      <c r="E35" s="60"/>
      <c r="F35" s="225">
        <v>0</v>
      </c>
      <c r="G35" s="225">
        <v>0.33478243352378567</v>
      </c>
      <c r="H35" s="225">
        <v>0</v>
      </c>
      <c r="I35" s="225">
        <v>0</v>
      </c>
      <c r="J35" s="225">
        <v>0</v>
      </c>
      <c r="K35" s="225">
        <v>0</v>
      </c>
      <c r="L35" s="225">
        <v>0</v>
      </c>
      <c r="M35" s="225">
        <v>0.24289015</v>
      </c>
      <c r="N35" s="225">
        <v>0</v>
      </c>
      <c r="O35" s="225">
        <v>0</v>
      </c>
      <c r="P35" s="225">
        <v>0</v>
      </c>
      <c r="Q35" s="225">
        <v>0</v>
      </c>
      <c r="R35" s="225">
        <v>0</v>
      </c>
      <c r="S35" s="225">
        <v>0.15132871997753422</v>
      </c>
      <c r="T35" s="225">
        <v>0</v>
      </c>
      <c r="U35" s="225">
        <v>0</v>
      </c>
      <c r="V35" s="225">
        <v>0</v>
      </c>
      <c r="W35" s="225">
        <v>0</v>
      </c>
      <c r="X35" s="225">
        <v>0</v>
      </c>
      <c r="Y35" s="225">
        <v>6.4157239788254508E-2</v>
      </c>
      <c r="Z35" s="225">
        <v>0</v>
      </c>
      <c r="AA35" s="225">
        <v>0</v>
      </c>
      <c r="AB35" s="225">
        <v>0</v>
      </c>
      <c r="AC35" s="225">
        <v>0</v>
      </c>
    </row>
    <row r="36" spans="1:29" x14ac:dyDescent="0.3">
      <c r="A36" s="17" t="s">
        <v>40</v>
      </c>
      <c r="B36" s="158" t="s">
        <v>23</v>
      </c>
      <c r="C36" s="158" t="s">
        <v>24</v>
      </c>
      <c r="D36" s="158" t="s">
        <v>91</v>
      </c>
      <c r="E36" s="60"/>
      <c r="F36" s="225">
        <v>0</v>
      </c>
      <c r="G36" s="225">
        <v>0</v>
      </c>
      <c r="H36" s="225">
        <v>0</v>
      </c>
      <c r="I36" s="225">
        <v>0.46031688248263569</v>
      </c>
      <c r="J36" s="225">
        <v>0</v>
      </c>
      <c r="K36" s="225">
        <v>0</v>
      </c>
      <c r="L36" s="225">
        <v>0</v>
      </c>
      <c r="M36" s="225">
        <v>0</v>
      </c>
      <c r="N36" s="225">
        <v>0</v>
      </c>
      <c r="O36" s="225">
        <v>0.45207635253459139</v>
      </c>
      <c r="P36" s="225">
        <v>0</v>
      </c>
      <c r="Q36" s="225">
        <v>0</v>
      </c>
      <c r="R36" s="225">
        <v>0</v>
      </c>
      <c r="S36" s="225">
        <v>0</v>
      </c>
      <c r="T36" s="225">
        <v>0</v>
      </c>
      <c r="U36" s="225">
        <v>0.39337018736831847</v>
      </c>
      <c r="V36" s="225">
        <v>0</v>
      </c>
      <c r="W36" s="225">
        <v>0</v>
      </c>
      <c r="X36" s="225">
        <v>0</v>
      </c>
      <c r="Y36" s="225">
        <v>0</v>
      </c>
      <c r="Z36" s="225">
        <v>0</v>
      </c>
      <c r="AA36" s="225">
        <v>0.33742582417709072</v>
      </c>
      <c r="AB36" s="225">
        <v>0</v>
      </c>
      <c r="AC36" s="225">
        <v>0</v>
      </c>
    </row>
    <row r="37" spans="1:29" x14ac:dyDescent="0.3">
      <c r="A37" s="17" t="s">
        <v>40</v>
      </c>
      <c r="B37" s="158" t="s">
        <v>21</v>
      </c>
      <c r="C37" s="158" t="s">
        <v>22</v>
      </c>
      <c r="D37" s="158" t="s">
        <v>91</v>
      </c>
      <c r="E37" s="60"/>
      <c r="F37" s="225">
        <v>0</v>
      </c>
      <c r="G37" s="225">
        <v>0</v>
      </c>
      <c r="H37" s="225">
        <v>0</v>
      </c>
      <c r="I37" s="225">
        <v>0</v>
      </c>
      <c r="J37" s="225">
        <v>8.3268839999999997E-2</v>
      </c>
      <c r="K37" s="225">
        <v>0</v>
      </c>
      <c r="L37" s="225">
        <v>0</v>
      </c>
      <c r="M37" s="225">
        <v>0</v>
      </c>
      <c r="N37" s="225">
        <v>0</v>
      </c>
      <c r="O37" s="225">
        <v>0</v>
      </c>
      <c r="P37" s="225">
        <v>0.12535861220469727</v>
      </c>
      <c r="Q37" s="225">
        <v>0</v>
      </c>
      <c r="R37" s="225">
        <v>0</v>
      </c>
      <c r="S37" s="225">
        <v>0</v>
      </c>
      <c r="T37" s="225">
        <v>0</v>
      </c>
      <c r="U37" s="225">
        <v>0</v>
      </c>
      <c r="V37" s="225">
        <v>0.1043820263443139</v>
      </c>
      <c r="W37" s="225">
        <v>0</v>
      </c>
      <c r="X37" s="225">
        <v>0</v>
      </c>
      <c r="Y37" s="225">
        <v>0</v>
      </c>
      <c r="Z37" s="225">
        <v>0</v>
      </c>
      <c r="AA37" s="225">
        <v>0</v>
      </c>
      <c r="AB37" s="225">
        <v>8.970128085669804E-2</v>
      </c>
      <c r="AC37" s="225">
        <v>0</v>
      </c>
    </row>
    <row r="38" spans="1:29" x14ac:dyDescent="0.3">
      <c r="A38" s="17" t="s">
        <v>40</v>
      </c>
      <c r="B38" s="158" t="s">
        <v>124</v>
      </c>
      <c r="C38" s="158" t="s">
        <v>125</v>
      </c>
      <c r="D38" s="158" t="s">
        <v>91</v>
      </c>
      <c r="E38" s="60"/>
      <c r="F38" s="225">
        <v>0</v>
      </c>
      <c r="G38" s="225">
        <v>0</v>
      </c>
      <c r="H38" s="225">
        <v>0</v>
      </c>
      <c r="I38" s="225">
        <v>0</v>
      </c>
      <c r="J38" s="225">
        <v>0.91214308999999971</v>
      </c>
      <c r="K38" s="225">
        <v>0</v>
      </c>
      <c r="L38" s="225">
        <v>0</v>
      </c>
      <c r="M38" s="225">
        <v>0</v>
      </c>
      <c r="N38" s="225">
        <v>0</v>
      </c>
      <c r="O38" s="225">
        <v>0</v>
      </c>
      <c r="P38" s="225">
        <v>0.89606670410958922</v>
      </c>
      <c r="Q38" s="225">
        <v>0</v>
      </c>
      <c r="R38" s="225">
        <v>0</v>
      </c>
      <c r="S38" s="225">
        <v>0</v>
      </c>
      <c r="T38" s="225">
        <v>0</v>
      </c>
      <c r="U38" s="225">
        <v>0</v>
      </c>
      <c r="V38" s="225">
        <v>0.77492280821917814</v>
      </c>
      <c r="W38" s="225">
        <v>0</v>
      </c>
      <c r="X38" s="225">
        <v>0</v>
      </c>
      <c r="Y38" s="225">
        <v>0</v>
      </c>
      <c r="Z38" s="225">
        <v>0</v>
      </c>
      <c r="AA38" s="225">
        <v>0</v>
      </c>
      <c r="AB38" s="225">
        <v>0.68335843808219177</v>
      </c>
      <c r="AC38" s="225">
        <v>0</v>
      </c>
    </row>
    <row r="39" spans="1:29" x14ac:dyDescent="0.3">
      <c r="A39" s="17"/>
      <c r="B39" s="158" t="s">
        <v>144</v>
      </c>
      <c r="C39" s="158" t="s">
        <v>215</v>
      </c>
      <c r="D39" s="158" t="s">
        <v>91</v>
      </c>
      <c r="E39" s="60"/>
      <c r="F39" s="225">
        <v>0.14575804000000001</v>
      </c>
      <c r="G39" s="225">
        <v>0</v>
      </c>
      <c r="H39" s="225">
        <v>0</v>
      </c>
      <c r="I39" s="225">
        <v>0</v>
      </c>
      <c r="J39" s="225">
        <v>0</v>
      </c>
      <c r="K39" s="225">
        <v>0</v>
      </c>
      <c r="L39" s="225">
        <v>0.16066514999999998</v>
      </c>
      <c r="M39" s="225">
        <v>0</v>
      </c>
      <c r="N39" s="225">
        <v>0</v>
      </c>
      <c r="O39" s="225">
        <v>0</v>
      </c>
      <c r="P39" s="225">
        <v>0</v>
      </c>
      <c r="Q39" s="225">
        <v>0</v>
      </c>
      <c r="R39" s="225">
        <v>0.17335181165156921</v>
      </c>
      <c r="S39" s="225">
        <v>0</v>
      </c>
      <c r="T39" s="225">
        <v>0</v>
      </c>
      <c r="U39" s="225">
        <v>0</v>
      </c>
      <c r="V39" s="225">
        <v>0</v>
      </c>
      <c r="W39" s="225">
        <v>0</v>
      </c>
      <c r="X39" s="225">
        <v>0.1475422241136666</v>
      </c>
      <c r="Y39" s="225">
        <v>0</v>
      </c>
      <c r="Z39" s="225">
        <v>0</v>
      </c>
      <c r="AA39" s="225">
        <v>0</v>
      </c>
      <c r="AB39" s="225">
        <v>0</v>
      </c>
      <c r="AC39" s="225">
        <v>0</v>
      </c>
    </row>
    <row r="40" spans="1:29" x14ac:dyDescent="0.3">
      <c r="A40" s="17" t="s">
        <v>40</v>
      </c>
      <c r="B40" s="158" t="s">
        <v>25</v>
      </c>
      <c r="C40" s="158" t="s">
        <v>26</v>
      </c>
      <c r="D40" s="158" t="s">
        <v>91</v>
      </c>
      <c r="E40" s="60"/>
      <c r="F40" s="225">
        <v>0</v>
      </c>
      <c r="G40" s="225">
        <v>0</v>
      </c>
      <c r="H40" s="225">
        <v>0</v>
      </c>
      <c r="I40" s="225">
        <v>6.5242394462007086E-3</v>
      </c>
      <c r="J40" s="225">
        <v>0</v>
      </c>
      <c r="K40" s="225">
        <v>0</v>
      </c>
      <c r="L40" s="225">
        <v>0</v>
      </c>
      <c r="M40" s="225">
        <v>0</v>
      </c>
      <c r="N40" s="225">
        <v>0</v>
      </c>
      <c r="O40" s="225">
        <v>3.2621152473777475E-3</v>
      </c>
      <c r="P40" s="225">
        <v>0</v>
      </c>
      <c r="Q40" s="225">
        <v>0</v>
      </c>
      <c r="R40" s="225">
        <v>0</v>
      </c>
      <c r="S40" s="225">
        <v>0</v>
      </c>
      <c r="T40" s="225">
        <v>0</v>
      </c>
      <c r="U40" s="225">
        <v>0</v>
      </c>
      <c r="V40" s="225">
        <v>0</v>
      </c>
      <c r="W40" s="225">
        <v>0</v>
      </c>
      <c r="X40" s="225">
        <v>0</v>
      </c>
      <c r="Y40" s="225">
        <v>0</v>
      </c>
      <c r="Z40" s="225">
        <v>0</v>
      </c>
      <c r="AA40" s="225">
        <v>0</v>
      </c>
      <c r="AB40" s="225">
        <v>0</v>
      </c>
      <c r="AC40" s="225">
        <v>0</v>
      </c>
    </row>
    <row r="41" spans="1:29" x14ac:dyDescent="0.3">
      <c r="A41" s="17" t="s">
        <v>40</v>
      </c>
      <c r="B41" s="158" t="s">
        <v>27</v>
      </c>
      <c r="C41" s="158" t="s">
        <v>28</v>
      </c>
      <c r="D41" s="158" t="s">
        <v>91</v>
      </c>
      <c r="E41" s="60"/>
      <c r="F41" s="225">
        <v>0</v>
      </c>
      <c r="G41" s="225">
        <v>0</v>
      </c>
      <c r="H41" s="225">
        <v>9.8865781158152745E-4</v>
      </c>
      <c r="I41" s="225">
        <v>0</v>
      </c>
      <c r="J41" s="225">
        <v>0</v>
      </c>
      <c r="K41" s="225">
        <v>9.6857044222806111E-4</v>
      </c>
      <c r="L41" s="225">
        <v>0</v>
      </c>
      <c r="M41" s="225">
        <v>0</v>
      </c>
      <c r="N41" s="225">
        <v>9.4842331295076881E-4</v>
      </c>
      <c r="O41" s="225">
        <v>0</v>
      </c>
      <c r="P41" s="225">
        <v>0</v>
      </c>
      <c r="Q41" s="225">
        <v>9.2821624596387843E-4</v>
      </c>
      <c r="R41" s="225">
        <v>0</v>
      </c>
      <c r="S41" s="225">
        <v>0</v>
      </c>
      <c r="T41" s="225">
        <v>9.0794906295270014E-4</v>
      </c>
      <c r="U41" s="225">
        <v>0</v>
      </c>
      <c r="V41" s="225">
        <v>0</v>
      </c>
      <c r="W41" s="225">
        <v>8.8762158507206393E-4</v>
      </c>
      <c r="X41" s="225">
        <v>0</v>
      </c>
      <c r="Y41" s="225">
        <v>0</v>
      </c>
      <c r="Z41" s="225">
        <v>8.6723363294473311E-4</v>
      </c>
      <c r="AA41" s="225">
        <v>0</v>
      </c>
      <c r="AB41" s="225">
        <v>0</v>
      </c>
      <c r="AC41" s="225">
        <v>8.4678502665982351E-4</v>
      </c>
    </row>
    <row r="42" spans="1:29" s="237" customFormat="1" x14ac:dyDescent="0.3">
      <c r="A42" s="235" t="s">
        <v>40</v>
      </c>
      <c r="B42" s="158" t="s">
        <v>29</v>
      </c>
      <c r="C42" s="158" t="s">
        <v>30</v>
      </c>
      <c r="D42" s="158" t="s">
        <v>91</v>
      </c>
      <c r="E42" s="236"/>
      <c r="F42" s="225">
        <v>0</v>
      </c>
      <c r="G42" s="225">
        <v>0</v>
      </c>
      <c r="H42" s="225">
        <v>0</v>
      </c>
      <c r="I42" s="225">
        <v>0</v>
      </c>
      <c r="J42" s="225">
        <v>0</v>
      </c>
      <c r="K42" s="225">
        <v>0</v>
      </c>
      <c r="L42" s="225">
        <v>0</v>
      </c>
      <c r="M42" s="225">
        <v>0</v>
      </c>
      <c r="N42" s="225">
        <v>3.2994308695652179E-3</v>
      </c>
      <c r="O42" s="225">
        <v>0</v>
      </c>
      <c r="P42" s="225">
        <v>0</v>
      </c>
      <c r="Q42" s="225">
        <v>0</v>
      </c>
      <c r="R42" s="225">
        <v>0</v>
      </c>
      <c r="S42" s="225">
        <v>0</v>
      </c>
      <c r="T42" s="225">
        <v>0</v>
      </c>
      <c r="U42" s="225">
        <v>0</v>
      </c>
      <c r="V42" s="225">
        <v>0</v>
      </c>
      <c r="W42" s="225">
        <v>0</v>
      </c>
      <c r="X42" s="225">
        <v>0</v>
      </c>
      <c r="Y42" s="225">
        <v>0</v>
      </c>
      <c r="Z42" s="225">
        <v>0</v>
      </c>
      <c r="AA42" s="225">
        <v>0</v>
      </c>
      <c r="AB42" s="225">
        <v>0</v>
      </c>
      <c r="AC42" s="225">
        <v>0</v>
      </c>
    </row>
    <row r="43" spans="1:29" x14ac:dyDescent="0.3">
      <c r="A43" s="17" t="s">
        <v>40</v>
      </c>
      <c r="B43" s="158" t="s">
        <v>32</v>
      </c>
      <c r="C43" s="158" t="s">
        <v>33</v>
      </c>
      <c r="D43" s="158" t="s">
        <v>91</v>
      </c>
      <c r="E43" s="60"/>
      <c r="F43" s="225">
        <v>0</v>
      </c>
      <c r="G43" s="225">
        <v>0</v>
      </c>
      <c r="H43" s="225">
        <v>0.50201371163283404</v>
      </c>
      <c r="I43" s="225">
        <v>0</v>
      </c>
      <c r="J43" s="225">
        <v>0</v>
      </c>
      <c r="K43" s="225">
        <v>0</v>
      </c>
      <c r="L43" s="225">
        <v>0</v>
      </c>
      <c r="M43" s="225">
        <v>0</v>
      </c>
      <c r="N43" s="225">
        <v>0.48824227602003845</v>
      </c>
      <c r="O43" s="225">
        <v>0</v>
      </c>
      <c r="P43" s="225">
        <v>0</v>
      </c>
      <c r="Q43" s="225">
        <v>0</v>
      </c>
      <c r="R43" s="225">
        <v>0</v>
      </c>
      <c r="S43" s="225">
        <v>0</v>
      </c>
      <c r="T43" s="225">
        <v>0.82233494539889485</v>
      </c>
      <c r="U43" s="225">
        <v>0</v>
      </c>
      <c r="V43" s="225">
        <v>0</v>
      </c>
      <c r="W43" s="225">
        <v>0</v>
      </c>
      <c r="X43" s="225">
        <v>0</v>
      </c>
      <c r="Y43" s="225">
        <v>0</v>
      </c>
      <c r="Z43" s="225">
        <v>0.72672069364895264</v>
      </c>
      <c r="AA43" s="225">
        <v>0</v>
      </c>
      <c r="AB43" s="225">
        <v>0</v>
      </c>
      <c r="AC43" s="225">
        <v>0</v>
      </c>
    </row>
    <row r="44" spans="1:29" x14ac:dyDescent="0.3">
      <c r="A44" s="17"/>
      <c r="B44" s="158" t="s">
        <v>145</v>
      </c>
      <c r="C44" s="158" t="s">
        <v>146</v>
      </c>
      <c r="D44" s="158" t="s">
        <v>91</v>
      </c>
      <c r="E44" s="60"/>
      <c r="F44" s="225">
        <v>3.760695E-2</v>
      </c>
      <c r="G44" s="225">
        <v>0</v>
      </c>
      <c r="H44" s="225">
        <v>0</v>
      </c>
      <c r="I44" s="225">
        <v>0</v>
      </c>
      <c r="J44" s="225">
        <v>0</v>
      </c>
      <c r="K44" s="225">
        <v>0</v>
      </c>
      <c r="L44" s="225">
        <v>6.5543130000000005E-2</v>
      </c>
      <c r="M44" s="225">
        <v>0</v>
      </c>
      <c r="N44" s="225">
        <v>0</v>
      </c>
      <c r="O44" s="225">
        <v>0</v>
      </c>
      <c r="P44" s="225">
        <v>0</v>
      </c>
      <c r="Q44" s="225">
        <v>0</v>
      </c>
      <c r="R44" s="225">
        <v>6.7569210000000005E-2</v>
      </c>
      <c r="S44" s="225">
        <v>0</v>
      </c>
      <c r="T44" s="225">
        <v>0</v>
      </c>
      <c r="U44" s="225">
        <v>0</v>
      </c>
      <c r="V44" s="225">
        <v>0</v>
      </c>
      <c r="W44" s="225">
        <v>0</v>
      </c>
      <c r="X44" s="225">
        <v>5.7289609999999998E-2</v>
      </c>
      <c r="Y44" s="225">
        <v>0</v>
      </c>
      <c r="Z44" s="225">
        <v>0</v>
      </c>
      <c r="AA44" s="225">
        <v>0</v>
      </c>
      <c r="AB44" s="225">
        <v>0</v>
      </c>
      <c r="AC44" s="225">
        <v>0</v>
      </c>
    </row>
    <row r="45" spans="1:29" x14ac:dyDescent="0.3">
      <c r="A45" s="17"/>
      <c r="B45" s="8" t="s">
        <v>170</v>
      </c>
      <c r="C45" s="8" t="s">
        <v>171</v>
      </c>
      <c r="D45" s="8" t="s">
        <v>91</v>
      </c>
      <c r="E45" s="229"/>
      <c r="F45" s="225">
        <v>0</v>
      </c>
      <c r="G45" s="225">
        <v>0</v>
      </c>
      <c r="H45" s="225">
        <v>0</v>
      </c>
      <c r="I45" s="225">
        <v>0</v>
      </c>
      <c r="J45" s="225">
        <v>0.16708867000000002</v>
      </c>
      <c r="K45" s="225">
        <v>0</v>
      </c>
      <c r="L45" s="225">
        <v>0</v>
      </c>
      <c r="M45" s="225">
        <v>0</v>
      </c>
      <c r="N45" s="225">
        <v>0</v>
      </c>
      <c r="O45" s="225">
        <v>0</v>
      </c>
      <c r="P45" s="225">
        <v>0.17005560038276288</v>
      </c>
      <c r="Q45" s="225">
        <v>0</v>
      </c>
      <c r="R45" s="225">
        <v>0</v>
      </c>
      <c r="S45" s="225">
        <v>0</v>
      </c>
      <c r="T45" s="225">
        <v>0</v>
      </c>
      <c r="U45" s="225">
        <v>0</v>
      </c>
      <c r="V45" s="225">
        <v>0.16873068353530579</v>
      </c>
      <c r="W45" s="225">
        <v>0</v>
      </c>
      <c r="X45" s="225">
        <v>0</v>
      </c>
      <c r="Y45" s="225">
        <v>0</v>
      </c>
      <c r="Z45" s="225">
        <v>0</v>
      </c>
      <c r="AA45" s="225">
        <v>0</v>
      </c>
      <c r="AB45" s="225">
        <v>0.15059574967662012</v>
      </c>
      <c r="AC45" s="225">
        <v>0</v>
      </c>
    </row>
    <row r="46" spans="1:29" x14ac:dyDescent="0.3">
      <c r="A46" s="17" t="s">
        <v>40</v>
      </c>
      <c r="B46" s="158" t="s">
        <v>123</v>
      </c>
      <c r="C46" s="158" t="s">
        <v>122</v>
      </c>
      <c r="D46" s="158" t="s">
        <v>92</v>
      </c>
      <c r="E46" s="60"/>
      <c r="F46" s="225">
        <v>0</v>
      </c>
      <c r="G46" s="225">
        <v>0</v>
      </c>
      <c r="H46" s="225">
        <v>12.601857019999999</v>
      </c>
      <c r="I46" s="225">
        <v>0</v>
      </c>
      <c r="J46" s="225">
        <v>0</v>
      </c>
      <c r="K46" s="225">
        <v>0</v>
      </c>
      <c r="L46" s="225">
        <v>0</v>
      </c>
      <c r="M46" s="225">
        <v>0</v>
      </c>
      <c r="N46" s="225">
        <v>11.45623365</v>
      </c>
      <c r="O46" s="225">
        <v>0</v>
      </c>
      <c r="P46" s="225">
        <v>0</v>
      </c>
      <c r="Q46" s="225">
        <v>0</v>
      </c>
      <c r="R46" s="225">
        <v>0</v>
      </c>
      <c r="S46" s="225">
        <v>0</v>
      </c>
      <c r="T46" s="225">
        <v>10.310610288461541</v>
      </c>
      <c r="U46" s="225">
        <v>0</v>
      </c>
      <c r="V46" s="225">
        <v>0</v>
      </c>
      <c r="W46" s="225">
        <v>0</v>
      </c>
      <c r="X46" s="225">
        <v>0</v>
      </c>
      <c r="Y46" s="225">
        <v>0</v>
      </c>
      <c r="Z46" s="225">
        <v>9.1649869230769276</v>
      </c>
      <c r="AA46" s="225">
        <v>0</v>
      </c>
      <c r="AB46" s="225">
        <v>0</v>
      </c>
      <c r="AC46" s="225">
        <v>0</v>
      </c>
    </row>
    <row r="47" spans="1:29" customFormat="1" ht="6.75" customHeight="1" x14ac:dyDescent="0.3">
      <c r="B47" s="14"/>
      <c r="C47" s="12"/>
      <c r="D47" s="12"/>
      <c r="E47" s="15"/>
    </row>
    <row r="48" spans="1:29" ht="28.5" customHeight="1" x14ac:dyDescent="0.3">
      <c r="B48" s="287" t="s">
        <v>120</v>
      </c>
      <c r="C48" s="287"/>
      <c r="D48" s="287"/>
      <c r="E48" s="3"/>
      <c r="F48" s="190">
        <f t="shared" ref="F48:Q48" si="5">+SUM(F32:F46)</f>
        <v>0.18336499000000001</v>
      </c>
      <c r="G48" s="190">
        <f t="shared" si="5"/>
        <v>1.788197253523786</v>
      </c>
      <c r="H48" s="190">
        <f t="shared" si="5"/>
        <v>13.104859389444414</v>
      </c>
      <c r="I48" s="190">
        <f t="shared" si="5"/>
        <v>0.87518235192883642</v>
      </c>
      <c r="J48" s="190">
        <f t="shared" si="5"/>
        <v>1.1625005999999998</v>
      </c>
      <c r="K48" s="190">
        <f t="shared" si="5"/>
        <v>0.91751244044222813</v>
      </c>
      <c r="L48" s="190">
        <f t="shared" si="5"/>
        <v>0.22620827999999998</v>
      </c>
      <c r="M48" s="190">
        <f t="shared" si="5"/>
        <v>1.59058229</v>
      </c>
      <c r="N48" s="190">
        <f t="shared" si="5"/>
        <v>11.948723780202554</v>
      </c>
      <c r="O48" s="190">
        <f t="shared" si="5"/>
        <v>1.4279627677819691</v>
      </c>
      <c r="P48" s="190">
        <f t="shared" si="5"/>
        <v>1.1914809166970495</v>
      </c>
      <c r="Q48" s="190">
        <f t="shared" si="5"/>
        <v>1.1570682321640122</v>
      </c>
      <c r="R48" s="190">
        <f>+SUM(R32:R46)</f>
        <v>0.2409210216515692</v>
      </c>
      <c r="S48" s="190">
        <f t="shared" ref="S48:AC48" si="6">+SUM(S32:S46)</f>
        <v>1.384387533261568</v>
      </c>
      <c r="T48" s="190">
        <f t="shared" si="6"/>
        <v>11.133853182923389</v>
      </c>
      <c r="U48" s="190">
        <f t="shared" si="6"/>
        <v>1.2255894773683185</v>
      </c>
      <c r="V48" s="190">
        <f t="shared" si="6"/>
        <v>1.0480355180987979</v>
      </c>
      <c r="W48" s="190">
        <f t="shared" si="6"/>
        <v>0.9482587698394781</v>
      </c>
      <c r="X48" s="190">
        <f t="shared" si="6"/>
        <v>0.20483183411366659</v>
      </c>
      <c r="Y48" s="190">
        <f t="shared" si="6"/>
        <v>1.0730129084815594</v>
      </c>
      <c r="Z48" s="190">
        <f t="shared" si="6"/>
        <v>9.8925748503588249</v>
      </c>
      <c r="AA48" s="190">
        <f t="shared" si="6"/>
        <v>1.0424120541770907</v>
      </c>
      <c r="AB48" s="190">
        <f t="shared" si="6"/>
        <v>0.92365546861550996</v>
      </c>
      <c r="AC48" s="190">
        <f t="shared" si="6"/>
        <v>0.82400441401025593</v>
      </c>
    </row>
    <row r="49" spans="2:29" x14ac:dyDescent="0.3">
      <c r="B49" s="4"/>
      <c r="C49" s="4"/>
      <c r="D49" s="4"/>
      <c r="F49" s="13"/>
      <c r="G49" s="13"/>
      <c r="H49" s="13"/>
      <c r="I49" s="13"/>
      <c r="J49" s="13"/>
      <c r="K49" s="13"/>
      <c r="L49" s="13"/>
      <c r="M49" s="13"/>
      <c r="N49" s="13"/>
      <c r="O49" s="13"/>
      <c r="P49" s="13"/>
      <c r="Q49" s="13"/>
      <c r="R49" s="13"/>
      <c r="S49" s="13"/>
      <c r="T49" s="13"/>
      <c r="U49" s="13"/>
      <c r="V49" s="13"/>
      <c r="W49" s="13"/>
      <c r="X49" s="13"/>
      <c r="Y49" s="13"/>
      <c r="Z49" s="13"/>
      <c r="AA49" s="13"/>
      <c r="AB49" s="13"/>
      <c r="AC49" s="13"/>
    </row>
    <row r="50" spans="2:29" x14ac:dyDescent="0.3">
      <c r="B50" s="4"/>
      <c r="C50" s="4"/>
      <c r="D50" s="4"/>
      <c r="F50" s="222"/>
      <c r="G50" s="13"/>
      <c r="H50" s="223"/>
      <c r="I50" s="13"/>
      <c r="J50" s="13"/>
      <c r="K50" s="13"/>
      <c r="L50" s="13"/>
      <c r="M50" s="13"/>
      <c r="O50" s="13"/>
      <c r="P50" s="13"/>
      <c r="R50" s="13"/>
      <c r="S50" s="13"/>
      <c r="U50" s="13"/>
      <c r="V50" s="13"/>
      <c r="X50" s="13"/>
      <c r="Y50" s="13"/>
      <c r="AA50" s="13"/>
      <c r="AB50" s="13"/>
    </row>
    <row r="51" spans="2:29" x14ac:dyDescent="0.3">
      <c r="B51" s="4"/>
      <c r="C51" s="4"/>
      <c r="D51" s="4"/>
      <c r="F51" s="13"/>
      <c r="G51" s="13"/>
      <c r="I51" s="13"/>
      <c r="J51" s="13"/>
      <c r="L51" s="13"/>
      <c r="M51" s="13"/>
      <c r="O51" s="13"/>
      <c r="P51" s="13"/>
      <c r="R51" s="13"/>
      <c r="S51" s="13"/>
      <c r="U51" s="13"/>
      <c r="V51" s="13"/>
      <c r="X51" s="13"/>
      <c r="Y51" s="13"/>
      <c r="AA51" s="13"/>
      <c r="AB51" s="13"/>
      <c r="AC51" s="13"/>
    </row>
    <row r="52" spans="2:29" x14ac:dyDescent="0.3">
      <c r="I52" s="13"/>
    </row>
    <row r="53" spans="2:29" x14ac:dyDescent="0.3">
      <c r="I53" s="13"/>
    </row>
    <row r="54" spans="2:29" x14ac:dyDescent="0.3">
      <c r="I54" s="13"/>
    </row>
    <row r="55" spans="2:29" x14ac:dyDescent="0.3">
      <c r="I55" s="13"/>
    </row>
    <row r="56" spans="2:29" x14ac:dyDescent="0.3">
      <c r="I56" s="13"/>
    </row>
    <row r="57" spans="2:29" x14ac:dyDescent="0.3">
      <c r="I57" s="13"/>
    </row>
  </sheetData>
  <mergeCells count="12">
    <mergeCell ref="D30:D31"/>
    <mergeCell ref="B29:D29"/>
    <mergeCell ref="B22:D22"/>
    <mergeCell ref="B48:D48"/>
    <mergeCell ref="B23:D24"/>
    <mergeCell ref="B30:B31"/>
    <mergeCell ref="C30:C31"/>
    <mergeCell ref="B1:E1"/>
    <mergeCell ref="B5:B6"/>
    <mergeCell ref="C5:C6"/>
    <mergeCell ref="B4:D4"/>
    <mergeCell ref="D5:D6"/>
  </mergeCells>
  <hyperlinks>
    <hyperlink ref="C33" location="BIDF40!A1" display="BIDF40" xr:uid="{00000000-0004-0000-0200-000000000000}"/>
    <hyperlink ref="C40" location="BIDO24!A1" display="BIDO24" xr:uid="{00000000-0004-0000-0200-000001000000}"/>
    <hyperlink ref="C37" location="BIDN32!A1" display="BIDN32" xr:uid="{00000000-0004-0000-0200-000002000000}"/>
    <hyperlink ref="C41" location="BIDS34!A1" display="BIDS34" xr:uid="{00000000-0004-0000-0200-000003000000}"/>
    <hyperlink ref="C42" location="BIDS23!A1" display="BIDS23" xr:uid="{00000000-0004-0000-0200-000004000000}"/>
    <hyperlink ref="C36" location="BIDY42!A1" display="BIDY42" xr:uid="{00000000-0004-0000-0200-000005000000}"/>
    <hyperlink ref="C43" location="BIRS38!A1" display="BIRS38" xr:uid="{00000000-0004-0000-0200-000006000000}"/>
    <hyperlink ref="C10" location="ANSE23!A1" display="ANSE23" xr:uid="{00000000-0004-0000-0200-000007000000}"/>
    <hyperlink ref="C7" location="FFDPO23!A1" display="FFDPO23" xr:uid="{00000000-0004-0000-0200-000008000000}"/>
    <hyperlink ref="C11" location="IPVO26!A1" display="IPVO26" xr:uid="{00000000-0004-0000-0200-000009000000}"/>
    <hyperlink ref="C18" location="'PMG25'!A1" display="PMG25" xr:uid="{00000000-0004-0000-0200-00000A000000}"/>
    <hyperlink ref="C19" location="FFFIRO24!A1" display="FFFIRO24" xr:uid="{00000000-0004-0000-0200-00000B000000}"/>
    <hyperlink ref="C20" location="FFFIRF26!A1" display="FFFIRF26" xr:uid="{00000000-0004-0000-0200-00000C000000}"/>
    <hyperlink ref="C9" location="GOBD23!A1" display="GOBD23" xr:uid="{00000000-0004-0000-0200-00000E000000}"/>
    <hyperlink ref="C16" location="'PMY25'!A1" display="PMY25" xr:uid="{00000000-0004-0000-0200-00000F000000}"/>
  </hyperlink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80915-7664-4825-B653-7EF4E52844CD}">
  <dimension ref="A1:I66"/>
  <sheetViews>
    <sheetView showGridLines="0" workbookViewId="0"/>
  </sheetViews>
  <sheetFormatPr baseColWidth="10" defaultRowHeight="15" x14ac:dyDescent="0.25"/>
  <sheetData>
    <row r="1" spans="1:9" ht="21" x14ac:dyDescent="0.35">
      <c r="A1" s="163" t="s">
        <v>219</v>
      </c>
    </row>
    <row r="2" spans="1:9" ht="21" x14ac:dyDescent="0.35">
      <c r="A2" s="163"/>
    </row>
    <row r="3" spans="1:9" ht="18" x14ac:dyDescent="0.25">
      <c r="A3" s="164" t="s">
        <v>220</v>
      </c>
      <c r="I3" s="164" t="s">
        <v>221</v>
      </c>
    </row>
    <row r="4" spans="1:9" ht="15.75" x14ac:dyDescent="0.25">
      <c r="A4" s="202" t="s">
        <v>222</v>
      </c>
      <c r="I4" s="202" t="s">
        <v>223</v>
      </c>
    </row>
    <row r="24" spans="1:9" ht="18" x14ac:dyDescent="0.25">
      <c r="A24" s="164" t="s">
        <v>224</v>
      </c>
      <c r="I24" s="164" t="s">
        <v>225</v>
      </c>
    </row>
    <row r="25" spans="1:9" ht="15.75" x14ac:dyDescent="0.25">
      <c r="A25" s="202" t="s">
        <v>227</v>
      </c>
      <c r="I25" s="202" t="s">
        <v>226</v>
      </c>
    </row>
    <row r="44" spans="1:9" ht="18" x14ac:dyDescent="0.25">
      <c r="A44" s="164" t="s">
        <v>231</v>
      </c>
      <c r="I44" s="164" t="s">
        <v>228</v>
      </c>
    </row>
    <row r="45" spans="1:9" ht="15.75" x14ac:dyDescent="0.25">
      <c r="A45" s="202" t="s">
        <v>230</v>
      </c>
      <c r="I45" s="202" t="s">
        <v>229</v>
      </c>
    </row>
    <row r="65" spans="1:9" ht="18" x14ac:dyDescent="0.25">
      <c r="A65" s="164" t="s">
        <v>232</v>
      </c>
      <c r="I65" s="164" t="s">
        <v>233</v>
      </c>
    </row>
    <row r="66" spans="1:9" ht="15.75" x14ac:dyDescent="0.25">
      <c r="A66" s="202" t="s">
        <v>227</v>
      </c>
      <c r="I66" s="202" t="s">
        <v>226</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7"/>
  <sheetViews>
    <sheetView showGridLines="0" zoomScale="85" zoomScaleNormal="85" workbookViewId="0">
      <pane xSplit="2" ySplit="2" topLeftCell="C3" activePane="bottomRight" state="frozen"/>
      <selection activeCell="F1" sqref="F1"/>
      <selection pane="topRight" activeCell="F1" sqref="F1"/>
      <selection pane="bottomLeft" activeCell="F1" sqref="F1"/>
      <selection pane="bottomRight"/>
    </sheetView>
  </sheetViews>
  <sheetFormatPr baseColWidth="10" defaultRowHeight="15" x14ac:dyDescent="0.25"/>
  <cols>
    <col min="1" max="1" width="20.85546875" customWidth="1"/>
    <col min="2" max="2" width="49.85546875" customWidth="1"/>
    <col min="3" max="5" width="19.5703125" customWidth="1"/>
    <col min="7" max="7" width="16.7109375" bestFit="1" customWidth="1"/>
    <col min="8" max="8" width="15.5703125" bestFit="1" customWidth="1"/>
    <col min="14" max="14" width="23.42578125" customWidth="1"/>
  </cols>
  <sheetData>
    <row r="1" spans="1:17" ht="24.75" customHeight="1" x14ac:dyDescent="0.25">
      <c r="A1" s="10"/>
      <c r="B1" s="58"/>
      <c r="C1" s="196">
        <v>2024</v>
      </c>
      <c r="D1" s="196">
        <v>2024</v>
      </c>
      <c r="E1" s="238">
        <v>2024</v>
      </c>
      <c r="F1" s="10"/>
      <c r="G1" s="33"/>
      <c r="H1" s="31"/>
      <c r="I1" s="10"/>
      <c r="J1" s="10"/>
      <c r="K1" s="10"/>
      <c r="L1" s="10"/>
      <c r="M1" s="10"/>
    </row>
    <row r="2" spans="1:17" ht="21" customHeight="1" x14ac:dyDescent="0.25">
      <c r="A2" s="10"/>
      <c r="B2" s="10"/>
      <c r="C2" s="168" t="s">
        <v>58</v>
      </c>
      <c r="D2" s="168" t="s">
        <v>254</v>
      </c>
      <c r="E2" s="239" t="s">
        <v>257</v>
      </c>
      <c r="F2" s="10"/>
      <c r="G2" s="33"/>
      <c r="H2" s="33"/>
      <c r="I2" s="10"/>
      <c r="J2" s="10"/>
      <c r="K2" s="10"/>
      <c r="L2" s="10"/>
      <c r="M2" s="10"/>
    </row>
    <row r="3" spans="1:17" ht="57" customHeight="1" x14ac:dyDescent="0.25">
      <c r="A3" s="291" t="s">
        <v>59</v>
      </c>
      <c r="B3" s="168" t="s">
        <v>60</v>
      </c>
      <c r="C3" s="71">
        <v>134972.37735487398</v>
      </c>
      <c r="D3" s="71">
        <v>144721.94690553017</v>
      </c>
      <c r="E3" s="71">
        <v>171181.81095981257</v>
      </c>
      <c r="F3" s="292" t="s">
        <v>126</v>
      </c>
      <c r="G3" s="292"/>
      <c r="H3" s="292"/>
      <c r="I3" s="292"/>
      <c r="J3" s="292"/>
      <c r="K3" s="292"/>
      <c r="L3" s="292"/>
      <c r="M3" s="292"/>
      <c r="N3" s="32"/>
      <c r="O3" s="32"/>
      <c r="P3" s="32"/>
      <c r="Q3" s="32"/>
    </row>
    <row r="4" spans="1:17" ht="57" customHeight="1" x14ac:dyDescent="0.25">
      <c r="A4" s="291"/>
      <c r="B4" s="168" t="s">
        <v>61</v>
      </c>
      <c r="C4" s="71">
        <v>1214786.91669168</v>
      </c>
      <c r="D4" s="71">
        <v>1683243.6327950198</v>
      </c>
      <c r="E4" s="71">
        <v>2112140.15</v>
      </c>
      <c r="F4" s="292"/>
      <c r="G4" s="292"/>
      <c r="H4" s="292"/>
      <c r="I4" s="292"/>
      <c r="J4" s="292"/>
      <c r="K4" s="292"/>
      <c r="L4" s="292"/>
      <c r="M4" s="292"/>
      <c r="N4" s="32"/>
      <c r="O4" s="32"/>
      <c r="P4" s="32"/>
      <c r="Q4" s="32"/>
    </row>
    <row r="5" spans="1:17" ht="57" customHeight="1" x14ac:dyDescent="0.25">
      <c r="A5" s="291"/>
      <c r="B5" s="168" t="s">
        <v>62</v>
      </c>
      <c r="C5" s="72">
        <f>+C3/C4</f>
        <v>0.11110786221048079</v>
      </c>
      <c r="D5" s="72">
        <f>+D3/D4</f>
        <v>8.5978015354331042E-2</v>
      </c>
      <c r="E5" s="72">
        <f>+E3/E4</f>
        <v>8.1046615661282032E-2</v>
      </c>
      <c r="F5" s="292"/>
      <c r="G5" s="292"/>
      <c r="H5" s="292"/>
      <c r="I5" s="292"/>
      <c r="J5" s="292"/>
      <c r="K5" s="292"/>
      <c r="L5" s="292"/>
      <c r="M5" s="292"/>
      <c r="N5" s="32"/>
      <c r="O5" s="32"/>
      <c r="P5" s="32"/>
      <c r="Q5" s="32"/>
    </row>
    <row r="6" spans="1:17" ht="57" customHeight="1" x14ac:dyDescent="0.25">
      <c r="A6" s="291" t="s">
        <v>63</v>
      </c>
      <c r="B6" s="168" t="s">
        <v>64</v>
      </c>
      <c r="C6" s="71">
        <v>71937.263064545536</v>
      </c>
      <c r="D6" s="71">
        <v>63386.014465503242</v>
      </c>
      <c r="E6" s="71">
        <v>59104.441557116486</v>
      </c>
      <c r="F6" s="292" t="s">
        <v>137</v>
      </c>
      <c r="G6" s="292"/>
      <c r="H6" s="292"/>
      <c r="I6" s="292"/>
      <c r="J6" s="292"/>
      <c r="K6" s="292"/>
      <c r="L6" s="292"/>
      <c r="M6" s="292"/>
      <c r="N6" s="32"/>
      <c r="O6" s="32"/>
      <c r="P6" s="32"/>
      <c r="Q6" s="32"/>
    </row>
    <row r="7" spans="1:17" ht="57" customHeight="1" x14ac:dyDescent="0.25">
      <c r="A7" s="291"/>
      <c r="B7" s="168" t="s">
        <v>65</v>
      </c>
      <c r="C7" s="71">
        <v>876711.50025988009</v>
      </c>
      <c r="D7" s="71">
        <v>1463358.71942516</v>
      </c>
      <c r="E7" s="71">
        <v>1617059.6</v>
      </c>
      <c r="F7" s="292"/>
      <c r="G7" s="292"/>
      <c r="H7" s="292"/>
      <c r="I7" s="292"/>
      <c r="J7" s="292"/>
      <c r="K7" s="292"/>
      <c r="L7" s="292"/>
      <c r="M7" s="292"/>
      <c r="N7" s="32"/>
      <c r="O7" s="32"/>
      <c r="P7" s="32"/>
      <c r="Q7" s="32"/>
    </row>
    <row r="8" spans="1:17" ht="57" customHeight="1" x14ac:dyDescent="0.25">
      <c r="A8" s="291"/>
      <c r="B8" s="168" t="s">
        <v>66</v>
      </c>
      <c r="C8" s="72">
        <f>+C6/C7</f>
        <v>8.2053518224890931E-2</v>
      </c>
      <c r="D8" s="72">
        <f>+D6/D7</f>
        <v>4.331543156445105E-2</v>
      </c>
      <c r="E8" s="72">
        <f>+E6/E7</f>
        <v>3.6550564714569876E-2</v>
      </c>
      <c r="F8" s="292"/>
      <c r="G8" s="292"/>
      <c r="H8" s="292"/>
      <c r="I8" s="292"/>
      <c r="J8" s="292"/>
      <c r="K8" s="292"/>
      <c r="L8" s="292"/>
      <c r="M8" s="292"/>
      <c r="N8" s="32"/>
      <c r="O8" s="32"/>
      <c r="P8" s="32"/>
      <c r="Q8" s="32"/>
    </row>
    <row r="9" spans="1:17" ht="57" customHeight="1" x14ac:dyDescent="0.25">
      <c r="A9" s="291"/>
      <c r="B9" s="168" t="s">
        <v>67</v>
      </c>
      <c r="C9" s="71">
        <v>51726.291057572329</v>
      </c>
      <c r="D9" s="71">
        <v>52717.787017708848</v>
      </c>
      <c r="E9" s="71">
        <v>55452.05601339729</v>
      </c>
      <c r="F9" s="292" t="s">
        <v>138</v>
      </c>
      <c r="G9" s="292"/>
      <c r="H9" s="292"/>
      <c r="I9" s="292"/>
      <c r="J9" s="292"/>
      <c r="K9" s="292"/>
      <c r="L9" s="292"/>
      <c r="M9" s="292"/>
      <c r="N9" s="32"/>
      <c r="O9" s="32"/>
      <c r="P9" s="32"/>
      <c r="Q9" s="32"/>
    </row>
    <row r="10" spans="1:17" ht="57" customHeight="1" x14ac:dyDescent="0.25">
      <c r="A10" s="291"/>
      <c r="B10" s="168" t="s">
        <v>68</v>
      </c>
      <c r="C10" s="71">
        <v>1431784.2292266199</v>
      </c>
      <c r="D10" s="71">
        <v>2010441.5950612999</v>
      </c>
      <c r="E10" s="71">
        <v>2536970.81</v>
      </c>
      <c r="F10" s="292"/>
      <c r="G10" s="292"/>
      <c r="H10" s="292"/>
      <c r="I10" s="292"/>
      <c r="J10" s="292"/>
      <c r="K10" s="292"/>
      <c r="L10" s="292"/>
      <c r="M10" s="292"/>
      <c r="N10" s="32"/>
      <c r="O10" s="32"/>
      <c r="P10" s="32"/>
      <c r="Q10" s="32"/>
    </row>
    <row r="11" spans="1:17" ht="57" customHeight="1" x14ac:dyDescent="0.25">
      <c r="A11" s="291"/>
      <c r="B11" s="168" t="s">
        <v>69</v>
      </c>
      <c r="C11" s="72">
        <f>+C9/C10</f>
        <v>3.6127155196780142E-2</v>
      </c>
      <c r="D11" s="72">
        <f>+D9/D10</f>
        <v>2.6221993788435045E-2</v>
      </c>
      <c r="E11" s="72">
        <f>+E9/E10</f>
        <v>2.1857585351325856E-2</v>
      </c>
      <c r="F11" s="292"/>
      <c r="G11" s="292"/>
      <c r="H11" s="292"/>
      <c r="I11" s="292"/>
      <c r="J11" s="292"/>
      <c r="K11" s="292"/>
      <c r="L11" s="292"/>
      <c r="M11" s="292"/>
      <c r="N11" s="32"/>
      <c r="O11" s="32"/>
      <c r="P11" s="32"/>
      <c r="Q11" s="32"/>
    </row>
    <row r="12" spans="1:17" ht="57" customHeight="1" x14ac:dyDescent="0.25">
      <c r="A12" s="291"/>
      <c r="B12" s="168" t="s">
        <v>70</v>
      </c>
      <c r="C12" s="71">
        <v>60.345689380000003</v>
      </c>
      <c r="D12" s="71">
        <v>54.794667199999999</v>
      </c>
      <c r="E12" s="71">
        <v>49.206436889999999</v>
      </c>
      <c r="F12" s="292" t="s">
        <v>139</v>
      </c>
      <c r="G12" s="292"/>
      <c r="H12" s="292"/>
      <c r="I12" s="292"/>
      <c r="J12" s="292"/>
      <c r="K12" s="292"/>
      <c r="L12" s="292"/>
      <c r="M12" s="292"/>
      <c r="N12" s="32"/>
      <c r="O12" s="32"/>
      <c r="P12" s="32"/>
      <c r="Q12" s="32"/>
    </row>
    <row r="13" spans="1:17" ht="57" customHeight="1" x14ac:dyDescent="0.25">
      <c r="A13" s="291"/>
      <c r="B13" s="168" t="s">
        <v>71</v>
      </c>
      <c r="C13" s="71">
        <v>1431784.2292266199</v>
      </c>
      <c r="D13" s="71">
        <v>2010441.5950612999</v>
      </c>
      <c r="E13" s="71">
        <v>2536970.81</v>
      </c>
      <c r="F13" s="292"/>
      <c r="G13" s="292"/>
      <c r="H13" s="292"/>
      <c r="I13" s="292"/>
      <c r="J13" s="292"/>
      <c r="K13" s="292"/>
      <c r="L13" s="292"/>
      <c r="M13" s="292"/>
      <c r="N13" s="32"/>
      <c r="O13" s="32"/>
      <c r="P13" s="32"/>
      <c r="Q13" s="32"/>
    </row>
    <row r="14" spans="1:17" ht="57" customHeight="1" x14ac:dyDescent="0.25">
      <c r="A14" s="291"/>
      <c r="B14" s="168" t="s">
        <v>72</v>
      </c>
      <c r="C14" s="203">
        <f>+C12/C13</f>
        <v>4.2147195190574073E-5</v>
      </c>
      <c r="D14" s="203">
        <f>+D12/D13</f>
        <v>2.7255040551590493E-5</v>
      </c>
      <c r="E14" s="203">
        <f>+E12/E13</f>
        <v>1.9395744206453837E-5</v>
      </c>
      <c r="F14" s="292"/>
      <c r="G14" s="292"/>
      <c r="H14" s="292"/>
      <c r="I14" s="292"/>
      <c r="J14" s="292"/>
      <c r="K14" s="292"/>
      <c r="L14" s="292"/>
      <c r="M14" s="292"/>
      <c r="N14" s="32"/>
      <c r="O14" s="32"/>
      <c r="P14" s="32"/>
      <c r="Q14" s="32"/>
    </row>
    <row r="15" spans="1:17" ht="57" customHeight="1" x14ac:dyDescent="0.25">
      <c r="A15" s="291"/>
      <c r="B15" s="168" t="s">
        <v>73</v>
      </c>
      <c r="C15" s="71">
        <v>71458.908726737514</v>
      </c>
      <c r="D15" s="71">
        <v>81203.696846173669</v>
      </c>
      <c r="E15" s="71">
        <v>77036.407967662482</v>
      </c>
      <c r="F15" s="292" t="s">
        <v>140</v>
      </c>
      <c r="G15" s="292"/>
      <c r="H15" s="292"/>
      <c r="I15" s="292"/>
      <c r="J15" s="292"/>
      <c r="K15" s="292"/>
      <c r="L15" s="292"/>
      <c r="M15" s="292"/>
      <c r="N15" s="32"/>
      <c r="O15" s="32"/>
      <c r="P15" s="32"/>
      <c r="Q15" s="32"/>
    </row>
    <row r="16" spans="1:17" ht="57" customHeight="1" x14ac:dyDescent="0.25">
      <c r="A16" s="291"/>
      <c r="B16" s="168" t="s">
        <v>74</v>
      </c>
      <c r="C16" s="71">
        <v>628147.59332671005</v>
      </c>
      <c r="D16" s="71">
        <v>892649.14029255009</v>
      </c>
      <c r="E16" s="71">
        <v>1157666.1300000001</v>
      </c>
      <c r="F16" s="292"/>
      <c r="G16" s="292"/>
      <c r="H16" s="292"/>
      <c r="I16" s="292"/>
      <c r="J16" s="292"/>
      <c r="K16" s="292"/>
      <c r="L16" s="292"/>
      <c r="M16" s="292"/>
      <c r="N16" s="32"/>
      <c r="O16" s="32"/>
      <c r="P16" s="32"/>
      <c r="Q16" s="32"/>
    </row>
    <row r="17" spans="1:17" ht="57" customHeight="1" x14ac:dyDescent="0.25">
      <c r="A17" s="291"/>
      <c r="B17" s="168" t="s">
        <v>75</v>
      </c>
      <c r="C17" s="72">
        <f>+C15/C16</f>
        <v>0.11376133489310457</v>
      </c>
      <c r="D17" s="72">
        <f>+D15/D16</f>
        <v>9.0969332944812548E-2</v>
      </c>
      <c r="E17" s="72">
        <f>+E15/E16</f>
        <v>6.6544581353228743E-2</v>
      </c>
      <c r="F17" s="292"/>
      <c r="G17" s="292"/>
      <c r="H17" s="292"/>
      <c r="I17" s="292"/>
      <c r="J17" s="292"/>
      <c r="K17" s="292"/>
      <c r="L17" s="292"/>
      <c r="M17" s="292"/>
      <c r="N17" s="32"/>
      <c r="O17" s="32"/>
      <c r="P17" s="32"/>
      <c r="Q17" s="32"/>
    </row>
  </sheetData>
  <mergeCells count="7">
    <mergeCell ref="A3:A5"/>
    <mergeCell ref="F3:M5"/>
    <mergeCell ref="A6:A17"/>
    <mergeCell ref="F6:M8"/>
    <mergeCell ref="F9:M11"/>
    <mergeCell ref="F12:M14"/>
    <mergeCell ref="F15:M1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U9"/>
  <sheetViews>
    <sheetView showGridLines="0" workbookViewId="0"/>
  </sheetViews>
  <sheetFormatPr baseColWidth="10" defaultRowHeight="15" x14ac:dyDescent="0.25"/>
  <cols>
    <col min="1" max="1" width="4.5703125" customWidth="1"/>
    <col min="2" max="2" width="39.85546875" customWidth="1"/>
    <col min="3" max="3" width="11.28515625" customWidth="1"/>
    <col min="4" max="4" width="9.85546875" customWidth="1"/>
    <col min="5" max="5" width="11" customWidth="1"/>
    <col min="6" max="6" width="13.42578125" customWidth="1"/>
    <col min="7" max="9" width="12.42578125" customWidth="1"/>
    <col min="10" max="10" width="6.28515625" customWidth="1"/>
    <col min="11" max="11" width="6.42578125" customWidth="1"/>
    <col min="12" max="12" width="6.85546875" customWidth="1"/>
    <col min="13" max="13" width="9.28515625" customWidth="1"/>
    <col min="14" max="14" width="11.28515625" customWidth="1"/>
    <col min="259" max="259" width="39.85546875" customWidth="1"/>
    <col min="260" max="260" width="11.28515625" customWidth="1"/>
    <col min="261" max="261" width="9.85546875" customWidth="1"/>
    <col min="262" max="262" width="11" customWidth="1"/>
    <col min="263" max="263" width="13.42578125" customWidth="1"/>
    <col min="264" max="265" width="12.42578125" customWidth="1"/>
    <col min="266" max="266" width="6.28515625" customWidth="1"/>
    <col min="267" max="267" width="6.42578125" customWidth="1"/>
    <col min="268" max="268" width="6.85546875" customWidth="1"/>
    <col min="269" max="269" width="9.28515625" customWidth="1"/>
    <col min="270" max="270" width="11.28515625" customWidth="1"/>
    <col min="515" max="515" width="39.85546875" customWidth="1"/>
    <col min="516" max="516" width="11.28515625" customWidth="1"/>
    <col min="517" max="517" width="9.85546875" customWidth="1"/>
    <col min="518" max="518" width="11" customWidth="1"/>
    <col min="519" max="519" width="13.42578125" customWidth="1"/>
    <col min="520" max="521" width="12.42578125" customWidth="1"/>
    <col min="522" max="522" width="6.28515625" customWidth="1"/>
    <col min="523" max="523" width="6.42578125" customWidth="1"/>
    <col min="524" max="524" width="6.85546875" customWidth="1"/>
    <col min="525" max="525" width="9.28515625" customWidth="1"/>
    <col min="526" max="526" width="11.28515625" customWidth="1"/>
    <col min="771" max="771" width="39.85546875" customWidth="1"/>
    <col min="772" max="772" width="11.28515625" customWidth="1"/>
    <col min="773" max="773" width="9.85546875" customWidth="1"/>
    <col min="774" max="774" width="11" customWidth="1"/>
    <col min="775" max="775" width="13.42578125" customWidth="1"/>
    <col min="776" max="777" width="12.42578125" customWidth="1"/>
    <col min="778" max="778" width="6.28515625" customWidth="1"/>
    <col min="779" max="779" width="6.42578125" customWidth="1"/>
    <col min="780" max="780" width="6.85546875" customWidth="1"/>
    <col min="781" max="781" width="9.28515625" customWidth="1"/>
    <col min="782" max="782" width="11.28515625" customWidth="1"/>
    <col min="1027" max="1027" width="39.85546875" customWidth="1"/>
    <col min="1028" max="1028" width="11.28515625" customWidth="1"/>
    <col min="1029" max="1029" width="9.85546875" customWidth="1"/>
    <col min="1030" max="1030" width="11" customWidth="1"/>
    <col min="1031" max="1031" width="13.42578125" customWidth="1"/>
    <col min="1032" max="1033" width="12.42578125" customWidth="1"/>
    <col min="1034" max="1034" width="6.28515625" customWidth="1"/>
    <col min="1035" max="1035" width="6.42578125" customWidth="1"/>
    <col min="1036" max="1036" width="6.85546875" customWidth="1"/>
    <col min="1037" max="1037" width="9.28515625" customWidth="1"/>
    <col min="1038" max="1038" width="11.28515625" customWidth="1"/>
    <col min="1283" max="1283" width="39.85546875" customWidth="1"/>
    <col min="1284" max="1284" width="11.28515625" customWidth="1"/>
    <col min="1285" max="1285" width="9.85546875" customWidth="1"/>
    <col min="1286" max="1286" width="11" customWidth="1"/>
    <col min="1287" max="1287" width="13.42578125" customWidth="1"/>
    <col min="1288" max="1289" width="12.42578125" customWidth="1"/>
    <col min="1290" max="1290" width="6.28515625" customWidth="1"/>
    <col min="1291" max="1291" width="6.42578125" customWidth="1"/>
    <col min="1292" max="1292" width="6.85546875" customWidth="1"/>
    <col min="1293" max="1293" width="9.28515625" customWidth="1"/>
    <col min="1294" max="1294" width="11.28515625" customWidth="1"/>
    <col min="1539" max="1539" width="39.85546875" customWidth="1"/>
    <col min="1540" max="1540" width="11.28515625" customWidth="1"/>
    <col min="1541" max="1541" width="9.85546875" customWidth="1"/>
    <col min="1542" max="1542" width="11" customWidth="1"/>
    <col min="1543" max="1543" width="13.42578125" customWidth="1"/>
    <col min="1544" max="1545" width="12.42578125" customWidth="1"/>
    <col min="1546" max="1546" width="6.28515625" customWidth="1"/>
    <col min="1547" max="1547" width="6.42578125" customWidth="1"/>
    <col min="1548" max="1548" width="6.85546875" customWidth="1"/>
    <col min="1549" max="1549" width="9.28515625" customWidth="1"/>
    <col min="1550" max="1550" width="11.28515625" customWidth="1"/>
    <col min="1795" max="1795" width="39.85546875" customWidth="1"/>
    <col min="1796" max="1796" width="11.28515625" customWidth="1"/>
    <col min="1797" max="1797" width="9.85546875" customWidth="1"/>
    <col min="1798" max="1798" width="11" customWidth="1"/>
    <col min="1799" max="1799" width="13.42578125" customWidth="1"/>
    <col min="1800" max="1801" width="12.42578125" customWidth="1"/>
    <col min="1802" max="1802" width="6.28515625" customWidth="1"/>
    <col min="1803" max="1803" width="6.42578125" customWidth="1"/>
    <col min="1804" max="1804" width="6.85546875" customWidth="1"/>
    <col min="1805" max="1805" width="9.28515625" customWidth="1"/>
    <col min="1806" max="1806" width="11.28515625" customWidth="1"/>
    <col min="2051" max="2051" width="39.85546875" customWidth="1"/>
    <col min="2052" max="2052" width="11.28515625" customWidth="1"/>
    <col min="2053" max="2053" width="9.85546875" customWidth="1"/>
    <col min="2054" max="2054" width="11" customWidth="1"/>
    <col min="2055" max="2055" width="13.42578125" customWidth="1"/>
    <col min="2056" max="2057" width="12.42578125" customWidth="1"/>
    <col min="2058" max="2058" width="6.28515625" customWidth="1"/>
    <col min="2059" max="2059" width="6.42578125" customWidth="1"/>
    <col min="2060" max="2060" width="6.85546875" customWidth="1"/>
    <col min="2061" max="2061" width="9.28515625" customWidth="1"/>
    <col min="2062" max="2062" width="11.28515625" customWidth="1"/>
    <col min="2307" max="2307" width="39.85546875" customWidth="1"/>
    <col min="2308" max="2308" width="11.28515625" customWidth="1"/>
    <col min="2309" max="2309" width="9.85546875" customWidth="1"/>
    <col min="2310" max="2310" width="11" customWidth="1"/>
    <col min="2311" max="2311" width="13.42578125" customWidth="1"/>
    <col min="2312" max="2313" width="12.42578125" customWidth="1"/>
    <col min="2314" max="2314" width="6.28515625" customWidth="1"/>
    <col min="2315" max="2315" width="6.42578125" customWidth="1"/>
    <col min="2316" max="2316" width="6.85546875" customWidth="1"/>
    <col min="2317" max="2317" width="9.28515625" customWidth="1"/>
    <col min="2318" max="2318" width="11.28515625" customWidth="1"/>
    <col min="2563" max="2563" width="39.85546875" customWidth="1"/>
    <col min="2564" max="2564" width="11.28515625" customWidth="1"/>
    <col min="2565" max="2565" width="9.85546875" customWidth="1"/>
    <col min="2566" max="2566" width="11" customWidth="1"/>
    <col min="2567" max="2567" width="13.42578125" customWidth="1"/>
    <col min="2568" max="2569" width="12.42578125" customWidth="1"/>
    <col min="2570" max="2570" width="6.28515625" customWidth="1"/>
    <col min="2571" max="2571" width="6.42578125" customWidth="1"/>
    <col min="2572" max="2572" width="6.85546875" customWidth="1"/>
    <col min="2573" max="2573" width="9.28515625" customWidth="1"/>
    <col min="2574" max="2574" width="11.28515625" customWidth="1"/>
    <col min="2819" max="2819" width="39.85546875" customWidth="1"/>
    <col min="2820" max="2820" width="11.28515625" customWidth="1"/>
    <col min="2821" max="2821" width="9.85546875" customWidth="1"/>
    <col min="2822" max="2822" width="11" customWidth="1"/>
    <col min="2823" max="2823" width="13.42578125" customWidth="1"/>
    <col min="2824" max="2825" width="12.42578125" customWidth="1"/>
    <col min="2826" max="2826" width="6.28515625" customWidth="1"/>
    <col min="2827" max="2827" width="6.42578125" customWidth="1"/>
    <col min="2828" max="2828" width="6.85546875" customWidth="1"/>
    <col min="2829" max="2829" width="9.28515625" customWidth="1"/>
    <col min="2830" max="2830" width="11.28515625" customWidth="1"/>
    <col min="3075" max="3075" width="39.85546875" customWidth="1"/>
    <col min="3076" max="3076" width="11.28515625" customWidth="1"/>
    <col min="3077" max="3077" width="9.85546875" customWidth="1"/>
    <col min="3078" max="3078" width="11" customWidth="1"/>
    <col min="3079" max="3079" width="13.42578125" customWidth="1"/>
    <col min="3080" max="3081" width="12.42578125" customWidth="1"/>
    <col min="3082" max="3082" width="6.28515625" customWidth="1"/>
    <col min="3083" max="3083" width="6.42578125" customWidth="1"/>
    <col min="3084" max="3084" width="6.85546875" customWidth="1"/>
    <col min="3085" max="3085" width="9.28515625" customWidth="1"/>
    <col min="3086" max="3086" width="11.28515625" customWidth="1"/>
    <col min="3331" max="3331" width="39.85546875" customWidth="1"/>
    <col min="3332" max="3332" width="11.28515625" customWidth="1"/>
    <col min="3333" max="3333" width="9.85546875" customWidth="1"/>
    <col min="3334" max="3334" width="11" customWidth="1"/>
    <col min="3335" max="3335" width="13.42578125" customWidth="1"/>
    <col min="3336" max="3337" width="12.42578125" customWidth="1"/>
    <col min="3338" max="3338" width="6.28515625" customWidth="1"/>
    <col min="3339" max="3339" width="6.42578125" customWidth="1"/>
    <col min="3340" max="3340" width="6.85546875" customWidth="1"/>
    <col min="3341" max="3341" width="9.28515625" customWidth="1"/>
    <col min="3342" max="3342" width="11.28515625" customWidth="1"/>
    <col min="3587" max="3587" width="39.85546875" customWidth="1"/>
    <col min="3588" max="3588" width="11.28515625" customWidth="1"/>
    <col min="3589" max="3589" width="9.85546875" customWidth="1"/>
    <col min="3590" max="3590" width="11" customWidth="1"/>
    <col min="3591" max="3591" width="13.42578125" customWidth="1"/>
    <col min="3592" max="3593" width="12.42578125" customWidth="1"/>
    <col min="3594" max="3594" width="6.28515625" customWidth="1"/>
    <col min="3595" max="3595" width="6.42578125" customWidth="1"/>
    <col min="3596" max="3596" width="6.85546875" customWidth="1"/>
    <col min="3597" max="3597" width="9.28515625" customWidth="1"/>
    <col min="3598" max="3598" width="11.28515625" customWidth="1"/>
    <col min="3843" max="3843" width="39.85546875" customWidth="1"/>
    <col min="3844" max="3844" width="11.28515625" customWidth="1"/>
    <col min="3845" max="3845" width="9.85546875" customWidth="1"/>
    <col min="3846" max="3846" width="11" customWidth="1"/>
    <col min="3847" max="3847" width="13.42578125" customWidth="1"/>
    <col min="3848" max="3849" width="12.42578125" customWidth="1"/>
    <col min="3850" max="3850" width="6.28515625" customWidth="1"/>
    <col min="3851" max="3851" width="6.42578125" customWidth="1"/>
    <col min="3852" max="3852" width="6.85546875" customWidth="1"/>
    <col min="3853" max="3853" width="9.28515625" customWidth="1"/>
    <col min="3854" max="3854" width="11.28515625" customWidth="1"/>
    <col min="4099" max="4099" width="39.85546875" customWidth="1"/>
    <col min="4100" max="4100" width="11.28515625" customWidth="1"/>
    <col min="4101" max="4101" width="9.85546875" customWidth="1"/>
    <col min="4102" max="4102" width="11" customWidth="1"/>
    <col min="4103" max="4103" width="13.42578125" customWidth="1"/>
    <col min="4104" max="4105" width="12.42578125" customWidth="1"/>
    <col min="4106" max="4106" width="6.28515625" customWidth="1"/>
    <col min="4107" max="4107" width="6.42578125" customWidth="1"/>
    <col min="4108" max="4108" width="6.85546875" customWidth="1"/>
    <col min="4109" max="4109" width="9.28515625" customWidth="1"/>
    <col min="4110" max="4110" width="11.28515625" customWidth="1"/>
    <col min="4355" max="4355" width="39.85546875" customWidth="1"/>
    <col min="4356" max="4356" width="11.28515625" customWidth="1"/>
    <col min="4357" max="4357" width="9.85546875" customWidth="1"/>
    <col min="4358" max="4358" width="11" customWidth="1"/>
    <col min="4359" max="4359" width="13.42578125" customWidth="1"/>
    <col min="4360" max="4361" width="12.42578125" customWidth="1"/>
    <col min="4362" max="4362" width="6.28515625" customWidth="1"/>
    <col min="4363" max="4363" width="6.42578125" customWidth="1"/>
    <col min="4364" max="4364" width="6.85546875" customWidth="1"/>
    <col min="4365" max="4365" width="9.28515625" customWidth="1"/>
    <col min="4366" max="4366" width="11.28515625" customWidth="1"/>
    <col min="4611" max="4611" width="39.85546875" customWidth="1"/>
    <col min="4612" max="4612" width="11.28515625" customWidth="1"/>
    <col min="4613" max="4613" width="9.85546875" customWidth="1"/>
    <col min="4614" max="4614" width="11" customWidth="1"/>
    <col min="4615" max="4615" width="13.42578125" customWidth="1"/>
    <col min="4616" max="4617" width="12.42578125" customWidth="1"/>
    <col min="4618" max="4618" width="6.28515625" customWidth="1"/>
    <col min="4619" max="4619" width="6.42578125" customWidth="1"/>
    <col min="4620" max="4620" width="6.85546875" customWidth="1"/>
    <col min="4621" max="4621" width="9.28515625" customWidth="1"/>
    <col min="4622" max="4622" width="11.28515625" customWidth="1"/>
    <col min="4867" max="4867" width="39.85546875" customWidth="1"/>
    <col min="4868" max="4868" width="11.28515625" customWidth="1"/>
    <col min="4869" max="4869" width="9.85546875" customWidth="1"/>
    <col min="4870" max="4870" width="11" customWidth="1"/>
    <col min="4871" max="4871" width="13.42578125" customWidth="1"/>
    <col min="4872" max="4873" width="12.42578125" customWidth="1"/>
    <col min="4874" max="4874" width="6.28515625" customWidth="1"/>
    <col min="4875" max="4875" width="6.42578125" customWidth="1"/>
    <col min="4876" max="4876" width="6.85546875" customWidth="1"/>
    <col min="4877" max="4877" width="9.28515625" customWidth="1"/>
    <col min="4878" max="4878" width="11.28515625" customWidth="1"/>
    <col min="5123" max="5123" width="39.85546875" customWidth="1"/>
    <col min="5124" max="5124" width="11.28515625" customWidth="1"/>
    <col min="5125" max="5125" width="9.85546875" customWidth="1"/>
    <col min="5126" max="5126" width="11" customWidth="1"/>
    <col min="5127" max="5127" width="13.42578125" customWidth="1"/>
    <col min="5128" max="5129" width="12.42578125" customWidth="1"/>
    <col min="5130" max="5130" width="6.28515625" customWidth="1"/>
    <col min="5131" max="5131" width="6.42578125" customWidth="1"/>
    <col min="5132" max="5132" width="6.85546875" customWidth="1"/>
    <col min="5133" max="5133" width="9.28515625" customWidth="1"/>
    <col min="5134" max="5134" width="11.28515625" customWidth="1"/>
    <col min="5379" max="5379" width="39.85546875" customWidth="1"/>
    <col min="5380" max="5380" width="11.28515625" customWidth="1"/>
    <col min="5381" max="5381" width="9.85546875" customWidth="1"/>
    <col min="5382" max="5382" width="11" customWidth="1"/>
    <col min="5383" max="5383" width="13.42578125" customWidth="1"/>
    <col min="5384" max="5385" width="12.42578125" customWidth="1"/>
    <col min="5386" max="5386" width="6.28515625" customWidth="1"/>
    <col min="5387" max="5387" width="6.42578125" customWidth="1"/>
    <col min="5388" max="5388" width="6.85546875" customWidth="1"/>
    <col min="5389" max="5389" width="9.28515625" customWidth="1"/>
    <col min="5390" max="5390" width="11.28515625" customWidth="1"/>
    <col min="5635" max="5635" width="39.85546875" customWidth="1"/>
    <col min="5636" max="5636" width="11.28515625" customWidth="1"/>
    <col min="5637" max="5637" width="9.85546875" customWidth="1"/>
    <col min="5638" max="5638" width="11" customWidth="1"/>
    <col min="5639" max="5639" width="13.42578125" customWidth="1"/>
    <col min="5640" max="5641" width="12.42578125" customWidth="1"/>
    <col min="5642" max="5642" width="6.28515625" customWidth="1"/>
    <col min="5643" max="5643" width="6.42578125" customWidth="1"/>
    <col min="5644" max="5644" width="6.85546875" customWidth="1"/>
    <col min="5645" max="5645" width="9.28515625" customWidth="1"/>
    <col min="5646" max="5646" width="11.28515625" customWidth="1"/>
    <col min="5891" max="5891" width="39.85546875" customWidth="1"/>
    <col min="5892" max="5892" width="11.28515625" customWidth="1"/>
    <col min="5893" max="5893" width="9.85546875" customWidth="1"/>
    <col min="5894" max="5894" width="11" customWidth="1"/>
    <col min="5895" max="5895" width="13.42578125" customWidth="1"/>
    <col min="5896" max="5897" width="12.42578125" customWidth="1"/>
    <col min="5898" max="5898" width="6.28515625" customWidth="1"/>
    <col min="5899" max="5899" width="6.42578125" customWidth="1"/>
    <col min="5900" max="5900" width="6.85546875" customWidth="1"/>
    <col min="5901" max="5901" width="9.28515625" customWidth="1"/>
    <col min="5902" max="5902" width="11.28515625" customWidth="1"/>
    <col min="6147" max="6147" width="39.85546875" customWidth="1"/>
    <col min="6148" max="6148" width="11.28515625" customWidth="1"/>
    <col min="6149" max="6149" width="9.85546875" customWidth="1"/>
    <col min="6150" max="6150" width="11" customWidth="1"/>
    <col min="6151" max="6151" width="13.42578125" customWidth="1"/>
    <col min="6152" max="6153" width="12.42578125" customWidth="1"/>
    <col min="6154" max="6154" width="6.28515625" customWidth="1"/>
    <col min="6155" max="6155" width="6.42578125" customWidth="1"/>
    <col min="6156" max="6156" width="6.85546875" customWidth="1"/>
    <col min="6157" max="6157" width="9.28515625" customWidth="1"/>
    <col min="6158" max="6158" width="11.28515625" customWidth="1"/>
    <col min="6403" max="6403" width="39.85546875" customWidth="1"/>
    <col min="6404" max="6404" width="11.28515625" customWidth="1"/>
    <col min="6405" max="6405" width="9.85546875" customWidth="1"/>
    <col min="6406" max="6406" width="11" customWidth="1"/>
    <col min="6407" max="6407" width="13.42578125" customWidth="1"/>
    <col min="6408" max="6409" width="12.42578125" customWidth="1"/>
    <col min="6410" max="6410" width="6.28515625" customWidth="1"/>
    <col min="6411" max="6411" width="6.42578125" customWidth="1"/>
    <col min="6412" max="6412" width="6.85546875" customWidth="1"/>
    <col min="6413" max="6413" width="9.28515625" customWidth="1"/>
    <col min="6414" max="6414" width="11.28515625" customWidth="1"/>
    <col min="6659" max="6659" width="39.85546875" customWidth="1"/>
    <col min="6660" max="6660" width="11.28515625" customWidth="1"/>
    <col min="6661" max="6661" width="9.85546875" customWidth="1"/>
    <col min="6662" max="6662" width="11" customWidth="1"/>
    <col min="6663" max="6663" width="13.42578125" customWidth="1"/>
    <col min="6664" max="6665" width="12.42578125" customWidth="1"/>
    <col min="6666" max="6666" width="6.28515625" customWidth="1"/>
    <col min="6667" max="6667" width="6.42578125" customWidth="1"/>
    <col min="6668" max="6668" width="6.85546875" customWidth="1"/>
    <col min="6669" max="6669" width="9.28515625" customWidth="1"/>
    <col min="6670" max="6670" width="11.28515625" customWidth="1"/>
    <col min="6915" max="6915" width="39.85546875" customWidth="1"/>
    <col min="6916" max="6916" width="11.28515625" customWidth="1"/>
    <col min="6917" max="6917" width="9.85546875" customWidth="1"/>
    <col min="6918" max="6918" width="11" customWidth="1"/>
    <col min="6919" max="6919" width="13.42578125" customWidth="1"/>
    <col min="6920" max="6921" width="12.42578125" customWidth="1"/>
    <col min="6922" max="6922" width="6.28515625" customWidth="1"/>
    <col min="6923" max="6923" width="6.42578125" customWidth="1"/>
    <col min="6924" max="6924" width="6.85546875" customWidth="1"/>
    <col min="6925" max="6925" width="9.28515625" customWidth="1"/>
    <col min="6926" max="6926" width="11.28515625" customWidth="1"/>
    <col min="7171" max="7171" width="39.85546875" customWidth="1"/>
    <col min="7172" max="7172" width="11.28515625" customWidth="1"/>
    <col min="7173" max="7173" width="9.85546875" customWidth="1"/>
    <col min="7174" max="7174" width="11" customWidth="1"/>
    <col min="7175" max="7175" width="13.42578125" customWidth="1"/>
    <col min="7176" max="7177" width="12.42578125" customWidth="1"/>
    <col min="7178" max="7178" width="6.28515625" customWidth="1"/>
    <col min="7179" max="7179" width="6.42578125" customWidth="1"/>
    <col min="7180" max="7180" width="6.85546875" customWidth="1"/>
    <col min="7181" max="7181" width="9.28515625" customWidth="1"/>
    <col min="7182" max="7182" width="11.28515625" customWidth="1"/>
    <col min="7427" max="7427" width="39.85546875" customWidth="1"/>
    <col min="7428" max="7428" width="11.28515625" customWidth="1"/>
    <col min="7429" max="7429" width="9.85546875" customWidth="1"/>
    <col min="7430" max="7430" width="11" customWidth="1"/>
    <col min="7431" max="7431" width="13.42578125" customWidth="1"/>
    <col min="7432" max="7433" width="12.42578125" customWidth="1"/>
    <col min="7434" max="7434" width="6.28515625" customWidth="1"/>
    <col min="7435" max="7435" width="6.42578125" customWidth="1"/>
    <col min="7436" max="7436" width="6.85546875" customWidth="1"/>
    <col min="7437" max="7437" width="9.28515625" customWidth="1"/>
    <col min="7438" max="7438" width="11.28515625" customWidth="1"/>
    <col min="7683" max="7683" width="39.85546875" customWidth="1"/>
    <col min="7684" max="7684" width="11.28515625" customWidth="1"/>
    <col min="7685" max="7685" width="9.85546875" customWidth="1"/>
    <col min="7686" max="7686" width="11" customWidth="1"/>
    <col min="7687" max="7687" width="13.42578125" customWidth="1"/>
    <col min="7688" max="7689" width="12.42578125" customWidth="1"/>
    <col min="7690" max="7690" width="6.28515625" customWidth="1"/>
    <col min="7691" max="7691" width="6.42578125" customWidth="1"/>
    <col min="7692" max="7692" width="6.85546875" customWidth="1"/>
    <col min="7693" max="7693" width="9.28515625" customWidth="1"/>
    <col min="7694" max="7694" width="11.28515625" customWidth="1"/>
    <col min="7939" max="7939" width="39.85546875" customWidth="1"/>
    <col min="7940" max="7940" width="11.28515625" customWidth="1"/>
    <col min="7941" max="7941" width="9.85546875" customWidth="1"/>
    <col min="7942" max="7942" width="11" customWidth="1"/>
    <col min="7943" max="7943" width="13.42578125" customWidth="1"/>
    <col min="7944" max="7945" width="12.42578125" customWidth="1"/>
    <col min="7946" max="7946" width="6.28515625" customWidth="1"/>
    <col min="7947" max="7947" width="6.42578125" customWidth="1"/>
    <col min="7948" max="7948" width="6.85546875" customWidth="1"/>
    <col min="7949" max="7949" width="9.28515625" customWidth="1"/>
    <col min="7950" max="7950" width="11.28515625" customWidth="1"/>
    <col min="8195" max="8195" width="39.85546875" customWidth="1"/>
    <col min="8196" max="8196" width="11.28515625" customWidth="1"/>
    <col min="8197" max="8197" width="9.85546875" customWidth="1"/>
    <col min="8198" max="8198" width="11" customWidth="1"/>
    <col min="8199" max="8199" width="13.42578125" customWidth="1"/>
    <col min="8200" max="8201" width="12.42578125" customWidth="1"/>
    <col min="8202" max="8202" width="6.28515625" customWidth="1"/>
    <col min="8203" max="8203" width="6.42578125" customWidth="1"/>
    <col min="8204" max="8204" width="6.85546875" customWidth="1"/>
    <col min="8205" max="8205" width="9.28515625" customWidth="1"/>
    <col min="8206" max="8206" width="11.28515625" customWidth="1"/>
    <col min="8451" max="8451" width="39.85546875" customWidth="1"/>
    <col min="8452" max="8452" width="11.28515625" customWidth="1"/>
    <col min="8453" max="8453" width="9.85546875" customWidth="1"/>
    <col min="8454" max="8454" width="11" customWidth="1"/>
    <col min="8455" max="8455" width="13.42578125" customWidth="1"/>
    <col min="8456" max="8457" width="12.42578125" customWidth="1"/>
    <col min="8458" max="8458" width="6.28515625" customWidth="1"/>
    <col min="8459" max="8459" width="6.42578125" customWidth="1"/>
    <col min="8460" max="8460" width="6.85546875" customWidth="1"/>
    <col min="8461" max="8461" width="9.28515625" customWidth="1"/>
    <col min="8462" max="8462" width="11.28515625" customWidth="1"/>
    <col min="8707" max="8707" width="39.85546875" customWidth="1"/>
    <col min="8708" max="8708" width="11.28515625" customWidth="1"/>
    <col min="8709" max="8709" width="9.85546875" customWidth="1"/>
    <col min="8710" max="8710" width="11" customWidth="1"/>
    <col min="8711" max="8711" width="13.42578125" customWidth="1"/>
    <col min="8712" max="8713" width="12.42578125" customWidth="1"/>
    <col min="8714" max="8714" width="6.28515625" customWidth="1"/>
    <col min="8715" max="8715" width="6.42578125" customWidth="1"/>
    <col min="8716" max="8716" width="6.85546875" customWidth="1"/>
    <col min="8717" max="8717" width="9.28515625" customWidth="1"/>
    <col min="8718" max="8718" width="11.28515625" customWidth="1"/>
    <col min="8963" max="8963" width="39.85546875" customWidth="1"/>
    <col min="8964" max="8964" width="11.28515625" customWidth="1"/>
    <col min="8965" max="8965" width="9.85546875" customWidth="1"/>
    <col min="8966" max="8966" width="11" customWidth="1"/>
    <col min="8967" max="8967" width="13.42578125" customWidth="1"/>
    <col min="8968" max="8969" width="12.42578125" customWidth="1"/>
    <col min="8970" max="8970" width="6.28515625" customWidth="1"/>
    <col min="8971" max="8971" width="6.42578125" customWidth="1"/>
    <col min="8972" max="8972" width="6.85546875" customWidth="1"/>
    <col min="8973" max="8973" width="9.28515625" customWidth="1"/>
    <col min="8974" max="8974" width="11.28515625" customWidth="1"/>
    <col min="9219" max="9219" width="39.85546875" customWidth="1"/>
    <col min="9220" max="9220" width="11.28515625" customWidth="1"/>
    <col min="9221" max="9221" width="9.85546875" customWidth="1"/>
    <col min="9222" max="9222" width="11" customWidth="1"/>
    <col min="9223" max="9223" width="13.42578125" customWidth="1"/>
    <col min="9224" max="9225" width="12.42578125" customWidth="1"/>
    <col min="9226" max="9226" width="6.28515625" customWidth="1"/>
    <col min="9227" max="9227" width="6.42578125" customWidth="1"/>
    <col min="9228" max="9228" width="6.85546875" customWidth="1"/>
    <col min="9229" max="9229" width="9.28515625" customWidth="1"/>
    <col min="9230" max="9230" width="11.28515625" customWidth="1"/>
    <col min="9475" max="9475" width="39.85546875" customWidth="1"/>
    <col min="9476" max="9476" width="11.28515625" customWidth="1"/>
    <col min="9477" max="9477" width="9.85546875" customWidth="1"/>
    <col min="9478" max="9478" width="11" customWidth="1"/>
    <col min="9479" max="9479" width="13.42578125" customWidth="1"/>
    <col min="9480" max="9481" width="12.42578125" customWidth="1"/>
    <col min="9482" max="9482" width="6.28515625" customWidth="1"/>
    <col min="9483" max="9483" width="6.42578125" customWidth="1"/>
    <col min="9484" max="9484" width="6.85546875" customWidth="1"/>
    <col min="9485" max="9485" width="9.28515625" customWidth="1"/>
    <col min="9486" max="9486" width="11.28515625" customWidth="1"/>
    <col min="9731" max="9731" width="39.85546875" customWidth="1"/>
    <col min="9732" max="9732" width="11.28515625" customWidth="1"/>
    <col min="9733" max="9733" width="9.85546875" customWidth="1"/>
    <col min="9734" max="9734" width="11" customWidth="1"/>
    <col min="9735" max="9735" width="13.42578125" customWidth="1"/>
    <col min="9736" max="9737" width="12.42578125" customWidth="1"/>
    <col min="9738" max="9738" width="6.28515625" customWidth="1"/>
    <col min="9739" max="9739" width="6.42578125" customWidth="1"/>
    <col min="9740" max="9740" width="6.85546875" customWidth="1"/>
    <col min="9741" max="9741" width="9.28515625" customWidth="1"/>
    <col min="9742" max="9742" width="11.28515625" customWidth="1"/>
    <col min="9987" max="9987" width="39.85546875" customWidth="1"/>
    <col min="9988" max="9988" width="11.28515625" customWidth="1"/>
    <col min="9989" max="9989" width="9.85546875" customWidth="1"/>
    <col min="9990" max="9990" width="11" customWidth="1"/>
    <col min="9991" max="9991" width="13.42578125" customWidth="1"/>
    <col min="9992" max="9993" width="12.42578125" customWidth="1"/>
    <col min="9994" max="9994" width="6.28515625" customWidth="1"/>
    <col min="9995" max="9995" width="6.42578125" customWidth="1"/>
    <col min="9996" max="9996" width="6.85546875" customWidth="1"/>
    <col min="9997" max="9997" width="9.28515625" customWidth="1"/>
    <col min="9998" max="9998" width="11.28515625" customWidth="1"/>
    <col min="10243" max="10243" width="39.85546875" customWidth="1"/>
    <col min="10244" max="10244" width="11.28515625" customWidth="1"/>
    <col min="10245" max="10245" width="9.85546875" customWidth="1"/>
    <col min="10246" max="10246" width="11" customWidth="1"/>
    <col min="10247" max="10247" width="13.42578125" customWidth="1"/>
    <col min="10248" max="10249" width="12.42578125" customWidth="1"/>
    <col min="10250" max="10250" width="6.28515625" customWidth="1"/>
    <col min="10251" max="10251" width="6.42578125" customWidth="1"/>
    <col min="10252" max="10252" width="6.85546875" customWidth="1"/>
    <col min="10253" max="10253" width="9.28515625" customWidth="1"/>
    <col min="10254" max="10254" width="11.28515625" customWidth="1"/>
    <col min="10499" max="10499" width="39.85546875" customWidth="1"/>
    <col min="10500" max="10500" width="11.28515625" customWidth="1"/>
    <col min="10501" max="10501" width="9.85546875" customWidth="1"/>
    <col min="10502" max="10502" width="11" customWidth="1"/>
    <col min="10503" max="10503" width="13.42578125" customWidth="1"/>
    <col min="10504" max="10505" width="12.42578125" customWidth="1"/>
    <col min="10506" max="10506" width="6.28515625" customWidth="1"/>
    <col min="10507" max="10507" width="6.42578125" customWidth="1"/>
    <col min="10508" max="10508" width="6.85546875" customWidth="1"/>
    <col min="10509" max="10509" width="9.28515625" customWidth="1"/>
    <col min="10510" max="10510" width="11.28515625" customWidth="1"/>
    <col min="10755" max="10755" width="39.85546875" customWidth="1"/>
    <col min="10756" max="10756" width="11.28515625" customWidth="1"/>
    <col min="10757" max="10757" width="9.85546875" customWidth="1"/>
    <col min="10758" max="10758" width="11" customWidth="1"/>
    <col min="10759" max="10759" width="13.42578125" customWidth="1"/>
    <col min="10760" max="10761" width="12.42578125" customWidth="1"/>
    <col min="10762" max="10762" width="6.28515625" customWidth="1"/>
    <col min="10763" max="10763" width="6.42578125" customWidth="1"/>
    <col min="10764" max="10764" width="6.85546875" customWidth="1"/>
    <col min="10765" max="10765" width="9.28515625" customWidth="1"/>
    <col min="10766" max="10766" width="11.28515625" customWidth="1"/>
    <col min="11011" max="11011" width="39.85546875" customWidth="1"/>
    <col min="11012" max="11012" width="11.28515625" customWidth="1"/>
    <col min="11013" max="11013" width="9.85546875" customWidth="1"/>
    <col min="11014" max="11014" width="11" customWidth="1"/>
    <col min="11015" max="11015" width="13.42578125" customWidth="1"/>
    <col min="11016" max="11017" width="12.42578125" customWidth="1"/>
    <col min="11018" max="11018" width="6.28515625" customWidth="1"/>
    <col min="11019" max="11019" width="6.42578125" customWidth="1"/>
    <col min="11020" max="11020" width="6.85546875" customWidth="1"/>
    <col min="11021" max="11021" width="9.28515625" customWidth="1"/>
    <col min="11022" max="11022" width="11.28515625" customWidth="1"/>
    <col min="11267" max="11267" width="39.85546875" customWidth="1"/>
    <col min="11268" max="11268" width="11.28515625" customWidth="1"/>
    <col min="11269" max="11269" width="9.85546875" customWidth="1"/>
    <col min="11270" max="11270" width="11" customWidth="1"/>
    <col min="11271" max="11271" width="13.42578125" customWidth="1"/>
    <col min="11272" max="11273" width="12.42578125" customWidth="1"/>
    <col min="11274" max="11274" width="6.28515625" customWidth="1"/>
    <col min="11275" max="11275" width="6.42578125" customWidth="1"/>
    <col min="11276" max="11276" width="6.85546875" customWidth="1"/>
    <col min="11277" max="11277" width="9.28515625" customWidth="1"/>
    <col min="11278" max="11278" width="11.28515625" customWidth="1"/>
    <col min="11523" max="11523" width="39.85546875" customWidth="1"/>
    <col min="11524" max="11524" width="11.28515625" customWidth="1"/>
    <col min="11525" max="11525" width="9.85546875" customWidth="1"/>
    <col min="11526" max="11526" width="11" customWidth="1"/>
    <col min="11527" max="11527" width="13.42578125" customWidth="1"/>
    <col min="11528" max="11529" width="12.42578125" customWidth="1"/>
    <col min="11530" max="11530" width="6.28515625" customWidth="1"/>
    <col min="11531" max="11531" width="6.42578125" customWidth="1"/>
    <col min="11532" max="11532" width="6.85546875" customWidth="1"/>
    <col min="11533" max="11533" width="9.28515625" customWidth="1"/>
    <col min="11534" max="11534" width="11.28515625" customWidth="1"/>
    <col min="11779" max="11779" width="39.85546875" customWidth="1"/>
    <col min="11780" max="11780" width="11.28515625" customWidth="1"/>
    <col min="11781" max="11781" width="9.85546875" customWidth="1"/>
    <col min="11782" max="11782" width="11" customWidth="1"/>
    <col min="11783" max="11783" width="13.42578125" customWidth="1"/>
    <col min="11784" max="11785" width="12.42578125" customWidth="1"/>
    <col min="11786" max="11786" width="6.28515625" customWidth="1"/>
    <col min="11787" max="11787" width="6.42578125" customWidth="1"/>
    <col min="11788" max="11788" width="6.85546875" customWidth="1"/>
    <col min="11789" max="11789" width="9.28515625" customWidth="1"/>
    <col min="11790" max="11790" width="11.28515625" customWidth="1"/>
    <col min="12035" max="12035" width="39.85546875" customWidth="1"/>
    <col min="12036" max="12036" width="11.28515625" customWidth="1"/>
    <col min="12037" max="12037" width="9.85546875" customWidth="1"/>
    <col min="12038" max="12038" width="11" customWidth="1"/>
    <col min="12039" max="12039" width="13.42578125" customWidth="1"/>
    <col min="12040" max="12041" width="12.42578125" customWidth="1"/>
    <col min="12042" max="12042" width="6.28515625" customWidth="1"/>
    <col min="12043" max="12043" width="6.42578125" customWidth="1"/>
    <col min="12044" max="12044" width="6.85546875" customWidth="1"/>
    <col min="12045" max="12045" width="9.28515625" customWidth="1"/>
    <col min="12046" max="12046" width="11.28515625" customWidth="1"/>
    <col min="12291" max="12291" width="39.85546875" customWidth="1"/>
    <col min="12292" max="12292" width="11.28515625" customWidth="1"/>
    <col min="12293" max="12293" width="9.85546875" customWidth="1"/>
    <col min="12294" max="12294" width="11" customWidth="1"/>
    <col min="12295" max="12295" width="13.42578125" customWidth="1"/>
    <col min="12296" max="12297" width="12.42578125" customWidth="1"/>
    <col min="12298" max="12298" width="6.28515625" customWidth="1"/>
    <col min="12299" max="12299" width="6.42578125" customWidth="1"/>
    <col min="12300" max="12300" width="6.85546875" customWidth="1"/>
    <col min="12301" max="12301" width="9.28515625" customWidth="1"/>
    <col min="12302" max="12302" width="11.28515625" customWidth="1"/>
    <col min="12547" max="12547" width="39.85546875" customWidth="1"/>
    <col min="12548" max="12548" width="11.28515625" customWidth="1"/>
    <col min="12549" max="12549" width="9.85546875" customWidth="1"/>
    <col min="12550" max="12550" width="11" customWidth="1"/>
    <col min="12551" max="12551" width="13.42578125" customWidth="1"/>
    <col min="12552" max="12553" width="12.42578125" customWidth="1"/>
    <col min="12554" max="12554" width="6.28515625" customWidth="1"/>
    <col min="12555" max="12555" width="6.42578125" customWidth="1"/>
    <col min="12556" max="12556" width="6.85546875" customWidth="1"/>
    <col min="12557" max="12557" width="9.28515625" customWidth="1"/>
    <col min="12558" max="12558" width="11.28515625" customWidth="1"/>
    <col min="12803" max="12803" width="39.85546875" customWidth="1"/>
    <col min="12804" max="12804" width="11.28515625" customWidth="1"/>
    <col min="12805" max="12805" width="9.85546875" customWidth="1"/>
    <col min="12806" max="12806" width="11" customWidth="1"/>
    <col min="12807" max="12807" width="13.42578125" customWidth="1"/>
    <col min="12808" max="12809" width="12.42578125" customWidth="1"/>
    <col min="12810" max="12810" width="6.28515625" customWidth="1"/>
    <col min="12811" max="12811" width="6.42578125" customWidth="1"/>
    <col min="12812" max="12812" width="6.85546875" customWidth="1"/>
    <col min="12813" max="12813" width="9.28515625" customWidth="1"/>
    <col min="12814" max="12814" width="11.28515625" customWidth="1"/>
    <col min="13059" max="13059" width="39.85546875" customWidth="1"/>
    <col min="13060" max="13060" width="11.28515625" customWidth="1"/>
    <col min="13061" max="13061" width="9.85546875" customWidth="1"/>
    <col min="13062" max="13062" width="11" customWidth="1"/>
    <col min="13063" max="13063" width="13.42578125" customWidth="1"/>
    <col min="13064" max="13065" width="12.42578125" customWidth="1"/>
    <col min="13066" max="13066" width="6.28515625" customWidth="1"/>
    <col min="13067" max="13067" width="6.42578125" customWidth="1"/>
    <col min="13068" max="13068" width="6.85546875" customWidth="1"/>
    <col min="13069" max="13069" width="9.28515625" customWidth="1"/>
    <col min="13070" max="13070" width="11.28515625" customWidth="1"/>
    <col min="13315" max="13315" width="39.85546875" customWidth="1"/>
    <col min="13316" max="13316" width="11.28515625" customWidth="1"/>
    <col min="13317" max="13317" width="9.85546875" customWidth="1"/>
    <col min="13318" max="13318" width="11" customWidth="1"/>
    <col min="13319" max="13319" width="13.42578125" customWidth="1"/>
    <col min="13320" max="13321" width="12.42578125" customWidth="1"/>
    <col min="13322" max="13322" width="6.28515625" customWidth="1"/>
    <col min="13323" max="13323" width="6.42578125" customWidth="1"/>
    <col min="13324" max="13324" width="6.85546875" customWidth="1"/>
    <col min="13325" max="13325" width="9.28515625" customWidth="1"/>
    <col min="13326" max="13326" width="11.28515625" customWidth="1"/>
    <col min="13571" max="13571" width="39.85546875" customWidth="1"/>
    <col min="13572" max="13572" width="11.28515625" customWidth="1"/>
    <col min="13573" max="13573" width="9.85546875" customWidth="1"/>
    <col min="13574" max="13574" width="11" customWidth="1"/>
    <col min="13575" max="13575" width="13.42578125" customWidth="1"/>
    <col min="13576" max="13577" width="12.42578125" customWidth="1"/>
    <col min="13578" max="13578" width="6.28515625" customWidth="1"/>
    <col min="13579" max="13579" width="6.42578125" customWidth="1"/>
    <col min="13580" max="13580" width="6.85546875" customWidth="1"/>
    <col min="13581" max="13581" width="9.28515625" customWidth="1"/>
    <col min="13582" max="13582" width="11.28515625" customWidth="1"/>
    <col min="13827" max="13827" width="39.85546875" customWidth="1"/>
    <col min="13828" max="13828" width="11.28515625" customWidth="1"/>
    <col min="13829" max="13829" width="9.85546875" customWidth="1"/>
    <col min="13830" max="13830" width="11" customWidth="1"/>
    <col min="13831" max="13831" width="13.42578125" customWidth="1"/>
    <col min="13832" max="13833" width="12.42578125" customWidth="1"/>
    <col min="13834" max="13834" width="6.28515625" customWidth="1"/>
    <col min="13835" max="13835" width="6.42578125" customWidth="1"/>
    <col min="13836" max="13836" width="6.85546875" customWidth="1"/>
    <col min="13837" max="13837" width="9.28515625" customWidth="1"/>
    <col min="13838" max="13838" width="11.28515625" customWidth="1"/>
    <col min="14083" max="14083" width="39.85546875" customWidth="1"/>
    <col min="14084" max="14084" width="11.28515625" customWidth="1"/>
    <col min="14085" max="14085" width="9.85546875" customWidth="1"/>
    <col min="14086" max="14086" width="11" customWidth="1"/>
    <col min="14087" max="14087" width="13.42578125" customWidth="1"/>
    <col min="14088" max="14089" width="12.42578125" customWidth="1"/>
    <col min="14090" max="14090" width="6.28515625" customWidth="1"/>
    <col min="14091" max="14091" width="6.42578125" customWidth="1"/>
    <col min="14092" max="14092" width="6.85546875" customWidth="1"/>
    <col min="14093" max="14093" width="9.28515625" customWidth="1"/>
    <col min="14094" max="14094" width="11.28515625" customWidth="1"/>
    <col min="14339" max="14339" width="39.85546875" customWidth="1"/>
    <col min="14340" max="14340" width="11.28515625" customWidth="1"/>
    <col min="14341" max="14341" width="9.85546875" customWidth="1"/>
    <col min="14342" max="14342" width="11" customWidth="1"/>
    <col min="14343" max="14343" width="13.42578125" customWidth="1"/>
    <col min="14344" max="14345" width="12.42578125" customWidth="1"/>
    <col min="14346" max="14346" width="6.28515625" customWidth="1"/>
    <col min="14347" max="14347" width="6.42578125" customWidth="1"/>
    <col min="14348" max="14348" width="6.85546875" customWidth="1"/>
    <col min="14349" max="14349" width="9.28515625" customWidth="1"/>
    <col min="14350" max="14350" width="11.28515625" customWidth="1"/>
    <col min="14595" max="14595" width="39.85546875" customWidth="1"/>
    <col min="14596" max="14596" width="11.28515625" customWidth="1"/>
    <col min="14597" max="14597" width="9.85546875" customWidth="1"/>
    <col min="14598" max="14598" width="11" customWidth="1"/>
    <col min="14599" max="14599" width="13.42578125" customWidth="1"/>
    <col min="14600" max="14601" width="12.42578125" customWidth="1"/>
    <col min="14602" max="14602" width="6.28515625" customWidth="1"/>
    <col min="14603" max="14603" width="6.42578125" customWidth="1"/>
    <col min="14604" max="14604" width="6.85546875" customWidth="1"/>
    <col min="14605" max="14605" width="9.28515625" customWidth="1"/>
    <col min="14606" max="14606" width="11.28515625" customWidth="1"/>
    <col min="14851" max="14851" width="39.85546875" customWidth="1"/>
    <col min="14852" max="14852" width="11.28515625" customWidth="1"/>
    <col min="14853" max="14853" width="9.85546875" customWidth="1"/>
    <col min="14854" max="14854" width="11" customWidth="1"/>
    <col min="14855" max="14855" width="13.42578125" customWidth="1"/>
    <col min="14856" max="14857" width="12.42578125" customWidth="1"/>
    <col min="14858" max="14858" width="6.28515625" customWidth="1"/>
    <col min="14859" max="14859" width="6.42578125" customWidth="1"/>
    <col min="14860" max="14860" width="6.85546875" customWidth="1"/>
    <col min="14861" max="14861" width="9.28515625" customWidth="1"/>
    <col min="14862" max="14862" width="11.28515625" customWidth="1"/>
    <col min="15107" max="15107" width="39.85546875" customWidth="1"/>
    <col min="15108" max="15108" width="11.28515625" customWidth="1"/>
    <col min="15109" max="15109" width="9.85546875" customWidth="1"/>
    <col min="15110" max="15110" width="11" customWidth="1"/>
    <col min="15111" max="15111" width="13.42578125" customWidth="1"/>
    <col min="15112" max="15113" width="12.42578125" customWidth="1"/>
    <col min="15114" max="15114" width="6.28515625" customWidth="1"/>
    <col min="15115" max="15115" width="6.42578125" customWidth="1"/>
    <col min="15116" max="15116" width="6.85546875" customWidth="1"/>
    <col min="15117" max="15117" width="9.28515625" customWidth="1"/>
    <col min="15118" max="15118" width="11.28515625" customWidth="1"/>
    <col min="15363" max="15363" width="39.85546875" customWidth="1"/>
    <col min="15364" max="15364" width="11.28515625" customWidth="1"/>
    <col min="15365" max="15365" width="9.85546875" customWidth="1"/>
    <col min="15366" max="15366" width="11" customWidth="1"/>
    <col min="15367" max="15367" width="13.42578125" customWidth="1"/>
    <col min="15368" max="15369" width="12.42578125" customWidth="1"/>
    <col min="15370" max="15370" width="6.28515625" customWidth="1"/>
    <col min="15371" max="15371" width="6.42578125" customWidth="1"/>
    <col min="15372" max="15372" width="6.85546875" customWidth="1"/>
    <col min="15373" max="15373" width="9.28515625" customWidth="1"/>
    <col min="15374" max="15374" width="11.28515625" customWidth="1"/>
    <col min="15619" max="15619" width="39.85546875" customWidth="1"/>
    <col min="15620" max="15620" width="11.28515625" customWidth="1"/>
    <col min="15621" max="15621" width="9.85546875" customWidth="1"/>
    <col min="15622" max="15622" width="11" customWidth="1"/>
    <col min="15623" max="15623" width="13.42578125" customWidth="1"/>
    <col min="15624" max="15625" width="12.42578125" customWidth="1"/>
    <col min="15626" max="15626" width="6.28515625" customWidth="1"/>
    <col min="15627" max="15627" width="6.42578125" customWidth="1"/>
    <col min="15628" max="15628" width="6.85546875" customWidth="1"/>
    <col min="15629" max="15629" width="9.28515625" customWidth="1"/>
    <col min="15630" max="15630" width="11.28515625" customWidth="1"/>
    <col min="15875" max="15875" width="39.85546875" customWidth="1"/>
    <col min="15876" max="15876" width="11.28515625" customWidth="1"/>
    <col min="15877" max="15877" width="9.85546875" customWidth="1"/>
    <col min="15878" max="15878" width="11" customWidth="1"/>
    <col min="15879" max="15879" width="13.42578125" customWidth="1"/>
    <col min="15880" max="15881" width="12.42578125" customWidth="1"/>
    <col min="15882" max="15882" width="6.28515625" customWidth="1"/>
    <col min="15883" max="15883" width="6.42578125" customWidth="1"/>
    <col min="15884" max="15884" width="6.85546875" customWidth="1"/>
    <col min="15885" max="15885" width="9.28515625" customWidth="1"/>
    <col min="15886" max="15886" width="11.28515625" customWidth="1"/>
    <col min="16131" max="16131" width="39.85546875" customWidth="1"/>
    <col min="16132" max="16132" width="11.28515625" customWidth="1"/>
    <col min="16133" max="16133" width="9.85546875" customWidth="1"/>
    <col min="16134" max="16134" width="11" customWidth="1"/>
    <col min="16135" max="16135" width="13.42578125" customWidth="1"/>
    <col min="16136" max="16137" width="12.42578125" customWidth="1"/>
    <col min="16138" max="16138" width="6.28515625" customWidth="1"/>
    <col min="16139" max="16139" width="6.42578125" customWidth="1"/>
    <col min="16140" max="16140" width="6.85546875" customWidth="1"/>
    <col min="16141" max="16141" width="9.28515625" customWidth="1"/>
    <col min="16142" max="16142" width="11.28515625" customWidth="1"/>
  </cols>
  <sheetData>
    <row r="1" spans="2:21" ht="10.5" customHeight="1" x14ac:dyDescent="0.25"/>
    <row r="2" spans="2:21" ht="18" x14ac:dyDescent="0.25">
      <c r="B2" s="293" t="s">
        <v>198</v>
      </c>
      <c r="C2" s="293"/>
      <c r="D2" s="293"/>
      <c r="E2" s="293"/>
      <c r="F2" s="293"/>
      <c r="G2" s="293"/>
      <c r="H2" s="293"/>
      <c r="I2" s="293"/>
      <c r="J2" s="293"/>
      <c r="K2" s="293"/>
      <c r="L2" s="293"/>
      <c r="M2" s="293"/>
      <c r="N2" s="293"/>
      <c r="O2" s="293"/>
      <c r="P2" s="293"/>
      <c r="Q2" s="293"/>
      <c r="R2" s="293"/>
      <c r="S2" s="293"/>
      <c r="T2" s="293"/>
      <c r="U2" s="293"/>
    </row>
    <row r="3" spans="2:21" ht="15.75" x14ac:dyDescent="0.25">
      <c r="B3" s="187" t="s">
        <v>199</v>
      </c>
    </row>
    <row r="4" spans="2:21" ht="9" customHeight="1" thickBot="1" x14ac:dyDescent="0.3">
      <c r="B4" s="144"/>
    </row>
    <row r="5" spans="2:21" x14ac:dyDescent="0.25">
      <c r="B5" s="294" t="s">
        <v>200</v>
      </c>
      <c r="C5" s="296" t="s">
        <v>201</v>
      </c>
      <c r="D5" s="298" t="s">
        <v>202</v>
      </c>
      <c r="E5" s="296" t="s">
        <v>203</v>
      </c>
      <c r="F5" s="296" t="s">
        <v>204</v>
      </c>
      <c r="G5" s="296" t="s">
        <v>205</v>
      </c>
      <c r="H5" s="298" t="s">
        <v>206</v>
      </c>
      <c r="I5" s="298" t="s">
        <v>207</v>
      </c>
      <c r="J5" s="298" t="s">
        <v>208</v>
      </c>
      <c r="K5" s="298"/>
      <c r="L5" s="298"/>
      <c r="M5" s="303"/>
      <c r="N5" s="304"/>
    </row>
    <row r="6" spans="2:21" ht="15" customHeight="1" x14ac:dyDescent="0.25">
      <c r="B6" s="295"/>
      <c r="C6" s="297"/>
      <c r="D6" s="299"/>
      <c r="E6" s="297"/>
      <c r="F6" s="297"/>
      <c r="G6" s="297"/>
      <c r="H6" s="301"/>
      <c r="I6" s="299"/>
      <c r="J6" s="305" t="s">
        <v>209</v>
      </c>
      <c r="K6" s="305" t="s">
        <v>210</v>
      </c>
      <c r="L6" s="305" t="s">
        <v>211</v>
      </c>
      <c r="M6" s="305" t="s">
        <v>212</v>
      </c>
      <c r="N6" s="306" t="s">
        <v>213</v>
      </c>
    </row>
    <row r="7" spans="2:21" x14ac:dyDescent="0.25">
      <c r="B7" s="295"/>
      <c r="C7" s="297"/>
      <c r="D7" s="300"/>
      <c r="E7" s="297"/>
      <c r="F7" s="297"/>
      <c r="G7" s="297"/>
      <c r="H7" s="302"/>
      <c r="I7" s="300"/>
      <c r="J7" s="300"/>
      <c r="K7" s="300"/>
      <c r="L7" s="300"/>
      <c r="M7" s="300"/>
      <c r="N7" s="307"/>
    </row>
    <row r="8" spans="2:21" x14ac:dyDescent="0.25">
      <c r="B8" s="145" t="s">
        <v>214</v>
      </c>
      <c r="C8" s="146"/>
      <c r="D8" s="147"/>
      <c r="E8" s="148"/>
      <c r="F8" s="148"/>
      <c r="G8" s="149"/>
      <c r="H8" s="149"/>
      <c r="I8" s="149"/>
      <c r="J8" s="148"/>
      <c r="K8" s="148"/>
      <c r="L8" s="148"/>
      <c r="M8" s="148"/>
      <c r="N8" s="150"/>
    </row>
    <row r="9" spans="2:21" ht="15.75" thickBot="1" x14ac:dyDescent="0.3">
      <c r="B9" s="151"/>
      <c r="C9" s="152"/>
      <c r="D9" s="153"/>
      <c r="E9" s="154"/>
      <c r="F9" s="155"/>
      <c r="G9" s="155"/>
      <c r="H9" s="155"/>
      <c r="I9" s="155"/>
      <c r="J9" s="154"/>
      <c r="K9" s="154"/>
      <c r="L9" s="154"/>
      <c r="M9" s="156"/>
      <c r="N9" s="157"/>
    </row>
  </sheetData>
  <mergeCells count="15">
    <mergeCell ref="B2:U2"/>
    <mergeCell ref="B5:B7"/>
    <mergeCell ref="C5:C7"/>
    <mergeCell ref="D5:D7"/>
    <mergeCell ref="E5:E7"/>
    <mergeCell ref="F5:F7"/>
    <mergeCell ref="G5:G7"/>
    <mergeCell ref="H5:H7"/>
    <mergeCell ref="I5:I7"/>
    <mergeCell ref="J5:N5"/>
    <mergeCell ref="J6:J7"/>
    <mergeCell ref="K6:K7"/>
    <mergeCell ref="L6:L7"/>
    <mergeCell ref="M6:M7"/>
    <mergeCell ref="N6:N7"/>
  </mergeCells>
  <pageMargins left="0.70866141732283472" right="0.70866141732283472" top="0.74803149606299213" bottom="0.74803149606299213" header="0.31496062992125984" footer="0.31496062992125984"/>
  <pageSetup paperSize="9" scale="58"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S43"/>
  <sheetViews>
    <sheetView showGridLines="0" zoomScale="85" zoomScaleNormal="85" workbookViewId="0">
      <pane xSplit="1" ySplit="4" topLeftCell="AG5" activePane="bottomRight" state="frozen"/>
      <selection pane="topRight" activeCell="B1" sqref="B1"/>
      <selection pane="bottomLeft" activeCell="A3" sqref="A3"/>
      <selection pane="bottomRight" sqref="A1:H1"/>
    </sheetView>
  </sheetViews>
  <sheetFormatPr baseColWidth="10" defaultRowHeight="16.5" x14ac:dyDescent="0.3"/>
  <cols>
    <col min="1" max="1" width="34.42578125" style="40" customWidth="1"/>
    <col min="2" max="29" width="16.140625" style="13" customWidth="1"/>
    <col min="30" max="43" width="16.42578125" style="13" customWidth="1"/>
    <col min="44" max="44" width="11.140625" style="13" customWidth="1"/>
    <col min="45" max="45" width="2.5703125" style="13" customWidth="1"/>
    <col min="46" max="16384" width="11.42578125" style="13"/>
  </cols>
  <sheetData>
    <row r="1" spans="1:45" ht="30.75" customHeight="1" x14ac:dyDescent="0.3">
      <c r="A1" s="308" t="s">
        <v>109</v>
      </c>
      <c r="B1" s="308"/>
      <c r="C1" s="308"/>
      <c r="D1" s="308"/>
      <c r="E1" s="308"/>
      <c r="F1" s="308"/>
      <c r="G1" s="308"/>
      <c r="H1" s="308"/>
      <c r="AJ1" s="234"/>
      <c r="AK1" s="234"/>
      <c r="AL1" s="234"/>
      <c r="AM1" s="234"/>
      <c r="AN1" s="234"/>
      <c r="AO1" s="234"/>
      <c r="AP1" s="234"/>
      <c r="AQ1" s="234"/>
      <c r="AR1" s="234"/>
      <c r="AS1" s="234"/>
    </row>
    <row r="2" spans="1:45" ht="20.25" customHeight="1" x14ac:dyDescent="0.3">
      <c r="A2" s="166" t="s">
        <v>82</v>
      </c>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row>
    <row r="3" spans="1:45" x14ac:dyDescent="0.3">
      <c r="B3" s="59"/>
      <c r="C3" s="59"/>
      <c r="D3" s="59"/>
      <c r="E3" s="59"/>
      <c r="F3" s="59"/>
      <c r="G3" s="59"/>
      <c r="H3" s="59"/>
      <c r="I3" s="59"/>
      <c r="J3" s="59"/>
      <c r="K3" s="59"/>
      <c r="L3" s="59"/>
      <c r="M3" s="59"/>
      <c r="N3" s="59"/>
      <c r="O3" s="59"/>
      <c r="P3" s="59"/>
      <c r="Q3" s="59"/>
      <c r="R3" s="59"/>
      <c r="S3" s="59"/>
      <c r="T3" s="59"/>
      <c r="U3" s="59"/>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row>
    <row r="4" spans="1:45" ht="30" customHeight="1" x14ac:dyDescent="0.3">
      <c r="A4" s="36"/>
      <c r="B4" s="192">
        <v>41729</v>
      </c>
      <c r="C4" s="192">
        <v>41820</v>
      </c>
      <c r="D4" s="192">
        <v>41912</v>
      </c>
      <c r="E4" s="192">
        <v>42004</v>
      </c>
      <c r="F4" s="192">
        <v>42094</v>
      </c>
      <c r="G4" s="192">
        <v>42185</v>
      </c>
      <c r="H4" s="192">
        <v>42277</v>
      </c>
      <c r="I4" s="192">
        <v>42369</v>
      </c>
      <c r="J4" s="192">
        <v>42460</v>
      </c>
      <c r="K4" s="192">
        <v>42551</v>
      </c>
      <c r="L4" s="192">
        <v>42643</v>
      </c>
      <c r="M4" s="192">
        <v>42735</v>
      </c>
      <c r="N4" s="192">
        <v>42825</v>
      </c>
      <c r="O4" s="192">
        <v>42916</v>
      </c>
      <c r="P4" s="192">
        <v>43008</v>
      </c>
      <c r="Q4" s="192">
        <v>43100</v>
      </c>
      <c r="R4" s="192">
        <v>43190</v>
      </c>
      <c r="S4" s="192">
        <v>43281</v>
      </c>
      <c r="T4" s="192">
        <v>43373</v>
      </c>
      <c r="U4" s="192">
        <v>43465</v>
      </c>
      <c r="V4" s="192">
        <v>43555</v>
      </c>
      <c r="W4" s="192">
        <v>43646</v>
      </c>
      <c r="X4" s="192">
        <v>43738</v>
      </c>
      <c r="Y4" s="192">
        <v>43830</v>
      </c>
      <c r="Z4" s="192">
        <v>43921</v>
      </c>
      <c r="AA4" s="192">
        <v>44012</v>
      </c>
      <c r="AB4" s="192">
        <v>44104</v>
      </c>
      <c r="AC4" s="192">
        <v>44196</v>
      </c>
      <c r="AD4" s="192">
        <v>44286</v>
      </c>
      <c r="AE4" s="192">
        <v>44377</v>
      </c>
      <c r="AF4" s="192">
        <v>44469</v>
      </c>
      <c r="AG4" s="192">
        <v>44561</v>
      </c>
      <c r="AH4" s="192">
        <v>44651</v>
      </c>
      <c r="AI4" s="192">
        <v>44742</v>
      </c>
      <c r="AJ4" s="192">
        <v>44834</v>
      </c>
      <c r="AK4" s="192">
        <v>44926</v>
      </c>
      <c r="AL4" s="192">
        <v>45016</v>
      </c>
      <c r="AM4" s="192">
        <v>45107</v>
      </c>
      <c r="AN4" s="192">
        <v>45199</v>
      </c>
      <c r="AO4" s="192">
        <v>45291</v>
      </c>
      <c r="AP4" s="192">
        <v>45382</v>
      </c>
      <c r="AQ4" s="192">
        <v>45473</v>
      </c>
      <c r="AR4" s="257">
        <v>45565</v>
      </c>
      <c r="AS4" s="258"/>
    </row>
    <row r="5" spans="1:45" ht="52.5" customHeight="1" x14ac:dyDescent="0.3">
      <c r="A5" s="193" t="s">
        <v>76</v>
      </c>
      <c r="B5" s="38">
        <v>8781.7199999999993</v>
      </c>
      <c r="C5" s="38">
        <v>8719.68</v>
      </c>
      <c r="D5" s="38">
        <v>8671.31</v>
      </c>
      <c r="E5" s="38">
        <v>9251.6200000000008</v>
      </c>
      <c r="F5" s="38">
        <v>8711.33</v>
      </c>
      <c r="G5" s="38">
        <v>8883.2999999999993</v>
      </c>
      <c r="H5" s="38">
        <v>8777.94</v>
      </c>
      <c r="I5" s="38">
        <v>14590.026342765899</v>
      </c>
      <c r="J5" s="38">
        <v>15552.766008292954</v>
      </c>
      <c r="K5" s="38">
        <v>23183.662216917499</v>
      </c>
      <c r="L5" s="38">
        <v>24968.595473778529</v>
      </c>
      <c r="M5" s="38">
        <v>26143.372847835599</v>
      </c>
      <c r="N5" s="38">
        <v>26357.580883104267</v>
      </c>
      <c r="O5" s="38">
        <v>32363.693825003349</v>
      </c>
      <c r="P5" s="38">
        <v>32739.973955860674</v>
      </c>
      <c r="Q5" s="38">
        <v>33066.920518488216</v>
      </c>
      <c r="R5" s="38">
        <v>35523.531142391745</v>
      </c>
      <c r="S5" s="38">
        <v>42512.097230935367</v>
      </c>
      <c r="T5" s="38">
        <v>49897.666266168861</v>
      </c>
      <c r="U5" s="38">
        <v>48061.669901665373</v>
      </c>
      <c r="V5" s="38">
        <v>54971.132794337202</v>
      </c>
      <c r="W5" s="38">
        <v>57477.574093920899</v>
      </c>
      <c r="X5" s="38">
        <v>70107.671098561274</v>
      </c>
      <c r="Y5" s="38">
        <v>73073.385231942695</v>
      </c>
      <c r="Z5" s="38">
        <v>76873.589091758549</v>
      </c>
      <c r="AA5" s="38">
        <v>81321.301084087594</v>
      </c>
      <c r="AB5" s="38">
        <v>87659.723356733972</v>
      </c>
      <c r="AC5" s="38">
        <v>98086.703607309493</v>
      </c>
      <c r="AD5" s="38">
        <v>105498.39985939959</v>
      </c>
      <c r="AE5" s="38">
        <v>104307.6114064088</v>
      </c>
      <c r="AF5" s="38">
        <v>109501.85230045371</v>
      </c>
      <c r="AG5" s="38">
        <v>118375.03408370932</v>
      </c>
      <c r="AH5" s="38">
        <v>125218.25101459341</v>
      </c>
      <c r="AI5" s="38">
        <v>136288.86474127742</v>
      </c>
      <c r="AJ5" s="38">
        <v>152793.80111647217</v>
      </c>
      <c r="AK5" s="38">
        <v>173744.05273852008</v>
      </c>
      <c r="AL5" s="38">
        <v>184002.77888037229</v>
      </c>
      <c r="AM5" s="38">
        <v>217722.16278989098</v>
      </c>
      <c r="AN5" s="38">
        <v>264718.17902564391</v>
      </c>
      <c r="AO5" s="38">
        <v>552742.441324963</v>
      </c>
      <c r="AP5" s="38">
        <v>603697.48009548953</v>
      </c>
      <c r="AQ5" s="38">
        <v>631573.63862050255</v>
      </c>
      <c r="AR5" s="253">
        <f>+'Servicios Deuda Anual'!F45*'Servicios Deuda Anual'!C52</f>
        <v>620637.8110705479</v>
      </c>
      <c r="AS5" s="244"/>
    </row>
    <row r="6" spans="1:45" ht="52.5" customHeight="1" x14ac:dyDescent="0.3">
      <c r="A6" s="193" t="s">
        <v>77</v>
      </c>
      <c r="B6" s="38">
        <v>814.06924421000008</v>
      </c>
      <c r="C6" s="38">
        <v>1334.7686670200001</v>
      </c>
      <c r="D6" s="38">
        <v>1606.3620389600001</v>
      </c>
      <c r="E6" s="38">
        <v>2059.9873684600002</v>
      </c>
      <c r="F6" s="38">
        <v>1532.2292152100001</v>
      </c>
      <c r="G6" s="38">
        <v>2787.2709622900002</v>
      </c>
      <c r="H6" s="38">
        <v>3436.8373112600002</v>
      </c>
      <c r="I6" s="38">
        <v>4751.3450329800007</v>
      </c>
      <c r="J6" s="38">
        <v>1748.5210195500001</v>
      </c>
      <c r="K6" s="44">
        <v>1979.8916584900003</v>
      </c>
      <c r="L6" s="44">
        <v>2005.6820979800002</v>
      </c>
      <c r="M6" s="44">
        <v>2713.09112757</v>
      </c>
      <c r="N6" s="44">
        <v>1455.4634681099999</v>
      </c>
      <c r="O6" s="44">
        <v>2358.1514273500002</v>
      </c>
      <c r="P6" s="44">
        <v>2403.9927246800003</v>
      </c>
      <c r="Q6" s="44">
        <v>3051.1866099200001</v>
      </c>
      <c r="R6" s="44">
        <v>2887.47474384</v>
      </c>
      <c r="S6" s="44">
        <v>2566.0700995500001</v>
      </c>
      <c r="T6" s="44">
        <v>2260.5505495299999</v>
      </c>
      <c r="U6" s="44">
        <v>5907.5229735200001</v>
      </c>
      <c r="V6" s="44">
        <v>2465.16920291</v>
      </c>
      <c r="W6" s="38">
        <v>4329.9503111499998</v>
      </c>
      <c r="X6" s="38">
        <v>4646.9381585399997</v>
      </c>
      <c r="Y6" s="38">
        <v>9439.5116885000007</v>
      </c>
      <c r="Z6" s="38">
        <v>3694.6763252000001</v>
      </c>
      <c r="AA6" s="38">
        <v>6793.2007236199997</v>
      </c>
      <c r="AB6" s="38">
        <v>7216.9493976200001</v>
      </c>
      <c r="AC6" s="38">
        <v>15771.225058290001</v>
      </c>
      <c r="AD6" s="38">
        <v>4714.8373600100003</v>
      </c>
      <c r="AE6" s="38">
        <v>8017.0700839199999</v>
      </c>
      <c r="AF6" s="38">
        <v>12560.355571530001</v>
      </c>
      <c r="AG6" s="38">
        <v>26355.928719810003</v>
      </c>
      <c r="AH6" s="88">
        <v>7068.6826936500001</v>
      </c>
      <c r="AI6" s="88">
        <v>12519.52704866</v>
      </c>
      <c r="AJ6" s="88">
        <v>14153.615796210001</v>
      </c>
      <c r="AK6" s="88">
        <v>50923.483293849997</v>
      </c>
      <c r="AL6" s="88">
        <v>16141.696247110001</v>
      </c>
      <c r="AM6" s="88">
        <v>26252.587002599998</v>
      </c>
      <c r="AN6" s="88">
        <v>64142.556503469998</v>
      </c>
      <c r="AO6" s="88">
        <f>149200.95760792-77622.2</f>
        <v>71578.757607919993</v>
      </c>
      <c r="AP6" s="88">
        <v>32108.222228099999</v>
      </c>
      <c r="AQ6" s="88">
        <v>50021.505171899997</v>
      </c>
      <c r="AR6" s="252">
        <v>72906.387297739988</v>
      </c>
      <c r="AS6" s="245" t="s">
        <v>261</v>
      </c>
    </row>
    <row r="7" spans="1:45" ht="52.5" customHeight="1" x14ac:dyDescent="0.3">
      <c r="A7" s="193" t="s">
        <v>78</v>
      </c>
      <c r="B7" s="57">
        <f>+SUM(B5:B6)</f>
        <v>9595.7892442100001</v>
      </c>
      <c r="C7" s="57">
        <f t="shared" ref="C7:AH7" si="0">+SUM(C5:C6)</f>
        <v>10054.44866702</v>
      </c>
      <c r="D7" s="57">
        <f t="shared" si="0"/>
        <v>10277.67203896</v>
      </c>
      <c r="E7" s="57">
        <f t="shared" si="0"/>
        <v>11311.607368460001</v>
      </c>
      <c r="F7" s="57">
        <f t="shared" si="0"/>
        <v>10243.55921521</v>
      </c>
      <c r="G7" s="57">
        <f t="shared" si="0"/>
        <v>11670.570962289999</v>
      </c>
      <c r="H7" s="57">
        <f t="shared" si="0"/>
        <v>12214.777311260001</v>
      </c>
      <c r="I7" s="57">
        <f t="shared" si="0"/>
        <v>19341.371375745901</v>
      </c>
      <c r="J7" s="57">
        <f t="shared" si="0"/>
        <v>17301.287027842955</v>
      </c>
      <c r="K7" s="57">
        <f t="shared" si="0"/>
        <v>25163.553875407499</v>
      </c>
      <c r="L7" s="57">
        <f t="shared" si="0"/>
        <v>26974.277571758528</v>
      </c>
      <c r="M7" s="57">
        <f t="shared" si="0"/>
        <v>28856.463975405597</v>
      </c>
      <c r="N7" s="57">
        <f t="shared" si="0"/>
        <v>27813.044351214266</v>
      </c>
      <c r="O7" s="57">
        <f t="shared" si="0"/>
        <v>34721.845252353349</v>
      </c>
      <c r="P7" s="57">
        <f t="shared" si="0"/>
        <v>35143.966680540674</v>
      </c>
      <c r="Q7" s="57">
        <f t="shared" si="0"/>
        <v>36118.107128408214</v>
      </c>
      <c r="R7" s="57">
        <f t="shared" si="0"/>
        <v>38411.005886231746</v>
      </c>
      <c r="S7" s="57">
        <f t="shared" si="0"/>
        <v>45078.167330485368</v>
      </c>
      <c r="T7" s="57">
        <f t="shared" si="0"/>
        <v>52158.216815698863</v>
      </c>
      <c r="U7" s="57">
        <f t="shared" si="0"/>
        <v>53969.19287518537</v>
      </c>
      <c r="V7" s="57">
        <f t="shared" si="0"/>
        <v>57436.301997247203</v>
      </c>
      <c r="W7" s="57">
        <f t="shared" si="0"/>
        <v>61807.524405070901</v>
      </c>
      <c r="X7" s="57">
        <f t="shared" si="0"/>
        <v>74754.60925710127</v>
      </c>
      <c r="Y7" s="57">
        <f t="shared" si="0"/>
        <v>82512.896920442698</v>
      </c>
      <c r="Z7" s="57">
        <f t="shared" si="0"/>
        <v>80568.265416958544</v>
      </c>
      <c r="AA7" s="57">
        <f t="shared" si="0"/>
        <v>88114.501807707595</v>
      </c>
      <c r="AB7" s="57">
        <f t="shared" si="0"/>
        <v>94876.672754353975</v>
      </c>
      <c r="AC7" s="57">
        <f t="shared" si="0"/>
        <v>113857.92866559949</v>
      </c>
      <c r="AD7" s="57">
        <f t="shared" si="0"/>
        <v>110213.2372194096</v>
      </c>
      <c r="AE7" s="57">
        <f t="shared" si="0"/>
        <v>112324.6814903288</v>
      </c>
      <c r="AF7" s="57">
        <f t="shared" si="0"/>
        <v>122062.20787198372</v>
      </c>
      <c r="AG7" s="57">
        <f t="shared" si="0"/>
        <v>144730.96280351933</v>
      </c>
      <c r="AH7" s="57">
        <f t="shared" si="0"/>
        <v>132286.93370824342</v>
      </c>
      <c r="AI7" s="57">
        <f t="shared" ref="AI7:AQ7" si="1">+SUM(AI5:AI6)</f>
        <v>148808.39178993742</v>
      </c>
      <c r="AJ7" s="57">
        <f t="shared" si="1"/>
        <v>166947.41691268218</v>
      </c>
      <c r="AK7" s="57">
        <f t="shared" si="1"/>
        <v>224667.53603237009</v>
      </c>
      <c r="AL7" s="57">
        <f t="shared" si="1"/>
        <v>200144.47512748229</v>
      </c>
      <c r="AM7" s="57">
        <f t="shared" si="1"/>
        <v>243974.74979249097</v>
      </c>
      <c r="AN7" s="57">
        <f t="shared" si="1"/>
        <v>328860.73552911391</v>
      </c>
      <c r="AO7" s="57">
        <f t="shared" si="1"/>
        <v>624321.19893288298</v>
      </c>
      <c r="AP7" s="57">
        <f t="shared" si="1"/>
        <v>635805.70232358947</v>
      </c>
      <c r="AQ7" s="57">
        <f t="shared" si="1"/>
        <v>681595.14379240258</v>
      </c>
      <c r="AR7" s="254">
        <f t="shared" ref="AR7" si="2">+SUM(AR5:AR6)</f>
        <v>693544.19836828788</v>
      </c>
      <c r="AS7" s="246"/>
    </row>
    <row r="8" spans="1:45" ht="52.5" customHeight="1" x14ac:dyDescent="0.3">
      <c r="A8" s="193" t="s">
        <v>258</v>
      </c>
      <c r="B8" s="39">
        <v>151.74393320410712</v>
      </c>
      <c r="C8" s="39">
        <v>139.40601631070308</v>
      </c>
      <c r="D8" s="39">
        <v>131.0047812196035</v>
      </c>
      <c r="E8" s="39">
        <v>123.68380564627682</v>
      </c>
      <c r="F8" s="39">
        <v>117.72301131274718</v>
      </c>
      <c r="G8" s="39">
        <v>111.10955970025969</v>
      </c>
      <c r="H8" s="39">
        <v>105.39649259018191</v>
      </c>
      <c r="I8" s="39">
        <v>98.648652977947776</v>
      </c>
      <c r="J8" s="39">
        <v>86.564942052634891</v>
      </c>
      <c r="K8" s="39">
        <v>78.035187790074687</v>
      </c>
      <c r="L8" s="39">
        <v>74.73073023834236</v>
      </c>
      <c r="M8" s="39">
        <v>71.090800867500477</v>
      </c>
      <c r="N8" s="39">
        <v>66.925866085982207</v>
      </c>
      <c r="O8" s="39">
        <v>63.504585982312996</v>
      </c>
      <c r="P8" s="39">
        <v>60.432699869383065</v>
      </c>
      <c r="Q8" s="39">
        <v>56.952046501877135</v>
      </c>
      <c r="R8" s="39">
        <v>53.405497633015678</v>
      </c>
      <c r="S8" s="39">
        <v>49.114646672524813</v>
      </c>
      <c r="T8" s="39">
        <v>43.051392519229488</v>
      </c>
      <c r="U8" s="39">
        <v>38.576207984627771</v>
      </c>
      <c r="V8" s="39">
        <v>34.495315751332882</v>
      </c>
      <c r="W8" s="39">
        <v>31.507248404112321</v>
      </c>
      <c r="X8" s="39">
        <v>27.991764890815936</v>
      </c>
      <c r="Y8" s="39">
        <v>25.053412867598691</v>
      </c>
      <c r="Z8" s="39">
        <v>23.24292433566966</v>
      </c>
      <c r="AA8" s="39">
        <v>22.075359666667598</v>
      </c>
      <c r="AB8" s="39">
        <v>20.519654585140874</v>
      </c>
      <c r="AC8" s="39">
        <v>18.418728903504981</v>
      </c>
      <c r="AD8" s="39">
        <v>16.311927345863946</v>
      </c>
      <c r="AE8" s="39">
        <v>14.698551219081523</v>
      </c>
      <c r="AF8" s="39">
        <v>13.451573537672374</v>
      </c>
      <c r="AG8" s="39">
        <v>12.215507691507218</v>
      </c>
      <c r="AH8" s="39">
        <v>10.524097739986537</v>
      </c>
      <c r="AI8" s="39">
        <v>8.9711459120711883</v>
      </c>
      <c r="AJ8" s="39">
        <v>7.3508124896583</v>
      </c>
      <c r="AK8" s="39">
        <v>6.2722574471070551</v>
      </c>
      <c r="AL8" s="39">
        <v>5.1540081690199564</v>
      </c>
      <c r="AM8" s="39">
        <v>4.1609375171716749</v>
      </c>
      <c r="AN8" s="39">
        <v>3.0900656223732286</v>
      </c>
      <c r="AO8" s="39">
        <v>2.0155167900810063</v>
      </c>
      <c r="AP8" s="39">
        <v>1.3300553269905409</v>
      </c>
      <c r="AQ8" s="39">
        <v>1.1216088</v>
      </c>
      <c r="AR8" s="255">
        <v>1</v>
      </c>
      <c r="AS8" s="247"/>
    </row>
    <row r="9" spans="1:45" ht="52.5" customHeight="1" x14ac:dyDescent="0.3">
      <c r="A9" s="193" t="s">
        <v>255</v>
      </c>
      <c r="B9" s="194">
        <f>+B7*B8</f>
        <v>1456102.8021140918</v>
      </c>
      <c r="C9" s="194">
        <f t="shared" ref="C9:AH9" si="3">+C7*C8</f>
        <v>1401650.6348697171</v>
      </c>
      <c r="D9" s="194">
        <f t="shared" si="3"/>
        <v>1346424.1769107911</v>
      </c>
      <c r="E9" s="194">
        <f t="shared" si="3"/>
        <v>1399062.6473075997</v>
      </c>
      <c r="F9" s="194">
        <f t="shared" si="3"/>
        <v>1205902.6373749624</v>
      </c>
      <c r="G9" s="194">
        <f t="shared" si="3"/>
        <v>1296712.001070678</v>
      </c>
      <c r="H9" s="194">
        <f t="shared" si="3"/>
        <v>1287394.6863769367</v>
      </c>
      <c r="I9" s="194">
        <f t="shared" si="3"/>
        <v>1908000.2329635697</v>
      </c>
      <c r="J9" s="194">
        <f t="shared" si="3"/>
        <v>1497684.9090012291</v>
      </c>
      <c r="K9" s="194">
        <f t="shared" si="3"/>
        <v>1963642.6521330858</v>
      </c>
      <c r="L9" s="194">
        <f t="shared" si="3"/>
        <v>2015807.4605892552</v>
      </c>
      <c r="M9" s="194">
        <f t="shared" si="3"/>
        <v>2051429.1342157605</v>
      </c>
      <c r="N9" s="194">
        <f t="shared" si="3"/>
        <v>1861412.08169285</v>
      </c>
      <c r="O9" s="194">
        <f t="shared" si="3"/>
        <v>2204996.4072926394</v>
      </c>
      <c r="P9" s="194">
        <f t="shared" si="3"/>
        <v>2123844.7906247131</v>
      </c>
      <c r="Q9" s="194">
        <f t="shared" si="3"/>
        <v>2057000.1167368847</v>
      </c>
      <c r="R9" s="194">
        <f t="shared" si="3"/>
        <v>2051358.8839389007</v>
      </c>
      <c r="S9" s="194">
        <f t="shared" si="3"/>
        <v>2213998.2610817398</v>
      </c>
      <c r="T9" s="194">
        <f t="shared" si="3"/>
        <v>2245483.8652357277</v>
      </c>
      <c r="U9" s="194">
        <f t="shared" si="3"/>
        <v>2081926.8091156422</v>
      </c>
      <c r="V9" s="194">
        <f t="shared" si="3"/>
        <v>1981283.3729839537</v>
      </c>
      <c r="W9" s="194">
        <f t="shared" si="3"/>
        <v>1947385.0246738035</v>
      </c>
      <c r="X9" s="194">
        <f t="shared" si="3"/>
        <v>2092513.4468295914</v>
      </c>
      <c r="Y9" s="194">
        <f t="shared" si="3"/>
        <v>2067229.6734494634</v>
      </c>
      <c r="Z9" s="194">
        <f t="shared" si="3"/>
        <v>1872642.0969425179</v>
      </c>
      <c r="AA9" s="194">
        <f t="shared" si="3"/>
        <v>1945159.3192543774</v>
      </c>
      <c r="AB9" s="194">
        <f t="shared" si="3"/>
        <v>1946836.5531067897</v>
      </c>
      <c r="AC9" s="194">
        <f t="shared" si="3"/>
        <v>2097118.3216062856</v>
      </c>
      <c r="AD9" s="194">
        <f t="shared" si="3"/>
        <v>1797790.3180754774</v>
      </c>
      <c r="AE9" s="194">
        <f t="shared" si="3"/>
        <v>1651010.0840526163</v>
      </c>
      <c r="AF9" s="194">
        <f t="shared" si="3"/>
        <v>1641928.7653606406</v>
      </c>
      <c r="AG9" s="194">
        <f t="shared" si="3"/>
        <v>1767962.1893256356</v>
      </c>
      <c r="AH9" s="194">
        <f t="shared" si="3"/>
        <v>1392200.6200686735</v>
      </c>
      <c r="AI9" s="194">
        <f t="shared" ref="AI9:AQ9" si="4">+AI7*AI8</f>
        <v>1334981.7956881849</v>
      </c>
      <c r="AJ9" s="194">
        <f t="shared" si="4"/>
        <v>1227199.1573579356</v>
      </c>
      <c r="AK9" s="194">
        <f t="shared" si="4"/>
        <v>1409172.626002226</v>
      </c>
      <c r="AL9" s="194">
        <f t="shared" si="4"/>
        <v>1031546.2597912552</v>
      </c>
      <c r="AM9" s="194">
        <f t="shared" si="4"/>
        <v>1015163.689654148</v>
      </c>
      <c r="AN9" s="194">
        <f t="shared" si="4"/>
        <v>1016201.253406889</v>
      </c>
      <c r="AO9" s="194">
        <f t="shared" si="4"/>
        <v>1258329.8588527297</v>
      </c>
      <c r="AP9" s="194">
        <f t="shared" si="4"/>
        <v>845656.76130645233</v>
      </c>
      <c r="AQ9" s="194">
        <f t="shared" si="4"/>
        <v>764483.11131482408</v>
      </c>
      <c r="AR9" s="256">
        <f t="shared" ref="AR9" si="5">+AR7*AR8</f>
        <v>693544.19836828788</v>
      </c>
      <c r="AS9" s="248"/>
    </row>
    <row r="10" spans="1:45" ht="52.5" customHeight="1" x14ac:dyDescent="0.3">
      <c r="A10" s="193" t="s">
        <v>79</v>
      </c>
      <c r="B10" s="39">
        <v>8.0098000000000003</v>
      </c>
      <c r="C10" s="39">
        <v>8.1326999999999998</v>
      </c>
      <c r="D10" s="39">
        <v>8.4642999999999997</v>
      </c>
      <c r="E10" s="39">
        <v>8.5519999999999996</v>
      </c>
      <c r="F10" s="39">
        <v>8.8196999999999992</v>
      </c>
      <c r="G10" s="39">
        <v>9.0864999999999991</v>
      </c>
      <c r="H10" s="39">
        <v>9.4192</v>
      </c>
      <c r="I10" s="39">
        <v>13.005000000000001</v>
      </c>
      <c r="J10" s="39">
        <v>14.5817</v>
      </c>
      <c r="K10" s="39">
        <v>14.92</v>
      </c>
      <c r="L10" s="39">
        <v>15.263299999999999</v>
      </c>
      <c r="M10" s="39">
        <v>15.850199999999999</v>
      </c>
      <c r="N10" s="39">
        <v>15.3818</v>
      </c>
      <c r="O10" s="39">
        <v>16.598500000000001</v>
      </c>
      <c r="P10" s="39">
        <v>17.318300000000001</v>
      </c>
      <c r="Q10" s="39">
        <v>18.7742</v>
      </c>
      <c r="R10" s="39">
        <v>20.1433</v>
      </c>
      <c r="S10" s="39">
        <v>28.861699999999999</v>
      </c>
      <c r="T10" s="39">
        <v>40.896700000000003</v>
      </c>
      <c r="U10" s="39">
        <v>37.808300000000003</v>
      </c>
      <c r="V10" s="39">
        <v>43.353299999999997</v>
      </c>
      <c r="W10" s="39">
        <v>42.448300000000003</v>
      </c>
      <c r="X10" s="39">
        <v>57.558300000000003</v>
      </c>
      <c r="Y10" s="39">
        <v>59.895000000000003</v>
      </c>
      <c r="Z10" s="39">
        <v>64.469700000000003</v>
      </c>
      <c r="AA10" s="39">
        <v>70.454999999999998</v>
      </c>
      <c r="AB10" s="39">
        <v>76.174999999999997</v>
      </c>
      <c r="AC10" s="39">
        <v>84.144999999999996</v>
      </c>
      <c r="AD10" s="39">
        <v>91.984999999999999</v>
      </c>
      <c r="AE10" s="39">
        <v>95.726699999999994</v>
      </c>
      <c r="AF10" s="39">
        <v>98.734999999999999</v>
      </c>
      <c r="AG10" s="39">
        <v>102.75</v>
      </c>
      <c r="AH10" s="39">
        <v>110.9783</v>
      </c>
      <c r="AI10" s="39">
        <v>125.215</v>
      </c>
      <c r="AJ10" s="39">
        <v>147.315</v>
      </c>
      <c r="AK10" s="39">
        <v>177.1283</v>
      </c>
      <c r="AL10" s="39">
        <v>208.98830000000001</v>
      </c>
      <c r="AM10" s="39">
        <v>256.67500000000001</v>
      </c>
      <c r="AN10" s="39">
        <v>350.00830000000002</v>
      </c>
      <c r="AO10" s="39">
        <v>808.48329999999999</v>
      </c>
      <c r="AP10" s="39">
        <v>857.41669999999999</v>
      </c>
      <c r="AQ10" s="39">
        <v>911.75</v>
      </c>
      <c r="AR10" s="255">
        <f>+'Servicios Deuda Anual'!C52</f>
        <v>970.91669999999999</v>
      </c>
      <c r="AS10" s="247"/>
    </row>
    <row r="11" spans="1:45" ht="52.5" customHeight="1" x14ac:dyDescent="0.3">
      <c r="A11" s="193" t="s">
        <v>80</v>
      </c>
      <c r="B11" s="194">
        <f>+B7/B10</f>
        <v>1198.0060980561311</v>
      </c>
      <c r="C11" s="194">
        <f t="shared" ref="C11:AH11" si="6">+C7/C10</f>
        <v>1236.2989741438882</v>
      </c>
      <c r="D11" s="194">
        <f t="shared" si="6"/>
        <v>1214.2376852143709</v>
      </c>
      <c r="E11" s="194">
        <f t="shared" si="6"/>
        <v>1322.6856137114128</v>
      </c>
      <c r="F11" s="194">
        <f t="shared" si="6"/>
        <v>1161.440776354071</v>
      </c>
      <c r="G11" s="194">
        <f t="shared" si="6"/>
        <v>1284.3857329323723</v>
      </c>
      <c r="H11" s="194">
        <f t="shared" si="6"/>
        <v>1296.7956207809582</v>
      </c>
      <c r="I11" s="194">
        <f t="shared" si="6"/>
        <v>1487.2257882157555</v>
      </c>
      <c r="J11" s="194">
        <f t="shared" si="6"/>
        <v>1186.5068563914328</v>
      </c>
      <c r="K11" s="194">
        <f t="shared" si="6"/>
        <v>1686.5652731506366</v>
      </c>
      <c r="L11" s="194">
        <f t="shared" si="6"/>
        <v>1767.2638008660335</v>
      </c>
      <c r="M11" s="194">
        <f t="shared" si="6"/>
        <v>1820.5741236959532</v>
      </c>
      <c r="N11" s="194">
        <f t="shared" si="6"/>
        <v>1808.1787795455841</v>
      </c>
      <c r="O11" s="194">
        <f t="shared" si="6"/>
        <v>2091.8664489172725</v>
      </c>
      <c r="P11" s="194">
        <f t="shared" si="6"/>
        <v>2029.2965637817033</v>
      </c>
      <c r="Q11" s="194">
        <f t="shared" si="6"/>
        <v>1923.8160416107323</v>
      </c>
      <c r="R11" s="194">
        <f t="shared" si="6"/>
        <v>1906.8874457626976</v>
      </c>
      <c r="S11" s="194">
        <f t="shared" si="6"/>
        <v>1561.8680580314178</v>
      </c>
      <c r="T11" s="194">
        <f t="shared" si="6"/>
        <v>1275.3649271383476</v>
      </c>
      <c r="U11" s="194">
        <f t="shared" si="6"/>
        <v>1427.4429920198836</v>
      </c>
      <c r="V11" s="194">
        <f t="shared" si="6"/>
        <v>1324.8426762725608</v>
      </c>
      <c r="W11" s="194">
        <f t="shared" si="6"/>
        <v>1456.06595329073</v>
      </c>
      <c r="X11" s="194">
        <f t="shared" si="6"/>
        <v>1298.7633279145018</v>
      </c>
      <c r="Y11" s="194">
        <f t="shared" si="6"/>
        <v>1377.625793813218</v>
      </c>
      <c r="Z11" s="194">
        <f t="shared" si="6"/>
        <v>1249.7074659407217</v>
      </c>
      <c r="AA11" s="194">
        <f t="shared" si="6"/>
        <v>1250.6493763069705</v>
      </c>
      <c r="AB11" s="194">
        <f t="shared" si="6"/>
        <v>1245.5093239823298</v>
      </c>
      <c r="AC11" s="194">
        <f t="shared" si="6"/>
        <v>1353.1157961328599</v>
      </c>
      <c r="AD11" s="194">
        <f t="shared" si="6"/>
        <v>1198.165322817955</v>
      </c>
      <c r="AE11" s="194">
        <f t="shared" si="6"/>
        <v>1173.3892580683216</v>
      </c>
      <c r="AF11" s="194">
        <f t="shared" si="6"/>
        <v>1236.2607775559195</v>
      </c>
      <c r="AG11" s="194">
        <f t="shared" si="6"/>
        <v>1408.5738472361979</v>
      </c>
      <c r="AH11" s="194">
        <f t="shared" si="6"/>
        <v>1192.0072095918158</v>
      </c>
      <c r="AI11" s="194">
        <f t="shared" ref="AI11:AQ11" si="7">+AI7/AI10</f>
        <v>1188.423046679211</v>
      </c>
      <c r="AJ11" s="194">
        <f t="shared" si="7"/>
        <v>1133.2682816595877</v>
      </c>
      <c r="AK11" s="194">
        <f t="shared" si="7"/>
        <v>1268.388710513058</v>
      </c>
      <c r="AL11" s="194">
        <f t="shared" si="7"/>
        <v>957.68267949680569</v>
      </c>
      <c r="AM11" s="194">
        <f t="shared" si="7"/>
        <v>950.52011217489417</v>
      </c>
      <c r="AN11" s="194">
        <f t="shared" si="7"/>
        <v>939.57982004744997</v>
      </c>
      <c r="AO11" s="194">
        <f t="shared" si="7"/>
        <v>772.21285700382805</v>
      </c>
      <c r="AP11" s="194">
        <f t="shared" si="7"/>
        <v>741.53641085319362</v>
      </c>
      <c r="AQ11" s="194">
        <f t="shared" si="7"/>
        <v>747.56802170814649</v>
      </c>
      <c r="AR11" s="256">
        <f t="shared" ref="AR11" si="8">+AR7/AR10</f>
        <v>714.31895070739631</v>
      </c>
      <c r="AS11" s="248"/>
    </row>
    <row r="12" spans="1:45" ht="52.5" customHeight="1" x14ac:dyDescent="0.3">
      <c r="A12" s="193" t="s">
        <v>81</v>
      </c>
      <c r="B12" s="38">
        <v>314.46720625</v>
      </c>
      <c r="C12" s="38">
        <v>478.86095885000003</v>
      </c>
      <c r="D12" s="38">
        <v>474.58328738</v>
      </c>
      <c r="E12" s="38">
        <v>778.12609504</v>
      </c>
      <c r="F12" s="38">
        <v>718.73022808000007</v>
      </c>
      <c r="G12" s="38">
        <v>1298.8367923699998</v>
      </c>
      <c r="H12" s="38">
        <v>1625.11270541</v>
      </c>
      <c r="I12" s="38">
        <v>1674.58950392</v>
      </c>
      <c r="J12" s="38">
        <v>618.91159517999995</v>
      </c>
      <c r="K12" s="44">
        <v>722.13102017999995</v>
      </c>
      <c r="L12" s="38">
        <v>633.77258883000002</v>
      </c>
      <c r="M12" s="44">
        <v>935.87173382000003</v>
      </c>
      <c r="N12" s="38">
        <v>698.34998707</v>
      </c>
      <c r="O12" s="44">
        <v>879.25538699000003</v>
      </c>
      <c r="P12" s="38">
        <v>836.87532364999993</v>
      </c>
      <c r="Q12" s="44">
        <v>898.69213680999997</v>
      </c>
      <c r="R12" s="44">
        <v>1153.66550927</v>
      </c>
      <c r="S12" s="44">
        <v>1117.7619162000001</v>
      </c>
      <c r="T12" s="44">
        <v>973.22907361</v>
      </c>
      <c r="U12" s="44">
        <v>2081.8590620999998</v>
      </c>
      <c r="V12" s="44">
        <v>1166.28844142</v>
      </c>
      <c r="W12" s="38">
        <v>1994.24181458</v>
      </c>
      <c r="X12" s="38">
        <v>1582.17197738</v>
      </c>
      <c r="Y12" s="38">
        <v>3973.4916769800002</v>
      </c>
      <c r="Z12" s="38">
        <v>1829.54825347</v>
      </c>
      <c r="AA12" s="38">
        <v>1967.2654723000001</v>
      </c>
      <c r="AB12" s="38">
        <v>2306.01199004</v>
      </c>
      <c r="AC12" s="38">
        <v>4480.3689031499998</v>
      </c>
      <c r="AD12" s="38">
        <v>1986.7844765499999</v>
      </c>
      <c r="AE12" s="38">
        <v>3455.3547898900001</v>
      </c>
      <c r="AF12" s="38">
        <v>3173.6009410000001</v>
      </c>
      <c r="AG12" s="38">
        <v>5889.6617611599995</v>
      </c>
      <c r="AH12" s="88">
        <v>3272.58093147</v>
      </c>
      <c r="AI12" s="38">
        <f>4275.84906046+226.21680951</f>
        <v>4502.0658699699998</v>
      </c>
      <c r="AJ12" s="38">
        <v>5201.9054230399997</v>
      </c>
      <c r="AK12" s="38">
        <v>15849.07698921</v>
      </c>
      <c r="AL12" s="38">
        <v>6932.1063246499998</v>
      </c>
      <c r="AM12" s="38">
        <v>9414.13902762</v>
      </c>
      <c r="AN12" s="38">
        <v>7973.2664187500004</v>
      </c>
      <c r="AO12" s="38">
        <v>26319.3699576</v>
      </c>
      <c r="AP12" s="38">
        <v>20209.139166950001</v>
      </c>
      <c r="AQ12" s="38">
        <v>30219.134387059999</v>
      </c>
      <c r="AR12" s="253">
        <v>35409.546910670048</v>
      </c>
      <c r="AS12" s="245" t="s">
        <v>261</v>
      </c>
    </row>
    <row r="13" spans="1:45" ht="52.5" customHeight="1" x14ac:dyDescent="0.3">
      <c r="A13" s="193" t="s">
        <v>256</v>
      </c>
      <c r="B13" s="57">
        <f>SUM(B7,B12)*B8</f>
        <v>1503821.2928541738</v>
      </c>
      <c r="C13" s="57">
        <f t="shared" ref="C13:AH13" si="9">SUM(C7,C12)*C8</f>
        <v>1468406.7335097191</v>
      </c>
      <c r="D13" s="57">
        <f t="shared" si="9"/>
        <v>1408596.8566444882</v>
      </c>
      <c r="E13" s="57">
        <f t="shared" si="9"/>
        <v>1495304.2440148233</v>
      </c>
      <c r="F13" s="57">
        <f t="shared" si="9"/>
        <v>1290513.7241460376</v>
      </c>
      <c r="G13" s="57">
        <f t="shared" si="9"/>
        <v>1441025.1851934062</v>
      </c>
      <c r="H13" s="57">
        <f t="shared" si="9"/>
        <v>1458675.8655908923</v>
      </c>
      <c r="I13" s="57">
        <f t="shared" si="9"/>
        <v>2073196.2318162876</v>
      </c>
      <c r="J13" s="57">
        <f t="shared" si="9"/>
        <v>1551260.9553736898</v>
      </c>
      <c r="K13" s="57">
        <f t="shared" si="9"/>
        <v>2019994.2819018704</v>
      </c>
      <c r="L13" s="57">
        <f t="shared" si="9"/>
        <v>2063169.7489575658</v>
      </c>
      <c r="M13" s="57">
        <f t="shared" si="9"/>
        <v>2117961.0052822805</v>
      </c>
      <c r="N13" s="57">
        <f t="shared" si="9"/>
        <v>1908149.7594086442</v>
      </c>
      <c r="O13" s="57">
        <f t="shared" si="9"/>
        <v>2260833.1566161579</v>
      </c>
      <c r="P13" s="57">
        <f t="shared" si="9"/>
        <v>2174419.4258869463</v>
      </c>
      <c r="Q13" s="57">
        <f t="shared" si="9"/>
        <v>2108182.4731033593</v>
      </c>
      <c r="R13" s="57">
        <f t="shared" si="9"/>
        <v>2112970.9645635118</v>
      </c>
      <c r="S13" s="57">
        <f t="shared" si="9"/>
        <v>2268896.7426599073</v>
      </c>
      <c r="T13" s="57">
        <f t="shared" si="9"/>
        <v>2287382.7320948378</v>
      </c>
      <c r="U13" s="57">
        <f t="shared" si="9"/>
        <v>2162237.0372898937</v>
      </c>
      <c r="V13" s="57">
        <f t="shared" si="9"/>
        <v>2021514.8610278666</v>
      </c>
      <c r="W13" s="57">
        <f t="shared" si="9"/>
        <v>2010218.0969036431</v>
      </c>
      <c r="X13" s="57">
        <f t="shared" si="9"/>
        <v>2136801.2328372495</v>
      </c>
      <c r="Y13" s="57">
        <f t="shared" si="9"/>
        <v>2166779.2009588107</v>
      </c>
      <c r="Z13" s="57">
        <f t="shared" si="9"/>
        <v>1915166.1485663778</v>
      </c>
      <c r="AA13" s="57">
        <f t="shared" si="9"/>
        <v>1988587.4121152167</v>
      </c>
      <c r="AB13" s="57">
        <f t="shared" si="9"/>
        <v>1994155.1226116039</v>
      </c>
      <c r="AC13" s="57">
        <f t="shared" si="9"/>
        <v>2179641.0218210993</v>
      </c>
      <c r="AD13" s="57">
        <f t="shared" si="9"/>
        <v>1830198.6021088515</v>
      </c>
      <c r="AE13" s="57">
        <f t="shared" si="9"/>
        <v>1701798.7934119131</v>
      </c>
      <c r="AF13" s="57">
        <f t="shared" si="9"/>
        <v>1684618.6917977284</v>
      </c>
      <c r="AG13" s="57">
        <f t="shared" si="9"/>
        <v>1839907.3978694614</v>
      </c>
      <c r="AH13" s="57">
        <f t="shared" si="9"/>
        <v>1426641.58165348</v>
      </c>
      <c r="AI13" s="57">
        <f t="shared" ref="AI13:AQ13" si="10">SUM(AI7,AI12)*AI8</f>
        <v>1375370.4855134413</v>
      </c>
      <c r="AJ13" s="57">
        <f t="shared" si="10"/>
        <v>1265437.3887116392</v>
      </c>
      <c r="AK13" s="57">
        <f t="shared" si="10"/>
        <v>1508582.1171775714</v>
      </c>
      <c r="AL13" s="57">
        <f t="shared" si="10"/>
        <v>1067274.3924170162</v>
      </c>
      <c r="AM13" s="57">
        <f t="shared" si="10"/>
        <v>1054335.3339260421</v>
      </c>
      <c r="AN13" s="57">
        <f t="shared" si="10"/>
        <v>1040839.1698654913</v>
      </c>
      <c r="AO13" s="57">
        <f t="shared" si="10"/>
        <v>1311376.9909066262</v>
      </c>
      <c r="AP13" s="57">
        <f t="shared" si="10"/>
        <v>872536.03450934729</v>
      </c>
      <c r="AQ13" s="57">
        <f t="shared" si="10"/>
        <v>798377.15837173315</v>
      </c>
      <c r="AR13" s="254">
        <f t="shared" ref="AR13" si="11">SUM(AR7,AR12)*AR8</f>
        <v>728953.74527895788</v>
      </c>
      <c r="AS13" s="246"/>
    </row>
    <row r="14" spans="1:45" ht="52.5" customHeight="1" x14ac:dyDescent="0.3">
      <c r="A14" s="193" t="s">
        <v>259</v>
      </c>
      <c r="B14" s="65">
        <v>6.9569626488586028E-2</v>
      </c>
      <c r="C14" s="65">
        <v>7.2894914687221229E-2</v>
      </c>
      <c r="D14" s="65">
        <v>7.4513287727120875E-2</v>
      </c>
      <c r="E14" s="65">
        <v>8.2009335509753284E-2</v>
      </c>
      <c r="F14" s="65">
        <v>5.7632439891325229E-2</v>
      </c>
      <c r="G14" s="65">
        <v>6.5661111079723014E-2</v>
      </c>
      <c r="H14" s="65">
        <v>6.8722931589231165E-2</v>
      </c>
      <c r="I14" s="65">
        <v>0.10881866349474918</v>
      </c>
      <c r="J14" s="65">
        <v>7.5761225026993492E-2</v>
      </c>
      <c r="K14" s="65">
        <v>0.11018958673800497</v>
      </c>
      <c r="L14" s="65">
        <v>0.11811862954275076</v>
      </c>
      <c r="M14" s="65">
        <v>0.12636060295432253</v>
      </c>
      <c r="N14" s="65">
        <v>9.4456590857396272E-2</v>
      </c>
      <c r="O14" s="65">
        <v>0.11791974619535604</v>
      </c>
      <c r="P14" s="65">
        <v>0.11935332356757525</v>
      </c>
      <c r="Q14" s="65">
        <v>0.12266162684282775</v>
      </c>
      <c r="R14" s="65">
        <v>9.1986307519047031E-2</v>
      </c>
      <c r="S14" s="65">
        <v>0.10795276163135857</v>
      </c>
      <c r="T14" s="65">
        <v>0.12490799605364594</v>
      </c>
      <c r="U14" s="65">
        <v>0.12924490410575373</v>
      </c>
      <c r="V14" s="65">
        <v>9.5637292722542469E-2</v>
      </c>
      <c r="W14" s="65">
        <v>0.10291582324131453</v>
      </c>
      <c r="X14" s="65">
        <v>0.12447403818273901</v>
      </c>
      <c r="Y14" s="65">
        <v>0.13739237732512036</v>
      </c>
      <c r="Z14" s="66">
        <v>0.11659254459527837</v>
      </c>
      <c r="AA14" s="66">
        <v>0.12751291005631418</v>
      </c>
      <c r="AB14" s="66">
        <v>0.13729863292843417</v>
      </c>
      <c r="AC14" s="66">
        <v>0.16476692847697483</v>
      </c>
      <c r="AD14" s="66">
        <v>9.7698413456663594E-2</v>
      </c>
      <c r="AE14" s="66">
        <v>9.9570101110300901E-2</v>
      </c>
      <c r="AF14" s="66">
        <v>0.10820192159286406</v>
      </c>
      <c r="AG14" s="66">
        <v>0.12829661663788827</v>
      </c>
      <c r="AH14" s="66">
        <v>6.131049684347703E-2</v>
      </c>
      <c r="AI14" s="66">
        <v>6.8967631037859051E-2</v>
      </c>
      <c r="AJ14" s="66">
        <v>7.7374452568582094E-2</v>
      </c>
      <c r="AK14" s="66">
        <v>0.10412576565667299</v>
      </c>
      <c r="AL14" s="66">
        <v>4.0785649957725018E-2</v>
      </c>
      <c r="AM14" s="66">
        <v>4.971742905829396E-2</v>
      </c>
      <c r="AN14" s="66">
        <v>6.7015583795591277E-2</v>
      </c>
      <c r="AO14" s="66">
        <v>0.12722482529005538</v>
      </c>
      <c r="AP14" s="195"/>
      <c r="AQ14" s="195"/>
      <c r="AR14" s="250"/>
      <c r="AS14" s="249"/>
    </row>
    <row r="15" spans="1:45" ht="21.75" customHeight="1" x14ac:dyDescent="0.3">
      <c r="B15" s="41"/>
      <c r="C15" s="41"/>
      <c r="D15" s="41"/>
      <c r="E15" s="41"/>
      <c r="F15" s="41"/>
      <c r="G15" s="41"/>
      <c r="H15" s="41"/>
      <c r="I15" s="41"/>
      <c r="J15" s="41"/>
      <c r="K15" s="41"/>
      <c r="L15" s="41"/>
      <c r="M15" s="41"/>
      <c r="N15" s="41"/>
      <c r="O15" s="41"/>
      <c r="P15" s="41"/>
      <c r="Q15" s="41"/>
      <c r="R15" s="41"/>
      <c r="S15" s="41"/>
      <c r="T15" s="41"/>
      <c r="U15" s="41"/>
      <c r="V15" s="41"/>
      <c r="W15" s="41"/>
      <c r="X15" s="41"/>
      <c r="Y15" s="41"/>
    </row>
    <row r="16" spans="1:45" ht="99" x14ac:dyDescent="0.3">
      <c r="A16" s="42" t="s">
        <v>260</v>
      </c>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63"/>
      <c r="AL16" s="143"/>
    </row>
    <row r="17" spans="1:45" x14ac:dyDescent="0.3">
      <c r="A17" s="251" t="s">
        <v>262</v>
      </c>
      <c r="B17" s="143"/>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3"/>
      <c r="AO17" s="160"/>
      <c r="AP17" s="232"/>
      <c r="AQ17" s="160"/>
      <c r="AR17" s="160"/>
      <c r="AS17" s="160"/>
    </row>
    <row r="18" spans="1:45" x14ac:dyDescent="0.3">
      <c r="B18" s="41"/>
      <c r="C18" s="41"/>
      <c r="D18" s="41"/>
      <c r="E18" s="41"/>
      <c r="F18" s="41"/>
      <c r="G18" s="41"/>
      <c r="H18" s="41"/>
      <c r="I18" s="41"/>
      <c r="J18" s="41"/>
      <c r="K18" s="41"/>
      <c r="L18" s="41"/>
      <c r="M18" s="41"/>
      <c r="N18" s="41"/>
      <c r="O18" s="41"/>
      <c r="P18" s="41"/>
      <c r="Q18" s="41"/>
      <c r="R18" s="41"/>
      <c r="S18" s="41"/>
      <c r="T18" s="41"/>
      <c r="U18" s="41"/>
      <c r="V18" s="41"/>
      <c r="W18" s="41"/>
      <c r="X18" s="41"/>
      <c r="Y18" s="41"/>
    </row>
    <row r="19" spans="1:45" x14ac:dyDescent="0.3">
      <c r="A19" s="43"/>
      <c r="B19" s="41"/>
      <c r="C19" s="41"/>
      <c r="D19" s="41"/>
      <c r="E19" s="41"/>
      <c r="F19" s="41"/>
      <c r="G19" s="41"/>
      <c r="H19" s="41"/>
      <c r="I19" s="41"/>
      <c r="J19" s="41"/>
      <c r="K19" s="41"/>
      <c r="L19" s="41"/>
      <c r="M19" s="41"/>
      <c r="N19" s="41"/>
      <c r="O19" s="41"/>
      <c r="P19" s="41"/>
      <c r="Q19" s="41"/>
      <c r="R19" s="41"/>
      <c r="S19" s="41"/>
      <c r="T19" s="41"/>
      <c r="U19" s="41"/>
      <c r="V19" s="41"/>
      <c r="W19" s="41"/>
      <c r="X19" s="41"/>
      <c r="Y19" s="41"/>
    </row>
    <row r="20" spans="1:45" x14ac:dyDescent="0.3">
      <c r="B20" s="41"/>
      <c r="C20" s="41"/>
      <c r="D20" s="41"/>
      <c r="E20" s="41"/>
      <c r="F20" s="41"/>
      <c r="G20" s="41"/>
      <c r="H20" s="41"/>
      <c r="I20" s="41"/>
      <c r="J20" s="41"/>
      <c r="K20" s="41"/>
      <c r="L20" s="41"/>
      <c r="M20" s="41"/>
      <c r="N20" s="41"/>
      <c r="O20" s="41"/>
      <c r="P20" s="41"/>
      <c r="Q20" s="41"/>
      <c r="R20" s="41"/>
      <c r="S20" s="41"/>
      <c r="T20" s="41"/>
      <c r="U20" s="41"/>
      <c r="V20" s="41"/>
      <c r="W20" s="41"/>
      <c r="X20" s="41"/>
      <c r="Y20" s="41"/>
    </row>
    <row r="21" spans="1:45" x14ac:dyDescent="0.3">
      <c r="B21" s="41"/>
      <c r="C21" s="41"/>
      <c r="D21" s="41"/>
      <c r="E21" s="41"/>
      <c r="F21" s="41"/>
      <c r="G21" s="41"/>
      <c r="H21" s="41"/>
      <c r="I21" s="41"/>
      <c r="J21" s="41"/>
      <c r="K21" s="41"/>
      <c r="L21" s="41"/>
      <c r="M21" s="41"/>
      <c r="N21" s="41"/>
      <c r="O21" s="41"/>
      <c r="P21" s="41"/>
      <c r="Q21" s="41"/>
      <c r="R21" s="41"/>
      <c r="S21" s="41"/>
      <c r="T21" s="41"/>
      <c r="U21" s="41"/>
      <c r="V21" s="41"/>
      <c r="W21" s="41"/>
      <c r="X21" s="41"/>
      <c r="Y21" s="41"/>
    </row>
    <row r="22" spans="1:45" x14ac:dyDescent="0.3">
      <c r="B22" s="41"/>
      <c r="C22" s="41"/>
      <c r="D22" s="41"/>
      <c r="E22" s="41"/>
      <c r="F22" s="41"/>
      <c r="G22" s="41"/>
      <c r="H22" s="41"/>
      <c r="I22" s="41"/>
      <c r="J22" s="41"/>
      <c r="K22" s="41"/>
      <c r="L22" s="41"/>
      <c r="M22" s="41"/>
      <c r="N22" s="41"/>
      <c r="O22" s="41"/>
      <c r="P22" s="41"/>
      <c r="Q22" s="41"/>
      <c r="R22" s="41"/>
      <c r="S22" s="41"/>
      <c r="T22" s="41"/>
      <c r="U22" s="41"/>
      <c r="V22" s="41"/>
      <c r="W22" s="41"/>
      <c r="X22" s="41"/>
      <c r="Y22" s="41"/>
    </row>
    <row r="23" spans="1:45" x14ac:dyDescent="0.3">
      <c r="B23" s="41"/>
      <c r="C23" s="41"/>
      <c r="D23" s="41"/>
      <c r="E23" s="41"/>
      <c r="F23" s="41"/>
      <c r="G23" s="41"/>
      <c r="H23" s="41"/>
      <c r="I23" s="41"/>
      <c r="J23" s="41"/>
      <c r="K23" s="41"/>
      <c r="L23" s="41"/>
      <c r="M23" s="41"/>
      <c r="N23" s="41"/>
      <c r="O23" s="41"/>
      <c r="P23" s="41"/>
      <c r="Q23" s="41"/>
      <c r="R23" s="41"/>
      <c r="S23" s="41"/>
      <c r="T23" s="41"/>
      <c r="U23" s="41"/>
      <c r="V23" s="41"/>
      <c r="W23" s="41"/>
      <c r="X23" s="41"/>
      <c r="Y23" s="41"/>
    </row>
    <row r="24" spans="1:45" x14ac:dyDescent="0.3">
      <c r="B24" s="41"/>
      <c r="C24" s="41"/>
      <c r="D24" s="41"/>
      <c r="E24" s="41"/>
      <c r="F24" s="41"/>
      <c r="G24" s="41"/>
      <c r="H24" s="41"/>
      <c r="I24" s="41"/>
      <c r="J24" s="41"/>
      <c r="K24" s="41"/>
      <c r="L24" s="41"/>
      <c r="M24" s="41"/>
      <c r="N24" s="41"/>
      <c r="O24" s="41"/>
      <c r="P24" s="41"/>
      <c r="Q24" s="41"/>
      <c r="R24" s="41"/>
      <c r="S24" s="41"/>
      <c r="T24" s="41"/>
      <c r="U24" s="41"/>
      <c r="V24" s="41"/>
      <c r="W24" s="41"/>
      <c r="X24" s="41"/>
      <c r="Y24" s="41"/>
    </row>
    <row r="37" spans="2:34" x14ac:dyDescent="0.3">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row>
    <row r="38" spans="2:34" x14ac:dyDescent="0.3">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row>
    <row r="39" spans="2:34" x14ac:dyDescent="0.3">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row>
    <row r="40" spans="2:34" x14ac:dyDescent="0.3">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row>
    <row r="42" spans="2:34" x14ac:dyDescent="0.3">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row>
    <row r="43" spans="2:34" x14ac:dyDescent="0.3">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row>
  </sheetData>
  <mergeCells count="1">
    <mergeCell ref="A1:H1"/>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11</vt:i4>
      </vt:variant>
    </vt:vector>
  </HeadingPairs>
  <TitlesOfParts>
    <vt:vector size="22" baseType="lpstr">
      <vt:lpstr>Servicios Deuda Anual</vt:lpstr>
      <vt:lpstr>Base Graf</vt:lpstr>
      <vt:lpstr>Perfil Amort Mensual</vt:lpstr>
      <vt:lpstr>Gráficos_2</vt:lpstr>
      <vt:lpstr>Perfil Int Mensual</vt:lpstr>
      <vt:lpstr>Gráficos</vt:lpstr>
      <vt:lpstr>Ratios 2024</vt:lpstr>
      <vt:lpstr>Avales</vt:lpstr>
      <vt:lpstr>Evolución Deuda Total</vt:lpstr>
      <vt:lpstr>IPC</vt:lpstr>
      <vt:lpstr>PBG</vt:lpstr>
      <vt:lpstr>Acreedor_pesos</vt:lpstr>
      <vt:lpstr>Acreedor_USD</vt:lpstr>
      <vt:lpstr>Acreedor_UVA</vt:lpstr>
      <vt:lpstr>Por_moneda</vt:lpstr>
      <vt:lpstr>Por_tasa_int</vt:lpstr>
      <vt:lpstr>Servicio_pesos</vt:lpstr>
      <vt:lpstr>Servicio_USD</vt:lpstr>
      <vt:lpstr>Servicio_UVA</vt:lpstr>
      <vt:lpstr>Vto_en_pesos</vt:lpstr>
      <vt:lpstr>Vto_en_USD</vt:lpstr>
      <vt:lpstr>Vto_en_UVA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Alvaro Chaves</cp:lastModifiedBy>
  <dcterms:created xsi:type="dcterms:W3CDTF">2020-03-11T14:25:05Z</dcterms:created>
  <dcterms:modified xsi:type="dcterms:W3CDTF">2024-10-24T15:54:33Z</dcterms:modified>
</cp:coreProperties>
</file>