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AAA TABLERO DEUDA\NUEVO TABLERO\ACH\Informe trimestral de deuda\2024 - 12\"/>
    </mc:Choice>
  </mc:AlternateContent>
  <xr:revisionPtr revIDLastSave="0" documentId="13_ncr:1_{CD4D75F6-885D-46EA-9193-BB4FDDDDE3A6}" xr6:coauthVersionLast="47" xr6:coauthVersionMax="47" xr10:uidLastSave="{00000000-0000-0000-0000-000000000000}"/>
  <bookViews>
    <workbookView xWindow="20280" yWindow="-120" windowWidth="24240" windowHeight="13020" tabRatio="885" xr2:uid="{00000000-000D-0000-FFFF-FFFF00000000}"/>
  </bookViews>
  <sheets>
    <sheet name="Servicios Deuda Anual" sheetId="4" r:id="rId1"/>
    <sheet name="Gráficos_2" sheetId="9" state="hidden" r:id="rId2"/>
    <sheet name="Perfil Int Mensual" sheetId="3" r:id="rId3"/>
    <sheet name="Perfil Amort Mensual" sheetId="2" r:id="rId4"/>
    <sheet name="Gráficos" sheetId="13" r:id="rId5"/>
    <sheet name="Base Graf" sheetId="7" state="hidden" r:id="rId6"/>
    <sheet name="Ratios 2024" sheetId="5" r:id="rId7"/>
    <sheet name="Avales" sheetId="12" r:id="rId8"/>
    <sheet name="Evolución Deuda Total" sheetId="6" r:id="rId9"/>
    <sheet name="IPC" sheetId="10" state="hidden" r:id="rId10"/>
    <sheet name="PBG" sheetId="11" state="hidden" r:id="rId11"/>
  </sheets>
  <externalReferences>
    <externalReference r:id="rId12"/>
  </externalReferences>
  <definedNames>
    <definedName name="_Fill" localSheetId="8" hidden="1">#REF!</definedName>
    <definedName name="_Fill" localSheetId="2" hidden="1">#REF!</definedName>
    <definedName name="_Fill" localSheetId="6" hidden="1">#REF!</definedName>
    <definedName name="_Fill" hidden="1">#REF!</definedName>
    <definedName name="_xlnm._FilterDatabase" localSheetId="0" hidden="1">'Servicios Deuda Anual'!$A$10:$CR$14</definedName>
    <definedName name="_Key1" localSheetId="8" hidden="1">#REF!</definedName>
    <definedName name="_Key1" localSheetId="2" hidden="1">#REF!</definedName>
    <definedName name="_Key1" localSheetId="6" hidden="1">#REF!</definedName>
    <definedName name="_Key1" hidden="1">#REF!</definedName>
    <definedName name="_Order1" hidden="1">255</definedName>
    <definedName name="_Parse_In" localSheetId="8" hidden="1">#REF!</definedName>
    <definedName name="_Parse_In" localSheetId="2" hidden="1">#REF!</definedName>
    <definedName name="_Parse_In" localSheetId="6" hidden="1">#REF!</definedName>
    <definedName name="_Parse_In" hidden="1">#REF!</definedName>
    <definedName name="_Parse_Out" localSheetId="8" hidden="1">#REF!</definedName>
    <definedName name="_Parse_Out" localSheetId="2" hidden="1">#REF!</definedName>
    <definedName name="_Parse_Out" localSheetId="6" hidden="1">#REF!</definedName>
    <definedName name="_Parse_Out" hidden="1">#REF!</definedName>
    <definedName name="_Sort" localSheetId="8" hidden="1">#REF!</definedName>
    <definedName name="_Sort" localSheetId="2" hidden="1">#REF!</definedName>
    <definedName name="_Sort" localSheetId="6"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8" hidden="1">'[1]COP FED'!#REF!</definedName>
    <definedName name="ACwvu.PLA1." localSheetId="2" hidden="1">'[1]COP FED'!#REF!</definedName>
    <definedName name="ACwvu.PLA1." localSheetId="6" hidden="1">'[1]COP FED'!#REF!</definedName>
    <definedName name="ACwvu.PLA1." hidden="1">'[1]COP FED'!#REF!</definedName>
    <definedName name="ACwvu.PLA2." hidden="1">'[1]COP FED'!$A$1:$N$49</definedName>
    <definedName name="caja" localSheetId="8"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CHOOSE(Gráficos_2!$K$64,Acreedor_pesos,Acreedor_USD,Acreedor_UVA)</definedName>
    <definedName name="grafcomp">CHOOSE(Gráficos_2!$K$6,Por_tasa_int,Por_moneda)</definedName>
    <definedName name="grafserv">CHOOSE(Gráficos_2!$K$44,Servicio_pesos,Servicio_USD,Servicio_UVA)</definedName>
    <definedName name="grafvto">CHOOSE(Gráficos_2!$K$25,Vto_en_pesos,Vto_en_USD,Vto_en_UVA)</definedName>
    <definedName name="LL" localSheetId="8" hidden="1">{FALSE,FALSE,-1.25,-15.5,484.5,276.75,FALSE,FALSE,TRUE,TRUE,0,12,#N/A,46,#N/A,2.93460490463215,15.35,1,FALSE,FALSE,3,TRUE,1,FALSE,100,"Swvu.PLA1.","ACwvu.PLA1.",#N/A,FALSE,FALSE,0,0,0,0,2,"","",TRUE,TRUE,FALSE,FALSE,1,60,#N/A,#N/A,FALSE,FALSE,FALSE,FALSE,FALSE,FALSE,FALSE,9,65532,65532,FALSE,FALSE,TRUE,TRUE,TRUE}</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8" hidden="1">'[1]COP FED'!#REF!</definedName>
    <definedName name="nu" localSheetId="2" hidden="1">'[1]COP FED'!#REF!</definedName>
    <definedName name="nu" localSheetId="6" hidden="1">'[1]COP FED'!#REF!</definedName>
    <definedName name="nu" hidden="1">'[1]COP FED'!#REF!</definedName>
    <definedName name="Por_moneda">'Base Graf'!$BN$20:$BN$36</definedName>
    <definedName name="Por_tasa_int">'Base Graf'!$BN$3:$BN$18</definedName>
    <definedName name="Rwvu.PLA2." localSheetId="8" hidden="1">'[1]COP FED'!#REF!</definedName>
    <definedName name="Rwvu.PLA2." localSheetId="2" hidden="1">'[1]COP FED'!#REF!</definedName>
    <definedName name="Rwvu.PLA2." localSheetId="6"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8" hidden="1">'[1]COP FED'!#REF!</definedName>
    <definedName name="Swvu.PLA1." localSheetId="2" hidden="1">'[1]COP FED'!#REF!</definedName>
    <definedName name="Swvu.PLA1." localSheetId="6"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8"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0" l="1"/>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H3" i="10"/>
  <c r="H41" i="10"/>
  <c r="H42" i="10"/>
  <c r="H43" i="10"/>
  <c r="H44" i="10"/>
  <c r="H45" i="10"/>
  <c r="H46" i="10"/>
  <c r="E133" i="10"/>
  <c r="E134" i="10" s="1"/>
  <c r="E135" i="10" s="1"/>
  <c r="A133" i="10"/>
  <c r="A134" i="10" s="1"/>
  <c r="A135" i="10" s="1"/>
  <c r="F14" i="5" l="1"/>
  <c r="F5" i="5"/>
  <c r="G46" i="10" l="1"/>
  <c r="F11" i="5" l="1"/>
  <c r="F17" i="5" l="1"/>
  <c r="F8" i="5"/>
  <c r="AG24" i="7" l="1"/>
  <c r="K12" i="7"/>
  <c r="K10" i="7"/>
  <c r="H10" i="7"/>
  <c r="AU5" i="7"/>
  <c r="J116" i="4" l="1"/>
  <c r="H8" i="7" l="1"/>
  <c r="E14" i="5" l="1"/>
  <c r="E17" i="5" l="1"/>
  <c r="E11" i="5"/>
  <c r="E8" i="5"/>
  <c r="E5" i="5"/>
  <c r="AR24" i="7" l="1"/>
  <c r="D14" i="5" l="1"/>
  <c r="D11" i="5" l="1"/>
  <c r="D17" i="5" l="1"/>
  <c r="D8" i="5"/>
  <c r="D5" i="5"/>
  <c r="Q10" i="4" l="1"/>
  <c r="S10" i="4"/>
  <c r="U10" i="4"/>
  <c r="W10" i="4"/>
  <c r="Y10" i="4"/>
  <c r="AA10" i="4"/>
  <c r="AC10" i="4"/>
  <c r="Q12" i="4"/>
  <c r="S12" i="4"/>
  <c r="U12" i="4"/>
  <c r="W12" i="4"/>
  <c r="Y12" i="4"/>
  <c r="AA12" i="4"/>
  <c r="AB12" i="4"/>
  <c r="AC12" i="4"/>
  <c r="D63" i="4"/>
  <c r="C5" i="5" l="1"/>
  <c r="AC37" i="4" l="1"/>
  <c r="AB37" i="4"/>
  <c r="AA37" i="4"/>
  <c r="Y37" i="4"/>
  <c r="W37" i="4"/>
  <c r="U37" i="4"/>
  <c r="S37" i="4"/>
  <c r="Q37" i="4"/>
  <c r="AC36" i="4"/>
  <c r="AB36" i="4"/>
  <c r="AA36" i="4"/>
  <c r="Y36" i="4"/>
  <c r="W36" i="4"/>
  <c r="U36" i="4"/>
  <c r="S36" i="4"/>
  <c r="Q36" i="4"/>
  <c r="AO6" i="6" l="1"/>
  <c r="BG96" i="7"/>
  <c r="BG97" i="7" s="1"/>
  <c r="BG98" i="7" s="1"/>
  <c r="BG99" i="7" s="1"/>
  <c r="BG100" i="7" s="1"/>
  <c r="BG101" i="7" s="1"/>
  <c r="BI59" i="7"/>
  <c r="BI60" i="7" s="1"/>
  <c r="BI61" i="7" s="1"/>
  <c r="BI62" i="7" s="1"/>
  <c r="BI63" i="7" s="1"/>
  <c r="BI64" i="7" s="1"/>
  <c r="AQ24" i="7" l="1"/>
  <c r="D121" i="10" l="1"/>
  <c r="D122" i="10"/>
  <c r="D123" i="10"/>
  <c r="AN7" i="6"/>
  <c r="AN13" i="6" l="1"/>
  <c r="AN9" i="6"/>
  <c r="AN11" i="6"/>
  <c r="S31" i="3"/>
  <c r="S6" i="3"/>
  <c r="AC43" i="4"/>
  <c r="AB43" i="4"/>
  <c r="AA43" i="4"/>
  <c r="Y43" i="4"/>
  <c r="W43" i="4"/>
  <c r="U43" i="4"/>
  <c r="S43" i="4"/>
  <c r="Q43" i="4"/>
  <c r="AC42" i="4"/>
  <c r="AB42" i="4"/>
  <c r="AA42" i="4"/>
  <c r="Y42" i="4"/>
  <c r="W42" i="4"/>
  <c r="U42" i="4"/>
  <c r="S42" i="4"/>
  <c r="Q42" i="4"/>
  <c r="AC41" i="4"/>
  <c r="AB41" i="4"/>
  <c r="AA41" i="4"/>
  <c r="Y41" i="4"/>
  <c r="W41" i="4"/>
  <c r="U41" i="4"/>
  <c r="S41" i="4"/>
  <c r="Q41" i="4"/>
  <c r="AC40" i="4"/>
  <c r="AB40" i="4"/>
  <c r="AA40" i="4"/>
  <c r="Y40" i="4"/>
  <c r="W40" i="4"/>
  <c r="U40" i="4"/>
  <c r="S40" i="4"/>
  <c r="Q40" i="4"/>
  <c r="AC39" i="4"/>
  <c r="AB39" i="4"/>
  <c r="AA39" i="4"/>
  <c r="Y39" i="4"/>
  <c r="W39" i="4"/>
  <c r="U39" i="4"/>
  <c r="S39" i="4"/>
  <c r="Q39" i="4"/>
  <c r="AC38" i="4"/>
  <c r="AB38" i="4"/>
  <c r="AA38" i="4"/>
  <c r="Y38" i="4"/>
  <c r="W38" i="4"/>
  <c r="U38" i="4"/>
  <c r="S38" i="4"/>
  <c r="Q38" i="4"/>
  <c r="AC35" i="4"/>
  <c r="AB35" i="4"/>
  <c r="AA35" i="4"/>
  <c r="Z35" i="4"/>
  <c r="Y35" i="4"/>
  <c r="X35" i="4"/>
  <c r="W35" i="4"/>
  <c r="V35" i="4"/>
  <c r="U35" i="4"/>
  <c r="T35" i="4"/>
  <c r="S35" i="4"/>
  <c r="R35" i="4"/>
  <c r="Q35" i="4"/>
  <c r="P35" i="4"/>
  <c r="AB33" i="4"/>
  <c r="Z33" i="4"/>
  <c r="X33" i="4"/>
  <c r="V33" i="4"/>
  <c r="T33" i="4"/>
  <c r="R33" i="4"/>
  <c r="P33" i="4"/>
  <c r="AB32" i="4"/>
  <c r="Z32" i="4"/>
  <c r="X32" i="4"/>
  <c r="V32" i="4"/>
  <c r="T32" i="4"/>
  <c r="R32" i="4"/>
  <c r="P32" i="4"/>
  <c r="AB31" i="4"/>
  <c r="Z31" i="4"/>
  <c r="X31" i="4"/>
  <c r="V31" i="4"/>
  <c r="T31" i="4"/>
  <c r="R31" i="4"/>
  <c r="P31" i="4"/>
  <c r="AC29" i="4"/>
  <c r="AB29" i="4"/>
  <c r="AA29" i="4"/>
  <c r="Z29" i="4"/>
  <c r="Y29" i="4"/>
  <c r="X29" i="4"/>
  <c r="W29" i="4"/>
  <c r="V29" i="4"/>
  <c r="U29" i="4"/>
  <c r="T29" i="4"/>
  <c r="S29" i="4"/>
  <c r="R29" i="4"/>
  <c r="Q29" i="4"/>
  <c r="P29" i="4"/>
  <c r="AC28" i="4"/>
  <c r="AB28" i="4"/>
  <c r="AA28" i="4"/>
  <c r="Z28" i="4"/>
  <c r="Y28" i="4"/>
  <c r="X28" i="4"/>
  <c r="W28" i="4"/>
  <c r="V28" i="4"/>
  <c r="U28" i="4"/>
  <c r="T28" i="4"/>
  <c r="S28" i="4"/>
  <c r="R28" i="4"/>
  <c r="P28" i="4"/>
  <c r="AC27" i="4"/>
  <c r="AB27" i="4"/>
  <c r="AA27" i="4"/>
  <c r="Z27" i="4"/>
  <c r="Y27" i="4"/>
  <c r="X27" i="4"/>
  <c r="W27" i="4"/>
  <c r="V27" i="4"/>
  <c r="U27" i="4"/>
  <c r="T27" i="4"/>
  <c r="S27" i="4"/>
  <c r="R27" i="4"/>
  <c r="Q27" i="4"/>
  <c r="P27" i="4"/>
  <c r="AB26" i="4"/>
  <c r="Z26" i="4"/>
  <c r="X26" i="4"/>
  <c r="V26" i="4"/>
  <c r="T26" i="4"/>
  <c r="R26" i="4"/>
  <c r="P26" i="4"/>
  <c r="AB24" i="4"/>
  <c r="Z24" i="4"/>
  <c r="X24" i="4"/>
  <c r="V24" i="4"/>
  <c r="T24" i="4"/>
  <c r="R24" i="4"/>
  <c r="P24" i="4"/>
  <c r="AC25" i="4"/>
  <c r="AB25" i="4"/>
  <c r="Z25" i="4"/>
  <c r="X25" i="4"/>
  <c r="V25" i="4"/>
  <c r="T25" i="4"/>
  <c r="R25" i="4"/>
  <c r="P25" i="4"/>
  <c r="AB23" i="4"/>
  <c r="Z23" i="4"/>
  <c r="X23" i="4"/>
  <c r="V23" i="4"/>
  <c r="T23" i="4"/>
  <c r="R23" i="4"/>
  <c r="P23" i="4"/>
  <c r="AB22" i="4"/>
  <c r="Z22" i="4"/>
  <c r="X22" i="4"/>
  <c r="V22" i="4"/>
  <c r="T22" i="4"/>
  <c r="R22" i="4"/>
  <c r="P22" i="4"/>
  <c r="AB21" i="4"/>
  <c r="Z21" i="4"/>
  <c r="X21" i="4"/>
  <c r="V21" i="4"/>
  <c r="T21" i="4"/>
  <c r="R21" i="4"/>
  <c r="P21" i="4"/>
  <c r="AB20" i="4"/>
  <c r="Z20" i="4"/>
  <c r="X20" i="4"/>
  <c r="V20" i="4"/>
  <c r="T20" i="4"/>
  <c r="R20" i="4"/>
  <c r="P20" i="4"/>
  <c r="AB19" i="4"/>
  <c r="Z19" i="4"/>
  <c r="X19" i="4"/>
  <c r="V19" i="4"/>
  <c r="T19" i="4"/>
  <c r="R19" i="4"/>
  <c r="P19" i="4"/>
  <c r="AC14" i="4"/>
  <c r="AB14" i="4"/>
  <c r="AA14" i="4"/>
  <c r="Y14" i="4"/>
  <c r="W14" i="4"/>
  <c r="U14" i="4"/>
  <c r="S14" i="4"/>
  <c r="Q14" i="4"/>
  <c r="AC13" i="4"/>
  <c r="AB13" i="4"/>
  <c r="AA13" i="4"/>
  <c r="Y13" i="4"/>
  <c r="W13" i="4"/>
  <c r="U13" i="4"/>
  <c r="S13" i="4"/>
  <c r="Q13" i="4"/>
  <c r="AC11" i="4"/>
  <c r="AB11" i="4"/>
  <c r="AA11" i="4"/>
  <c r="Y11" i="4"/>
  <c r="W11" i="4"/>
  <c r="U11" i="4"/>
  <c r="S11" i="4"/>
  <c r="Q11" i="4"/>
  <c r="S31" i="2"/>
  <c r="S6" i="2"/>
  <c r="Q28" i="4"/>
  <c r="D121" i="4"/>
  <c r="T6" i="3" l="1"/>
  <c r="T31" i="2"/>
  <c r="T6" i="2"/>
  <c r="T31" i="3"/>
  <c r="U6" i="3" l="1"/>
  <c r="U6" i="2"/>
  <c r="U31" i="2"/>
  <c r="U31" i="3"/>
  <c r="V31" i="2" l="1"/>
  <c r="V6" i="2"/>
  <c r="V31" i="3"/>
  <c r="V6" i="3"/>
  <c r="W31" i="3" l="1"/>
  <c r="W31" i="2"/>
  <c r="W6" i="2"/>
  <c r="W6" i="3"/>
  <c r="X31" i="2" l="1"/>
  <c r="X6" i="2"/>
  <c r="X6" i="3"/>
  <c r="X31" i="3"/>
  <c r="Y6" i="3" l="1"/>
  <c r="Y31" i="3"/>
  <c r="Y6" i="2"/>
  <c r="Y31" i="2"/>
  <c r="D111" i="4"/>
  <c r="D110" i="4"/>
  <c r="D109" i="4"/>
  <c r="D108" i="4"/>
  <c r="D112" i="4"/>
  <c r="Z6" i="2" l="1"/>
  <c r="Z31" i="3"/>
  <c r="Z31" i="2"/>
  <c r="Z6" i="3"/>
  <c r="D76" i="4"/>
  <c r="D66" i="4"/>
  <c r="D65" i="4"/>
  <c r="D64" i="4"/>
  <c r="AA31" i="2" l="1"/>
  <c r="AA6" i="2"/>
  <c r="AA31" i="3"/>
  <c r="AA6" i="3"/>
  <c r="AB31" i="3" l="1"/>
  <c r="AB6" i="2"/>
  <c r="AB6" i="3"/>
  <c r="AB31" i="2"/>
  <c r="AC6" i="3" l="1"/>
  <c r="AC6" i="2"/>
  <c r="AC31" i="2"/>
  <c r="AC31" i="3"/>
  <c r="AP14" i="7"/>
  <c r="AP13" i="7"/>
  <c r="AP12" i="7"/>
  <c r="AP11" i="7"/>
  <c r="AP10" i="7"/>
  <c r="AP9" i="7"/>
  <c r="AP8" i="7"/>
  <c r="AO14" i="7"/>
  <c r="AO13" i="7"/>
  <c r="AO12" i="7"/>
  <c r="AO11" i="7"/>
  <c r="AO10" i="7"/>
  <c r="AO9" i="7"/>
  <c r="AO8" i="7"/>
  <c r="AM14" i="7"/>
  <c r="AM13" i="7"/>
  <c r="AM12" i="7"/>
  <c r="AM11" i="7"/>
  <c r="AM10" i="7"/>
  <c r="AM9" i="7"/>
  <c r="AM8" i="7"/>
  <c r="AF14" i="7"/>
  <c r="AF13" i="7"/>
  <c r="AF12" i="7"/>
  <c r="AF11" i="7"/>
  <c r="AF10" i="7"/>
  <c r="AF9" i="7"/>
  <c r="AF8" i="7"/>
  <c r="AC24" i="7"/>
  <c r="AC14" i="7"/>
  <c r="AC13" i="7"/>
  <c r="AC12" i="7"/>
  <c r="AC11" i="7"/>
  <c r="AC10" i="7"/>
  <c r="AC9" i="7"/>
  <c r="AC8" i="7"/>
  <c r="AD24" i="7"/>
  <c r="AE24" i="7"/>
  <c r="AF24" i="7"/>
  <c r="AH24" i="7"/>
  <c r="AI24" i="7"/>
  <c r="AJ24" i="7"/>
  <c r="AK24" i="7"/>
  <c r="AL24" i="7"/>
  <c r="AM24" i="7"/>
  <c r="AN24" i="7"/>
  <c r="AO24" i="7"/>
  <c r="AP24" i="7"/>
  <c r="K41" i="10"/>
  <c r="D120" i="10"/>
  <c r="D119" i="10"/>
  <c r="D118" i="10"/>
  <c r="L14" i="7" l="1"/>
  <c r="K14" i="7"/>
  <c r="I14" i="7"/>
  <c r="H14" i="7"/>
  <c r="AC16" i="4"/>
  <c r="AB16" i="4"/>
  <c r="AA16" i="4"/>
  <c r="Y16" i="4"/>
  <c r="W16" i="4"/>
  <c r="U16" i="4"/>
  <c r="S16" i="4"/>
  <c r="Q16" i="4"/>
  <c r="K5" i="10" l="1"/>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3" i="10"/>
  <c r="G4" i="10"/>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L7" i="6"/>
  <c r="E119" i="10" l="1"/>
  <c r="E120" i="10" s="1"/>
  <c r="I35" i="10"/>
  <c r="I7" i="10"/>
  <c r="AL9" i="6"/>
  <c r="AL13" i="6"/>
  <c r="AL11" i="6"/>
  <c r="AL3" i="11"/>
  <c r="AL6" i="11" s="1"/>
  <c r="I4" i="10" l="1"/>
  <c r="I9" i="10"/>
  <c r="I26" i="10"/>
  <c r="I10" i="10"/>
  <c r="I14" i="10"/>
  <c r="I20" i="10"/>
  <c r="I12" i="10"/>
  <c r="I32" i="10"/>
  <c r="I18" i="10"/>
  <c r="I40" i="10"/>
  <c r="I33" i="10"/>
  <c r="E121" i="10"/>
  <c r="E122" i="10" s="1"/>
  <c r="E123" i="10" s="1"/>
  <c r="E124" i="10" s="1"/>
  <c r="E125" i="10" s="1"/>
  <c r="E126" i="10" s="1"/>
  <c r="E127" i="10" s="1"/>
  <c r="E128" i="10" s="1"/>
  <c r="E129" i="10" s="1"/>
  <c r="E130" i="10" s="1"/>
  <c r="E131" i="10" s="1"/>
  <c r="E132" i="10" s="1"/>
  <c r="I16" i="10"/>
  <c r="I19" i="10"/>
  <c r="I21" i="10"/>
  <c r="I22" i="10"/>
  <c r="I17" i="10"/>
  <c r="I8" i="10"/>
  <c r="I30" i="10"/>
  <c r="I5" i="10"/>
  <c r="I13" i="10"/>
  <c r="I15" i="10"/>
  <c r="I11" i="10"/>
  <c r="I27" i="10"/>
  <c r="I23" i="10"/>
  <c r="I38" i="10"/>
  <c r="I36" i="10"/>
  <c r="I41" i="10"/>
  <c r="I25" i="10"/>
  <c r="I39" i="10"/>
  <c r="I29" i="10"/>
  <c r="I6" i="10"/>
  <c r="AT14" i="7"/>
  <c r="AT13" i="7"/>
  <c r="AT12" i="7"/>
  <c r="AT11" i="7"/>
  <c r="AT10" i="7"/>
  <c r="AT9" i="7"/>
  <c r="AT8" i="7"/>
  <c r="AT7" i="7"/>
  <c r="AT6" i="7"/>
  <c r="AT5" i="7"/>
  <c r="AT4" i="7"/>
  <c r="AS14" i="7"/>
  <c r="AS13" i="7"/>
  <c r="AS12" i="7"/>
  <c r="AS11" i="7"/>
  <c r="AS10" i="7"/>
  <c r="AS9" i="7"/>
  <c r="AS8" i="7"/>
  <c r="AS7" i="7"/>
  <c r="AS6" i="7"/>
  <c r="AS5" i="7"/>
  <c r="AS4" i="7"/>
  <c r="AR14" i="7"/>
  <c r="AR13" i="7"/>
  <c r="AR12" i="7"/>
  <c r="AR11" i="7"/>
  <c r="AR10" i="7"/>
  <c r="AR9" i="7"/>
  <c r="AR8" i="7"/>
  <c r="AR7" i="7"/>
  <c r="AR6" i="7"/>
  <c r="AR5" i="7"/>
  <c r="AR4" i="7"/>
  <c r="N4" i="7"/>
  <c r="T4" i="7" s="1"/>
  <c r="O4" i="7"/>
  <c r="R4" i="7" s="1"/>
  <c r="P4" i="7"/>
  <c r="V4" i="7" s="1"/>
  <c r="N5" i="7"/>
  <c r="T5" i="7" s="1"/>
  <c r="O5" i="7"/>
  <c r="U5" i="7" s="1"/>
  <c r="P5" i="7"/>
  <c r="S5" i="7" s="1"/>
  <c r="N6" i="7"/>
  <c r="Q6" i="7" s="1"/>
  <c r="O6" i="7"/>
  <c r="U6" i="7" s="1"/>
  <c r="P6" i="7"/>
  <c r="V6" i="7" s="1"/>
  <c r="P7" i="7"/>
  <c r="P8" i="7"/>
  <c r="P9" i="7"/>
  <c r="P10" i="7"/>
  <c r="P11" i="7"/>
  <c r="P12" i="7"/>
  <c r="P13" i="7"/>
  <c r="N14" i="7"/>
  <c r="T14" i="7" s="1"/>
  <c r="O14" i="7"/>
  <c r="R14" i="7" s="1"/>
  <c r="P14" i="7"/>
  <c r="AU9" i="7" l="1"/>
  <c r="AU11" i="7"/>
  <c r="Q5" i="7"/>
  <c r="I34" i="10"/>
  <c r="I31" i="10"/>
  <c r="AU6" i="7"/>
  <c r="AU13" i="7"/>
  <c r="Q4" i="7"/>
  <c r="AU8" i="7"/>
  <c r="AU14" i="7"/>
  <c r="AU12" i="7"/>
  <c r="AU7" i="7"/>
  <c r="I24" i="10"/>
  <c r="I37" i="10"/>
  <c r="AU4" i="7"/>
  <c r="AU10" i="7"/>
  <c r="I28" i="10"/>
  <c r="T6" i="7"/>
  <c r="R6" i="7"/>
  <c r="S4" i="7"/>
  <c r="V5" i="7"/>
  <c r="U4" i="7"/>
  <c r="S6" i="7"/>
  <c r="R5" i="7"/>
  <c r="Q14" i="7"/>
  <c r="U14" i="7"/>
  <c r="AC15" i="4"/>
  <c r="AB15" i="4"/>
  <c r="AA15" i="4"/>
  <c r="Y15" i="4"/>
  <c r="W15" i="4"/>
  <c r="U15" i="4"/>
  <c r="S15" i="4"/>
  <c r="Q15" i="4"/>
  <c r="AB18" i="4"/>
  <c r="Z18" i="4"/>
  <c r="X18" i="4"/>
  <c r="V18" i="4"/>
  <c r="T18" i="4"/>
  <c r="R18" i="4"/>
  <c r="P18" i="4"/>
  <c r="AB30" i="4"/>
  <c r="Z30" i="4"/>
  <c r="X30" i="4"/>
  <c r="V30" i="4"/>
  <c r="T30" i="4"/>
  <c r="R30" i="4"/>
  <c r="P30" i="4"/>
  <c r="Q34" i="4"/>
  <c r="S34" i="4"/>
  <c r="U34" i="4"/>
  <c r="W34" i="4"/>
  <c r="Y34" i="4"/>
  <c r="AA34" i="4"/>
  <c r="AB34" i="4"/>
  <c r="AC34" i="4"/>
  <c r="V17" i="4" l="1"/>
  <c r="P17" i="4"/>
  <c r="T17" i="4"/>
  <c r="X17" i="4"/>
  <c r="AB17" i="4"/>
  <c r="R17" i="4"/>
  <c r="Z17" i="4"/>
  <c r="F116" i="4" l="1"/>
  <c r="H116" i="4"/>
  <c r="L116" i="4"/>
  <c r="N116" i="4"/>
  <c r="P116" i="4"/>
  <c r="R116" i="4"/>
  <c r="F128" i="4"/>
  <c r="H128" i="4"/>
  <c r="J128" i="4"/>
  <c r="J115" i="4" s="1"/>
  <c r="L128" i="4"/>
  <c r="N128" i="4"/>
  <c r="P128" i="4"/>
  <c r="R128" i="4"/>
  <c r="G132" i="4"/>
  <c r="I132" i="4"/>
  <c r="K132" i="4"/>
  <c r="M132" i="4"/>
  <c r="O132" i="4"/>
  <c r="Q132" i="4"/>
  <c r="R132" i="4"/>
  <c r="S132" i="4"/>
  <c r="F83" i="4"/>
  <c r="H83" i="4"/>
  <c r="J83" i="4"/>
  <c r="L83" i="4"/>
  <c r="N83" i="4"/>
  <c r="P83" i="4"/>
  <c r="R83" i="4"/>
  <c r="S83" i="4"/>
  <c r="F71" i="4"/>
  <c r="H71" i="4"/>
  <c r="J71" i="4"/>
  <c r="L71" i="4"/>
  <c r="N71" i="4"/>
  <c r="P71" i="4"/>
  <c r="R71" i="4"/>
  <c r="G87" i="4"/>
  <c r="I87" i="4"/>
  <c r="K87" i="4"/>
  <c r="M87" i="4"/>
  <c r="O87" i="4"/>
  <c r="Q87" i="4"/>
  <c r="R87" i="4"/>
  <c r="S87" i="4"/>
  <c r="R70" i="4" l="1"/>
  <c r="F70" i="4"/>
  <c r="N70" i="4"/>
  <c r="H70" i="4"/>
  <c r="P70" i="4"/>
  <c r="L70" i="4"/>
  <c r="J70" i="4"/>
  <c r="R115" i="4"/>
  <c r="N115" i="4"/>
  <c r="F115" i="4"/>
  <c r="P115" i="4"/>
  <c r="L115" i="4"/>
  <c r="H115" i="4"/>
  <c r="S113" i="4" l="1"/>
  <c r="R113" i="4"/>
  <c r="Q113" i="4"/>
  <c r="O113" i="4"/>
  <c r="M113" i="4"/>
  <c r="K113" i="4"/>
  <c r="I113" i="4"/>
  <c r="G113" i="4"/>
  <c r="Q107" i="4"/>
  <c r="M107" i="4"/>
  <c r="I107" i="4"/>
  <c r="S68" i="4"/>
  <c r="R68" i="4"/>
  <c r="Q68" i="4"/>
  <c r="O68" i="4"/>
  <c r="M68" i="4"/>
  <c r="K68" i="4"/>
  <c r="I68" i="4"/>
  <c r="G68" i="4"/>
  <c r="O107" i="4"/>
  <c r="K107" i="4"/>
  <c r="G107" i="4"/>
  <c r="S107" i="4"/>
  <c r="S62" i="4"/>
  <c r="Q62" i="4"/>
  <c r="AA9" i="4" s="1"/>
  <c r="O62" i="4"/>
  <c r="Y9" i="4" s="1"/>
  <c r="M62" i="4"/>
  <c r="W9" i="4" s="1"/>
  <c r="K62" i="4"/>
  <c r="U9" i="4" s="1"/>
  <c r="I62" i="4"/>
  <c r="S9" i="4" s="1"/>
  <c r="G62" i="4"/>
  <c r="Q9" i="4" s="1"/>
  <c r="AC9" i="4" l="1"/>
  <c r="D81" i="4" l="1"/>
  <c r="AI12" i="6" l="1"/>
  <c r="D69" i="4" l="1"/>
  <c r="D114" i="4" l="1"/>
  <c r="AG7" i="6" l="1"/>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B7" i="6"/>
  <c r="I13" i="6" l="1"/>
  <c r="U13" i="6"/>
  <c r="AG13" i="6"/>
  <c r="J13" i="6"/>
  <c r="V13" i="6"/>
  <c r="K13" i="6"/>
  <c r="W13" i="6"/>
  <c r="F13" i="6"/>
  <c r="R13" i="6"/>
  <c r="M13" i="6"/>
  <c r="AE13" i="6"/>
  <c r="C13" i="6"/>
  <c r="O13" i="6"/>
  <c r="AA13" i="6"/>
  <c r="D13" i="6"/>
  <c r="P13" i="6"/>
  <c r="AB13" i="6"/>
  <c r="E13" i="6"/>
  <c r="Q13" i="6"/>
  <c r="AC13" i="6"/>
  <c r="L13" i="6"/>
  <c r="X13" i="6"/>
  <c r="AD13" i="6"/>
  <c r="G13" i="6"/>
  <c r="S13" i="6"/>
  <c r="Y13" i="6"/>
  <c r="B13" i="6"/>
  <c r="H13" i="6"/>
  <c r="N13" i="6"/>
  <c r="T13" i="6"/>
  <c r="Z13" i="6"/>
  <c r="AF13"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O3" i="11"/>
  <c r="AG3" i="11"/>
  <c r="AE3" i="11"/>
  <c r="L3" i="11"/>
  <c r="F3" i="11"/>
  <c r="AF3" i="11"/>
  <c r="M3" i="11"/>
  <c r="E3" i="11"/>
  <c r="V3" i="11"/>
  <c r="D3" i="11"/>
  <c r="S3" i="11"/>
  <c r="AC3" i="11"/>
  <c r="U3" i="11"/>
  <c r="C3" i="11"/>
  <c r="X3" i="11"/>
  <c r="R3" i="11"/>
  <c r="Z3" i="11"/>
  <c r="K3" i="11"/>
  <c r="T3" i="11"/>
  <c r="AD3" i="11"/>
  <c r="N3" i="11"/>
  <c r="W3" i="11"/>
  <c r="AB3" i="11"/>
  <c r="B3" i="11"/>
  <c r="Y3" i="11"/>
  <c r="J3" i="11"/>
  <c r="AA3" i="11"/>
  <c r="G3" i="11"/>
  <c r="I3" i="11"/>
  <c r="Q3" i="11"/>
  <c r="H3" i="11"/>
  <c r="P3" i="11"/>
  <c r="T6" i="11" l="1"/>
  <c r="G6" i="11"/>
  <c r="X6" i="11"/>
  <c r="E6" i="11"/>
  <c r="P6" i="11"/>
  <c r="AA6" i="11"/>
  <c r="C6" i="11"/>
  <c r="M6" i="11"/>
  <c r="K6" i="11"/>
  <c r="J6" i="11"/>
  <c r="U6" i="11"/>
  <c r="AF6" i="11"/>
  <c r="H6" i="11"/>
  <c r="Y6" i="11"/>
  <c r="AC6" i="11"/>
  <c r="F6" i="11"/>
  <c r="Z6" i="11"/>
  <c r="B6" i="11"/>
  <c r="S6" i="11"/>
  <c r="L6" i="11"/>
  <c r="Q6" i="11"/>
  <c r="AB6" i="11"/>
  <c r="D6" i="11"/>
  <c r="AE6" i="11"/>
  <c r="R6" i="11"/>
  <c r="W6" i="11"/>
  <c r="V6" i="11"/>
  <c r="AG6" i="11"/>
  <c r="I6" i="11"/>
  <c r="N6" i="11"/>
  <c r="AD6" i="11"/>
  <c r="O6" i="11"/>
  <c r="D140" i="4"/>
  <c r="D95" i="4"/>
  <c r="C17" i="5" l="1"/>
  <c r="C14" i="5"/>
  <c r="C11" i="5"/>
  <c r="C8" i="5"/>
  <c r="D133" i="4" l="1"/>
  <c r="D88" i="4"/>
  <c r="D129" i="4"/>
  <c r="D84" i="4"/>
  <c r="D119" i="4"/>
  <c r="D74" i="4"/>
  <c r="D125" i="4"/>
  <c r="D80" i="4"/>
  <c r="D127" i="4"/>
  <c r="D82" i="4"/>
  <c r="D117" i="4"/>
  <c r="D72" i="4"/>
  <c r="D126" i="4"/>
  <c r="D120" i="4"/>
  <c r="D75" i="4"/>
  <c r="D118" i="4"/>
  <c r="D73" i="4"/>
  <c r="F8" i="4" l="1"/>
  <c r="AB5" i="7" l="1"/>
  <c r="AB6" i="7" s="1"/>
  <c r="AB7" i="7" s="1"/>
  <c r="AB8" i="7" s="1"/>
  <c r="AB9" i="7" s="1"/>
  <c r="AB10" i="7" s="1"/>
  <c r="AB11" i="7" s="1"/>
  <c r="AB12" i="7" s="1"/>
  <c r="AB13" i="7" s="1"/>
  <c r="G5" i="7"/>
  <c r="A5" i="7"/>
  <c r="G6" i="7" l="1"/>
  <c r="A6" i="7"/>
  <c r="G7" i="7" l="1"/>
  <c r="A7" i="7"/>
  <c r="G8" i="7" l="1"/>
  <c r="A8" i="7"/>
  <c r="N7" i="7" l="1"/>
  <c r="T7" i="7" s="1"/>
  <c r="O7" i="7"/>
  <c r="U7" i="7" s="1"/>
  <c r="K8" i="7"/>
  <c r="L8" i="7"/>
  <c r="I8" i="7"/>
  <c r="G9" i="7"/>
  <c r="A9" i="7"/>
  <c r="R7" i="7" l="1"/>
  <c r="Q7" i="7"/>
  <c r="N8" i="7"/>
  <c r="T8" i="7" s="1"/>
  <c r="O8" i="7"/>
  <c r="U8" i="7" s="1"/>
  <c r="K9" i="7"/>
  <c r="I9" i="7"/>
  <c r="H9" i="7"/>
  <c r="L9" i="7"/>
  <c r="G10" i="7"/>
  <c r="A10" i="7"/>
  <c r="Q8" i="7" l="1"/>
  <c r="R8" i="7"/>
  <c r="O9" i="7"/>
  <c r="R9" i="7" s="1"/>
  <c r="L10" i="7"/>
  <c r="I10" i="7"/>
  <c r="N9" i="7"/>
  <c r="T9" i="7" s="1"/>
  <c r="G11" i="7"/>
  <c r="A11" i="7"/>
  <c r="U9" i="7" l="1"/>
  <c r="N10" i="7"/>
  <c r="T10" i="7" s="1"/>
  <c r="O10" i="7"/>
  <c r="R10" i="7" s="1"/>
  <c r="Q9" i="7"/>
  <c r="L11" i="7"/>
  <c r="K11" i="7"/>
  <c r="I11" i="7"/>
  <c r="H11" i="7"/>
  <c r="G12" i="7"/>
  <c r="A12" i="7"/>
  <c r="Q10" i="7" l="1"/>
  <c r="U10" i="7"/>
  <c r="O11" i="7"/>
  <c r="U11" i="7" s="1"/>
  <c r="L12" i="7"/>
  <c r="I12" i="7"/>
  <c r="H12" i="7"/>
  <c r="N11" i="7"/>
  <c r="T11" i="7" s="1"/>
  <c r="G13" i="7"/>
  <c r="A13" i="7"/>
  <c r="R11" i="7" l="1"/>
  <c r="N12" i="7"/>
  <c r="T12" i="7" s="1"/>
  <c r="O12" i="7"/>
  <c r="U12" i="7" s="1"/>
  <c r="K13" i="7"/>
  <c r="I13" i="7"/>
  <c r="H13" i="7"/>
  <c r="L13" i="7"/>
  <c r="Q11" i="7"/>
  <c r="G31" i="3"/>
  <c r="G6" i="3"/>
  <c r="Q12" i="7" l="1"/>
  <c r="R12" i="7"/>
  <c r="O13" i="7"/>
  <c r="U13" i="7" s="1"/>
  <c r="N13" i="7"/>
  <c r="T13" i="7" s="1"/>
  <c r="H6" i="3"/>
  <c r="H31" i="3"/>
  <c r="G31" i="2"/>
  <c r="G6" i="2"/>
  <c r="R13" i="7" l="1"/>
  <c r="Q13" i="7"/>
  <c r="I31" i="3"/>
  <c r="I6" i="3"/>
  <c r="H6" i="2"/>
  <c r="H31" i="2"/>
  <c r="J6" i="3" l="1"/>
  <c r="J31" i="3"/>
  <c r="K31" i="3" s="1"/>
  <c r="K6" i="3"/>
  <c r="I31" i="2"/>
  <c r="I6" i="2"/>
  <c r="L31" i="3" l="1"/>
  <c r="L6" i="3"/>
  <c r="J6" i="2"/>
  <c r="J31" i="2"/>
  <c r="M6" i="3" l="1"/>
  <c r="M31" i="3"/>
  <c r="K31" i="2"/>
  <c r="K6" i="2"/>
  <c r="N31" i="3" l="1"/>
  <c r="N6" i="3"/>
  <c r="L6" i="2"/>
  <c r="L31" i="2"/>
  <c r="O6" i="3" l="1"/>
  <c r="O31" i="3"/>
  <c r="M31" i="2"/>
  <c r="M6" i="2"/>
  <c r="P6" i="3" l="1"/>
  <c r="P31" i="3"/>
  <c r="N31" i="2"/>
  <c r="N6" i="2"/>
  <c r="Q6" i="3" l="1"/>
  <c r="Q31" i="3"/>
  <c r="O6" i="2"/>
  <c r="O31" i="2"/>
  <c r="P6" i="2" l="1"/>
  <c r="P31" i="2"/>
  <c r="Q6" i="2" l="1"/>
  <c r="Q31" i="2"/>
  <c r="AH7" i="6" l="1"/>
  <c r="AH3" i="11"/>
  <c r="AH6" i="11" l="1"/>
  <c r="AH9" i="6"/>
  <c r="AH13" i="6"/>
  <c r="AH11" i="6"/>
  <c r="AI7" i="6" l="1"/>
  <c r="AI3" i="11"/>
  <c r="AI6" i="11" l="1"/>
  <c r="AI9" i="6"/>
  <c r="AI13" i="6"/>
  <c r="AI11" i="6"/>
  <c r="AJ7" i="6" l="1"/>
  <c r="AJ3" i="11"/>
  <c r="AJ6" i="11" l="1"/>
  <c r="AJ13" i="6"/>
  <c r="AJ11" i="6"/>
  <c r="AJ9" i="6"/>
  <c r="AK7" i="6" l="1"/>
  <c r="AK3" i="11"/>
  <c r="AK6" i="11" l="1"/>
  <c r="AK13" i="6"/>
  <c r="AK11" i="6"/>
  <c r="AK9" i="6"/>
  <c r="AN3" i="11" l="1"/>
  <c r="AN6" i="11" s="1"/>
  <c r="AO7" i="6" l="1"/>
  <c r="AO13" i="6" l="1"/>
  <c r="AP7" i="6"/>
  <c r="AP11" i="6"/>
  <c r="AP9" i="6"/>
  <c r="AO11" i="6"/>
  <c r="AO9" i="6"/>
  <c r="AO3" i="11"/>
  <c r="AO6" i="11" s="1"/>
  <c r="AM7" i="6"/>
  <c r="AP13" i="6" l="1"/>
  <c r="AM13" i="6"/>
  <c r="AM9" i="6"/>
  <c r="AM11" i="6"/>
  <c r="AM3" i="11"/>
  <c r="AM6" i="11" s="1"/>
  <c r="F28" i="4" l="1"/>
  <c r="F27" i="4" l="1"/>
  <c r="F35" i="4" l="1"/>
  <c r="F24" i="4" l="1"/>
  <c r="F20" i="4" l="1"/>
  <c r="S24" i="4" l="1"/>
  <c r="U24" i="4" l="1"/>
  <c r="AA24" i="4"/>
  <c r="Q24" i="4"/>
  <c r="W24" i="4"/>
  <c r="Y24" i="4"/>
  <c r="S71" i="4" l="1"/>
  <c r="S70" i="4" s="1"/>
  <c r="S98" i="4" s="1"/>
  <c r="AC24" i="4"/>
  <c r="F29" i="4" l="1"/>
  <c r="S21" i="4" l="1"/>
  <c r="F21" i="4"/>
  <c r="Y21" i="4" l="1"/>
  <c r="Q21" i="4"/>
  <c r="U21" i="4"/>
  <c r="W20" i="4"/>
  <c r="W21" i="4"/>
  <c r="AA20" i="4"/>
  <c r="AA21" i="4"/>
  <c r="S20" i="4"/>
  <c r="Q20" i="4"/>
  <c r="U20" i="4"/>
  <c r="Y20" i="4"/>
  <c r="AC20" i="4" l="1"/>
  <c r="AC21" i="4"/>
  <c r="F19" i="4"/>
  <c r="F25" i="4" l="1"/>
  <c r="W25" i="4" l="1"/>
  <c r="U25" i="4" l="1"/>
  <c r="AA25" i="4"/>
  <c r="S25" i="4"/>
  <c r="Q25" i="4"/>
  <c r="Y25" i="4"/>
  <c r="R48" i="2" l="1"/>
  <c r="Y19" i="4" l="1"/>
  <c r="U19" i="4"/>
  <c r="Q19" i="4"/>
  <c r="AC19" i="4" l="1"/>
  <c r="S19" i="4"/>
  <c r="W19" i="4"/>
  <c r="AA19" i="4"/>
  <c r="F31" i="4" l="1"/>
  <c r="S31" i="4" l="1"/>
  <c r="Q31" i="4"/>
  <c r="W31" i="4"/>
  <c r="U31" i="4"/>
  <c r="AA31" i="4"/>
  <c r="Y31" i="4"/>
  <c r="AC31" i="4" l="1"/>
  <c r="F22" i="4" l="1"/>
  <c r="AA22" i="4" l="1"/>
  <c r="U22" i="4"/>
  <c r="S22" i="4" l="1"/>
  <c r="Y22" i="4"/>
  <c r="AC22" i="4"/>
  <c r="Q22" i="4"/>
  <c r="W22" i="4"/>
  <c r="P43" i="4" l="1"/>
  <c r="V43" i="4"/>
  <c r="X43" i="4"/>
  <c r="Z43" i="4"/>
  <c r="R43" i="4"/>
  <c r="T43" i="4"/>
  <c r="AQ7" i="6" l="1"/>
  <c r="AQ13" i="6" l="1"/>
  <c r="AQ11" i="6"/>
  <c r="AQ9" i="6"/>
  <c r="AS10" i="6" l="1"/>
  <c r="F43" i="4" l="1"/>
  <c r="F41" i="4"/>
  <c r="F37" i="4"/>
  <c r="F40" i="4"/>
  <c r="F36" i="4"/>
  <c r="F39" i="4"/>
  <c r="F38" i="4"/>
  <c r="F26" i="4" l="1"/>
  <c r="Y26" i="4" l="1"/>
  <c r="AA26" i="4" l="1"/>
  <c r="AC26" i="4"/>
  <c r="S26" i="4"/>
  <c r="Q26" i="4"/>
  <c r="W26" i="4"/>
  <c r="U26" i="4"/>
  <c r="F32" i="4" l="1"/>
  <c r="W32" i="4" l="1"/>
  <c r="Y32" i="4"/>
  <c r="S32" i="4"/>
  <c r="U32" i="4"/>
  <c r="Q32" i="4"/>
  <c r="AA32" i="4"/>
  <c r="AC32" i="4" l="1"/>
  <c r="F23" i="4" l="1"/>
  <c r="G116" i="4" l="1"/>
  <c r="M116" i="4"/>
  <c r="I116" i="4"/>
  <c r="O116" i="4"/>
  <c r="Q116" i="4"/>
  <c r="K116" i="4"/>
  <c r="G71" i="4" l="1"/>
  <c r="Q23" i="4"/>
  <c r="Q18" i="4" s="1"/>
  <c r="AA23" i="4"/>
  <c r="AA18" i="4" s="1"/>
  <c r="Q71" i="4"/>
  <c r="Y23" i="4"/>
  <c r="Y18" i="4" s="1"/>
  <c r="O71" i="4"/>
  <c r="U23" i="4"/>
  <c r="U18" i="4" s="1"/>
  <c r="K71" i="4"/>
  <c r="I71" i="4"/>
  <c r="S23" i="4"/>
  <c r="S18" i="4" s="1"/>
  <c r="M71" i="4"/>
  <c r="W23" i="4"/>
  <c r="W18" i="4" s="1"/>
  <c r="AC23" i="4" l="1"/>
  <c r="AC18" i="4" s="1"/>
  <c r="S116" i="4"/>
  <c r="F33" i="4" l="1"/>
  <c r="W48" i="2" l="1"/>
  <c r="I48" i="2"/>
  <c r="Z48" i="2"/>
  <c r="J48" i="2"/>
  <c r="O48" i="2"/>
  <c r="F48" i="2"/>
  <c r="N48" i="2"/>
  <c r="Q48" i="2"/>
  <c r="X48" i="2"/>
  <c r="Y48" i="2"/>
  <c r="M48" i="2"/>
  <c r="L48" i="2"/>
  <c r="T48" i="2"/>
  <c r="K48" i="2"/>
  <c r="G48" i="2"/>
  <c r="S48" i="2"/>
  <c r="AB48" i="2"/>
  <c r="V48" i="2"/>
  <c r="P48" i="2"/>
  <c r="H48" i="2"/>
  <c r="U48" i="2"/>
  <c r="AC48" i="2"/>
  <c r="AA48" i="2"/>
  <c r="AA48" i="3"/>
  <c r="G48" i="3"/>
  <c r="R48" i="3"/>
  <c r="N48" i="3"/>
  <c r="T48" i="3"/>
  <c r="Z48" i="3"/>
  <c r="X48" i="3"/>
  <c r="AB48" i="3"/>
  <c r="Q48" i="3"/>
  <c r="O48" i="3"/>
  <c r="S48" i="3"/>
  <c r="U48" i="3"/>
  <c r="K48" i="3"/>
  <c r="W48" i="3"/>
  <c r="AC48" i="3"/>
  <c r="P48" i="3"/>
  <c r="Y48" i="3"/>
  <c r="V48" i="3"/>
  <c r="J48" i="3"/>
  <c r="H48" i="3"/>
  <c r="L48" i="3"/>
  <c r="M48" i="3"/>
  <c r="I48" i="3"/>
  <c r="F48" i="3"/>
  <c r="Q128" i="4" l="1"/>
  <c r="Q115" i="4" s="1"/>
  <c r="Q143" i="4" s="1"/>
  <c r="G128" i="4"/>
  <c r="G115" i="4" s="1"/>
  <c r="G143" i="4" s="1"/>
  <c r="K128" i="4"/>
  <c r="K115" i="4" s="1"/>
  <c r="K143" i="4" s="1"/>
  <c r="I128" i="4"/>
  <c r="I115" i="4" s="1"/>
  <c r="I143" i="4" s="1"/>
  <c r="O128" i="4"/>
  <c r="O115" i="4" s="1"/>
  <c r="O143" i="4" s="1"/>
  <c r="M128" i="4"/>
  <c r="M115" i="4" s="1"/>
  <c r="M143" i="4" s="1"/>
  <c r="U33" i="4" l="1"/>
  <c r="U30" i="4" s="1"/>
  <c r="U17" i="4" s="1"/>
  <c r="U45" i="4" s="1"/>
  <c r="K83" i="4"/>
  <c r="K70" i="4" s="1"/>
  <c r="K98" i="4" s="1"/>
  <c r="Q33" i="4"/>
  <c r="Q30" i="4" s="1"/>
  <c r="Q17" i="4" s="1"/>
  <c r="Q45" i="4" s="1"/>
  <c r="G83" i="4"/>
  <c r="G70" i="4" s="1"/>
  <c r="G98" i="4" s="1"/>
  <c r="Y33" i="4"/>
  <c r="Y30" i="4" s="1"/>
  <c r="Y17" i="4" s="1"/>
  <c r="Y45" i="4" s="1"/>
  <c r="O83" i="4"/>
  <c r="O70" i="4" s="1"/>
  <c r="O98" i="4" s="1"/>
  <c r="AC33" i="4"/>
  <c r="AC30" i="4" s="1"/>
  <c r="AC17" i="4" s="1"/>
  <c r="AC45" i="4" s="1"/>
  <c r="S128" i="4"/>
  <c r="S115" i="4" s="1"/>
  <c r="S143" i="4" s="1"/>
  <c r="S33" i="4"/>
  <c r="S30" i="4" s="1"/>
  <c r="S17" i="4" s="1"/>
  <c r="S45" i="4" s="1"/>
  <c r="I83" i="4"/>
  <c r="I70" i="4" s="1"/>
  <c r="I98" i="4" s="1"/>
  <c r="AA33" i="4"/>
  <c r="AA30" i="4" s="1"/>
  <c r="AA17" i="4" s="1"/>
  <c r="AA45" i="4" s="1"/>
  <c r="Q83" i="4"/>
  <c r="Q70" i="4" s="1"/>
  <c r="Q98" i="4" s="1"/>
  <c r="W33" i="4"/>
  <c r="W30" i="4" s="1"/>
  <c r="W17" i="4" s="1"/>
  <c r="W45" i="4" s="1"/>
  <c r="M83" i="4"/>
  <c r="M70" i="4" s="1"/>
  <c r="M98" i="4" s="1"/>
  <c r="F14" i="4" l="1"/>
  <c r="BG5" i="7" l="1"/>
  <c r="V12" i="4" l="1"/>
  <c r="T12" i="4"/>
  <c r="R12" i="4"/>
  <c r="P12" i="4"/>
  <c r="Z12" i="4"/>
  <c r="X12" i="4"/>
  <c r="F11" i="4" l="1"/>
  <c r="T11" i="4" l="1"/>
  <c r="V11" i="4" l="1"/>
  <c r="R11" i="4"/>
  <c r="X11" i="4"/>
  <c r="Z11" i="4"/>
  <c r="P11" i="4"/>
  <c r="F13" i="4" l="1"/>
  <c r="F12" i="4"/>
  <c r="R13" i="4" l="1"/>
  <c r="Z13" i="4" l="1"/>
  <c r="X13" i="4"/>
  <c r="V13" i="4"/>
  <c r="P13" i="4"/>
  <c r="T13" i="4"/>
  <c r="X14" i="4"/>
  <c r="Z14" i="4"/>
  <c r="R14" i="4"/>
  <c r="V14" i="4"/>
  <c r="T14" i="4"/>
  <c r="P14" i="4"/>
  <c r="F10" i="4" l="1"/>
  <c r="F107" i="4" l="1"/>
  <c r="P107" i="4"/>
  <c r="N107" i="4"/>
  <c r="H107" i="4"/>
  <c r="L107" i="4"/>
  <c r="R107" i="4"/>
  <c r="R143" i="4" s="1"/>
  <c r="J107" i="4"/>
  <c r="V10" i="4" l="1"/>
  <c r="V9" i="4" s="1"/>
  <c r="L62" i="4"/>
  <c r="X10" i="4"/>
  <c r="X9" i="4" s="1"/>
  <c r="N62" i="4"/>
  <c r="T10" i="4"/>
  <c r="T9" i="4" s="1"/>
  <c r="J62" i="4"/>
  <c r="H62" i="4"/>
  <c r="R10" i="4"/>
  <c r="R9" i="4" s="1"/>
  <c r="P62" i="4"/>
  <c r="Z10" i="4"/>
  <c r="Z9" i="4" s="1"/>
  <c r="P10" i="4"/>
  <c r="P9" i="4" s="1"/>
  <c r="F62" i="4"/>
  <c r="R62" i="4"/>
  <c r="R98" i="4" s="1"/>
  <c r="AB10" i="4"/>
  <c r="AB9" i="4" s="1"/>
  <c r="AB45" i="4" s="1"/>
  <c r="F16" i="4" l="1"/>
  <c r="F9" i="4" l="1"/>
  <c r="BE22" i="7" s="1"/>
  <c r="AX12" i="7"/>
  <c r="N113" i="4" l="1"/>
  <c r="P113" i="4"/>
  <c r="F113" i="4"/>
  <c r="L113" i="4"/>
  <c r="H113" i="4"/>
  <c r="X16" i="4" l="1"/>
  <c r="X15" i="4" s="1"/>
  <c r="N68" i="4"/>
  <c r="H68" i="4"/>
  <c r="R16" i="4"/>
  <c r="R15" i="4" s="1"/>
  <c r="P16" i="4"/>
  <c r="P15" i="4" s="1"/>
  <c r="F68" i="4"/>
  <c r="L68" i="4"/>
  <c r="V16" i="4"/>
  <c r="V15" i="4" s="1"/>
  <c r="T16" i="4"/>
  <c r="T15" i="4" s="1"/>
  <c r="J68" i="4"/>
  <c r="J113" i="4"/>
  <c r="Z16" i="4"/>
  <c r="Z15" i="4" s="1"/>
  <c r="P68" i="4"/>
  <c r="BE5" i="7" l="1"/>
  <c r="P41" i="4" l="1"/>
  <c r="V41" i="4"/>
  <c r="X41" i="4"/>
  <c r="R41" i="4"/>
  <c r="Z41" i="4"/>
  <c r="T41" i="4"/>
  <c r="X40" i="4"/>
  <c r="R40" i="4"/>
  <c r="V40" i="4"/>
  <c r="Z40" i="4"/>
  <c r="T40" i="4"/>
  <c r="P39" i="4"/>
  <c r="P40" i="4"/>
  <c r="X39" i="4"/>
  <c r="R39" i="4"/>
  <c r="V39" i="4"/>
  <c r="Z39" i="4"/>
  <c r="T39" i="4"/>
  <c r="F30" i="4"/>
  <c r="R38" i="4"/>
  <c r="P38" i="4"/>
  <c r="T38" i="4"/>
  <c r="V38" i="4"/>
  <c r="AR7" i="6"/>
  <c r="Z38" i="4"/>
  <c r="X38" i="4"/>
  <c r="F18" i="4" l="1"/>
  <c r="BI5" i="7" s="1"/>
  <c r="AR13" i="6"/>
  <c r="AR9" i="6"/>
  <c r="AR11" i="6"/>
  <c r="F17" i="4" l="1"/>
  <c r="AY5" i="7" l="1"/>
  <c r="BH22" i="7"/>
  <c r="F15" i="4"/>
  <c r="BF22" i="7" s="1"/>
  <c r="P37" i="4" l="1"/>
  <c r="Z37" i="4"/>
  <c r="V37" i="4"/>
  <c r="X37" i="4"/>
  <c r="T37" i="4"/>
  <c r="R37" i="4"/>
  <c r="R36" i="4"/>
  <c r="P36" i="4"/>
  <c r="T36" i="4"/>
  <c r="Z36" i="4"/>
  <c r="V36" i="4"/>
  <c r="X36" i="4"/>
  <c r="AC22" i="3" l="1"/>
  <c r="V22" i="3"/>
  <c r="R22" i="3"/>
  <c r="Y22" i="3"/>
  <c r="W22" i="3"/>
  <c r="O22" i="3"/>
  <c r="AB22" i="3"/>
  <c r="H22" i="3"/>
  <c r="I22" i="3"/>
  <c r="T22" i="3"/>
  <c r="N22" i="3"/>
  <c r="S22" i="3"/>
  <c r="Z22" i="3"/>
  <c r="X22" i="3"/>
  <c r="AA22" i="3"/>
  <c r="L22" i="3"/>
  <c r="J22" i="3"/>
  <c r="U22" i="3"/>
  <c r="M22" i="3"/>
  <c r="K22" i="3"/>
  <c r="F22" i="3"/>
  <c r="Q22" i="3"/>
  <c r="P22" i="3"/>
  <c r="G22" i="3"/>
  <c r="F42" i="4" l="1"/>
  <c r="AY12" i="7" s="1"/>
  <c r="AZ12" i="7" l="1"/>
  <c r="BH5" i="7"/>
  <c r="BK5" i="7" s="1"/>
  <c r="F34" i="4"/>
  <c r="BI22" i="7" s="1"/>
  <c r="S22" i="2"/>
  <c r="Q22" i="2"/>
  <c r="Y22" i="2"/>
  <c r="AC22" i="2"/>
  <c r="W22" i="2"/>
  <c r="Z22" i="2"/>
  <c r="X22" i="2"/>
  <c r="N22" i="2"/>
  <c r="O22" i="2"/>
  <c r="H22" i="2"/>
  <c r="I22" i="2"/>
  <c r="AB22" i="2"/>
  <c r="G22" i="2"/>
  <c r="P22" i="2"/>
  <c r="L22" i="2"/>
  <c r="T22" i="2"/>
  <c r="J22" i="2"/>
  <c r="K22" i="2"/>
  <c r="AA22" i="2"/>
  <c r="F22" i="2"/>
  <c r="V22" i="2"/>
  <c r="R22" i="2"/>
  <c r="U22" i="2"/>
  <c r="M22" i="2"/>
  <c r="BJ22" i="7" l="1"/>
  <c r="BI21" i="7" s="1"/>
  <c r="F45" i="4"/>
  <c r="AX5" i="7"/>
  <c r="BH4" i="7"/>
  <c r="BE4" i="7"/>
  <c r="BI4" i="7"/>
  <c r="BF4" i="7"/>
  <c r="BK4" i="7"/>
  <c r="BG4" i="7"/>
  <c r="BJ4" i="7"/>
  <c r="H132" i="4"/>
  <c r="H143" i="4" s="1"/>
  <c r="F132" i="4"/>
  <c r="F143" i="4" s="1"/>
  <c r="L132" i="4"/>
  <c r="L143" i="4" s="1"/>
  <c r="J132" i="4"/>
  <c r="J143" i="4" s="1"/>
  <c r="P132" i="4"/>
  <c r="P143" i="4" s="1"/>
  <c r="N132" i="4"/>
  <c r="N143" i="4" s="1"/>
  <c r="G34" i="4" l="1"/>
  <c r="AZ14" i="7"/>
  <c r="BJ21" i="7"/>
  <c r="BJ24" i="7"/>
  <c r="BG21" i="7"/>
  <c r="BE21" i="7"/>
  <c r="BF21" i="7"/>
  <c r="BH21" i="7"/>
  <c r="BK7" i="7"/>
  <c r="Z42" i="4"/>
  <c r="Z34" i="4" s="1"/>
  <c r="Z45" i="4" s="1"/>
  <c r="P87" i="4"/>
  <c r="P98" i="4" s="1"/>
  <c r="X42" i="4"/>
  <c r="X34" i="4" s="1"/>
  <c r="X45" i="4" s="1"/>
  <c r="N87" i="4"/>
  <c r="N98" i="4" s="1"/>
  <c r="R42" i="4"/>
  <c r="R34" i="4" s="1"/>
  <c r="R45" i="4" s="1"/>
  <c r="H87" i="4"/>
  <c r="H98" i="4" s="1"/>
  <c r="P42" i="4"/>
  <c r="P34" i="4" s="1"/>
  <c r="P45" i="4" s="1"/>
  <c r="F87" i="4"/>
  <c r="F98" i="4" s="1"/>
  <c r="T42" i="4"/>
  <c r="T34" i="4" s="1"/>
  <c r="T45" i="4" s="1"/>
  <c r="J87" i="4"/>
  <c r="J98" i="4" s="1"/>
  <c r="V42" i="4"/>
  <c r="V34" i="4" s="1"/>
  <c r="V45" i="4" s="1"/>
  <c r="L87" i="4"/>
  <c r="L98" i="4" s="1"/>
  <c r="BA5" i="7"/>
  <c r="G17" i="4"/>
  <c r="AS5" i="6"/>
  <c r="AS7" i="6" s="1"/>
  <c r="AS9" i="6" s="1"/>
  <c r="G15" i="4"/>
  <c r="G9" i="4"/>
  <c r="AX4" i="7" l="1"/>
  <c r="AX11" i="7"/>
  <c r="AY11" i="7"/>
  <c r="AZ11" i="7"/>
  <c r="AS13" i="6"/>
  <c r="AS11" i="6"/>
  <c r="AY4" i="7"/>
  <c r="BA4" i="7"/>
  <c r="AZ4" i="7"/>
  <c r="BA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tc={ECD6954B-7F7A-47A3-B3DB-20FAB708E466}</author>
  </authors>
  <commentList>
    <comment ref="AG24" authorId="0" shapeId="0" xr:uid="{ECD6954B-7F7A-47A3-B3DB-20FAB708E466}">
      <text>
        <t>[Comentario encadenado]
Tu versión de Excel te permite leer este comentario encadenado; sin embargo, las ediciones que se apliquen se quitarán si el archivo se abre en una versión más reciente de Excel. Más información: https://go.microsoft.com/fwlink/?linkid=870924
Comentario:
    Preguntar por el redondeo.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VF</author>
    <author>As_Gabinete_Oeste1</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O6" authorId="1" shapeId="0" xr:uid="{C3946839-15E8-46E7-8B29-6F790C33C1C5}">
      <text>
        <r>
          <rPr>
            <b/>
            <sz val="9"/>
            <color indexed="81"/>
            <rFont val="Tahoma"/>
            <family val="2"/>
          </rPr>
          <t>Neto de Portezuelo del Viento.</t>
        </r>
      </text>
    </comment>
    <comment ref="AP6" authorId="1" shapeId="0" xr:uid="{3AFDF2A2-0F28-4407-AE0D-27BB09FA82C2}">
      <text>
        <r>
          <rPr>
            <b/>
            <sz val="9"/>
            <color indexed="81"/>
            <rFont val="Tahoma"/>
            <family val="2"/>
          </rPr>
          <t>Neto de Portezuelo del Viento.</t>
        </r>
      </text>
    </comment>
    <comment ref="AQ6" authorId="1" shapeId="0" xr:uid="{E3D7A5A5-642C-425E-93C0-6337A5CC9DAB}">
      <text>
        <r>
          <rPr>
            <b/>
            <sz val="9"/>
            <color indexed="81"/>
            <rFont val="Tahoma"/>
            <family val="2"/>
          </rPr>
          <t>Neto de Portezuelo del Viento.</t>
        </r>
      </text>
    </comment>
    <comment ref="AR6" authorId="1" shapeId="0" xr:uid="{0F96D6F8-B970-4D08-9C36-74F2CCC44CE5}">
      <text>
        <r>
          <rPr>
            <b/>
            <sz val="9"/>
            <color indexed="81"/>
            <rFont val="Tahoma"/>
            <family val="2"/>
          </rPr>
          <t>Neto de Portezuelo del Viento.</t>
        </r>
      </text>
    </comment>
    <comment ref="AS6" authorId="1" shapeId="0" xr:uid="{E7491A7E-690D-4012-AD89-61649350C9DA}">
      <text>
        <r>
          <rPr>
            <b/>
            <sz val="9"/>
            <color indexed="81"/>
            <rFont val="Tahoma"/>
            <family val="2"/>
          </rPr>
          <t>Dato estimado y neto de Portezuelo del Viento.</t>
        </r>
      </text>
    </comment>
    <comment ref="A12" authorId="0" shapeId="0" xr:uid="{00000000-0006-0000-0600-000003000000}">
      <text>
        <r>
          <rPr>
            <sz val="9"/>
            <color indexed="81"/>
            <rFont val="Tahoma"/>
            <family val="2"/>
          </rPr>
          <t>La información sobre DEUDA FLOTANTE se encuentra disponible en la página web del Ministerio de Hacienda - Responsabilidad Fiscal (Anexo 6)</t>
        </r>
      </text>
    </comment>
    <comment ref="AS12" authorId="1" shapeId="0" xr:uid="{A6E864E0-9533-4CAA-AB21-C4CCA7C7736A}">
      <text>
        <r>
          <rPr>
            <b/>
            <sz val="9"/>
            <color indexed="81"/>
            <rFont val="Tahoma"/>
            <family val="2"/>
          </rPr>
          <t>Dato estimado.</t>
        </r>
      </text>
    </comment>
  </commentList>
</comments>
</file>

<file path=xl/sharedStrings.xml><?xml version="1.0" encoding="utf-8"?>
<sst xmlns="http://schemas.openxmlformats.org/spreadsheetml/2006/main" count="1004" uniqueCount="268">
  <si>
    <t>Acreedor/Creditor</t>
  </si>
  <si>
    <t>ID</t>
  </si>
  <si>
    <t>Pesos</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</si>
  <si>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</si>
  <si>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</si>
  <si>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</si>
  <si>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</si>
  <si>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</si>
  <si>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</si>
  <si>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</si>
  <si>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</si>
  <si>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</si>
  <si>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</si>
  <si>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</si>
  <si>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</si>
  <si>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</si>
  <si>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</si>
  <si>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</si>
  <si>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</si>
  <si>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</si>
  <si>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</si>
  <si>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</si>
  <si>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</si>
  <si>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</si>
  <si>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</si>
  <si>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</si>
  <si>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</si>
  <si>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</si>
  <si>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</si>
  <si>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</si>
  <si>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</si>
  <si>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</si>
  <si>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</si>
  <si>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</si>
  <si>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</si>
  <si>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</si>
  <si>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</si>
  <si>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</si>
  <si>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</si>
  <si>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</si>
  <si>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</si>
  <si>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</si>
  <si>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</si>
  <si>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</si>
  <si>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</si>
  <si>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</si>
  <si>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</si>
  <si>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</si>
  <si>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</si>
  <si>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</si>
  <si>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</si>
  <si>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</si>
  <si>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</si>
  <si>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</si>
  <si>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</si>
  <si>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</si>
  <si>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</si>
  <si>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</si>
  <si>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</si>
  <si>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</si>
  <si>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</si>
  <si>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</si>
  <si>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</si>
  <si>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</si>
  <si>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</si>
  <si>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</si>
  <si>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</si>
  <si>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</si>
  <si>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</si>
  <si>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</si>
  <si>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</si>
  <si>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</si>
  <si>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</si>
  <si>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</si>
  <si>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</si>
  <si>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</si>
  <si>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</si>
  <si>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</si>
  <si>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</si>
  <si>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</si>
  <si>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</si>
  <si>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</si>
  <si>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</si>
  <si>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</si>
  <si>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</si>
  <si>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</si>
  <si>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</si>
  <si>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</si>
  <si>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</si>
  <si>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</si>
  <si>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</si>
  <si>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</si>
  <si>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</si>
  <si>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</si>
  <si>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</si>
  <si>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</si>
  <si>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</si>
  <si>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</si>
  <si>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</si>
  <si>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</si>
  <si>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</si>
  <si>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</si>
  <si>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</si>
  <si>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</si>
  <si>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</si>
  <si>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</si>
  <si>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</si>
  <si>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</si>
  <si>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</si>
  <si>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</si>
  <si>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</si>
  <si>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</si>
  <si>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</si>
  <si>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</si>
  <si>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</si>
  <si>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</si>
  <si>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</si>
  <si>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</si>
  <si>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TOTAL INTERESES EN PESOS</t>
  </si>
  <si>
    <t>TOTAL INTERESES EN USD</t>
  </si>
  <si>
    <t>Vencimientos_en_USD_por_servicio</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</si>
  <si>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</si>
  <si>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</si>
  <si>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</si>
  <si>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</si>
  <si>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</si>
  <si>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</si>
  <si>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</si>
  <si>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</si>
  <si>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</si>
  <si>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</si>
  <si>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</si>
  <si>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t>BONO MENDOZA 2024 - Inversión en Infraestructura Pública</t>
  </si>
  <si>
    <t>PMD24</t>
  </si>
  <si>
    <t>Bono de Conversión ANSES</t>
  </si>
  <si>
    <t>PMM31</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</si>
  <si>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</si>
  <si>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</si>
  <si>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</si>
  <si>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</si>
  <si>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</si>
  <si>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</si>
  <si>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</si>
  <si>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</si>
  <si>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8867 BIRF - GIRSAR</t>
  </si>
  <si>
    <t>BIRE50</t>
  </si>
  <si>
    <t>Coparticipación Federal de Impuestos</t>
  </si>
  <si>
    <t>Mensual</t>
  </si>
  <si>
    <t>Automático</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</si>
  <si>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</si>
  <si>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</si>
  <si>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</si>
  <si>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</si>
  <si>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</si>
  <si>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</si>
  <si>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</si>
  <si>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</si>
  <si>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</si>
  <si>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</si>
  <si>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Bcos Priv</t>
  </si>
  <si>
    <t>BADLAR Bancos Privados + 4%</t>
  </si>
  <si>
    <t>BADLAR Bancos Privados</t>
  </si>
  <si>
    <t>-</t>
  </si>
  <si>
    <t>Títulos de Deuda SVS</t>
  </si>
  <si>
    <t>Títulos de Deuda 2024</t>
  </si>
  <si>
    <t>PMJ25</t>
  </si>
  <si>
    <t>PM2D4</t>
  </si>
  <si>
    <t>BADLAR Bancos Privados + 5,90%</t>
  </si>
  <si>
    <t>BADLAR Bancos Privados + 5,75%</t>
  </si>
  <si>
    <t>8712 BIRF - Proyecto Integral Hábitat y Vivienda</t>
  </si>
  <si>
    <t>BIRF34</t>
  </si>
  <si>
    <t>Promedio        2030-2050</t>
  </si>
  <si>
    <t>TÍTULOS DE DEUDA SVS</t>
  </si>
  <si>
    <t>TÍTULOS DE DEUDA 2024</t>
  </si>
  <si>
    <t>Prom Resto 2030-2050</t>
  </si>
  <si>
    <t>C</t>
  </si>
  <si>
    <t>GF</t>
  </si>
  <si>
    <t>BNA</t>
  </si>
  <si>
    <t>BI</t>
  </si>
  <si>
    <t>BN</t>
  </si>
  <si>
    <t>TB</t>
  </si>
  <si>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</si>
  <si>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t>Fecha</t>
  </si>
  <si>
    <t>IPC INDEC</t>
  </si>
  <si>
    <t>IPC SL</t>
  </si>
  <si>
    <t>VAR SL</t>
  </si>
  <si>
    <t>INDEX</t>
  </si>
  <si>
    <t>IPC</t>
  </si>
  <si>
    <t>CER (Fin de Período)</t>
  </si>
  <si>
    <t>FFFIR Cloacas Tunuyán - Tupungato</t>
  </si>
  <si>
    <t>Deuda</t>
  </si>
  <si>
    <t>PBG</t>
  </si>
  <si>
    <t>En millones de ARS corrientes</t>
  </si>
  <si>
    <t>Ratio</t>
  </si>
  <si>
    <t>Cap</t>
  </si>
  <si>
    <t>Int</t>
  </si>
  <si>
    <t>I</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</si>
  <si>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</si>
  <si>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</si>
  <si>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</si>
  <si>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</si>
  <si>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</si>
  <si>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</si>
  <si>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</si>
  <si>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</si>
  <si>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</si>
  <si>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</si>
  <si>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</si>
  <si>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</si>
  <si>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</si>
  <si>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</si>
  <si>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</si>
  <si>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</si>
  <si>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</si>
  <si>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</si>
  <si>
    <t>Acumulada trimestre</t>
  </si>
  <si>
    <t>Total</t>
  </si>
  <si>
    <t>2030-2050</t>
  </si>
  <si>
    <t>GRÁFICOS</t>
  </si>
  <si>
    <t>COMPOSICIÓN DE LA DEUDA PÚBLICA POR TASA DE INTERÉS</t>
  </si>
  <si>
    <t>COMPOSICIÓN DE LA DEUDA PÚBLICA POR MONEDA</t>
  </si>
  <si>
    <t>% del Total</t>
  </si>
  <si>
    <t xml:space="preserve"> % del Total</t>
  </si>
  <si>
    <t>PERFIL DE VENCIMIENTO DEUDA PÚBLICA EN PESOS</t>
  </si>
  <si>
    <t>PERFIL DE VENCIMIENTO DEUDA PÚBLICA EN DÓLARES</t>
  </si>
  <si>
    <t>Millones de USD</t>
  </si>
  <si>
    <t>Millones de $</t>
  </si>
  <si>
    <t>PERFIL DE VENCIMIENTOS DEUDA PÚBLICA EN DÓLARES POR TIPO DE SERVICIO</t>
  </si>
  <si>
    <t>Millones de USD. Capital e Interés como % del servicio total</t>
  </si>
  <si>
    <t>Millones de $. Capital e Interés como % del servicio total</t>
  </si>
  <si>
    <t>PERFIL DE VENCIMIENTOS DEUDA PÚBLICA EN PESOS POR TIPO DE SERVICIO</t>
  </si>
  <si>
    <t>PERFIL DE VENCIMIENTO DEUDA PÚBLICA EN PESOS POR ACREEDOR</t>
  </si>
  <si>
    <t>PERFIL DE VENCIMIENTO DEUDA PÚBLICA EN DÓLARES POR ACREEDOR</t>
  </si>
  <si>
    <t>TÍTULOS DE DEUDA CER CLASE 1</t>
  </si>
  <si>
    <t>TÍTULOS DE DEUDA CER CLASE 2</t>
  </si>
  <si>
    <t>PMD25</t>
  </si>
  <si>
    <t>PMM27</t>
  </si>
  <si>
    <t>Pesos Ajustados</t>
  </si>
  <si>
    <t xml:space="preserve">CER </t>
  </si>
  <si>
    <t>Cupón Cero</t>
  </si>
  <si>
    <t>FFFIRS33</t>
  </si>
  <si>
    <r>
      <t xml:space="preserve">BONO MENDOZA 2029 </t>
    </r>
    <r>
      <rPr>
        <vertAlign val="superscript"/>
        <sz val="11"/>
        <rFont val="Arial Narrow"/>
        <family val="2"/>
      </rPr>
      <t>(1)</t>
    </r>
  </si>
  <si>
    <r>
      <rPr>
        <vertAlign val="superscript"/>
        <sz val="9"/>
        <color theme="1"/>
        <rFont val="Arial Narrow"/>
        <family val="2"/>
      </rPr>
      <t xml:space="preserve">(1)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</si>
  <si>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Títulos de Deuda 2024 </t>
    </r>
    <r>
      <rPr>
        <vertAlign val="superscript"/>
        <sz val="11"/>
        <rFont val="Arial Narrow"/>
        <family val="2"/>
      </rPr>
      <t>(2)</t>
    </r>
  </si>
  <si>
    <r>
      <rPr>
        <vertAlign val="superscript"/>
        <sz val="9"/>
        <color theme="1"/>
        <rFont val="Arial Narrow"/>
        <family val="2"/>
      </rPr>
      <t>(2)</t>
    </r>
    <r>
      <rPr>
        <sz val="9"/>
        <color theme="1"/>
        <rFont val="Arial Narrow"/>
        <family val="2"/>
      </rPr>
      <t xml:space="preserve"> La totalidad del stock informado corresponde a la refinanciación del BONO MENDOZA 2023, con fecha el 21/06/2023.</t>
    </r>
  </si>
  <si>
    <r>
      <rPr>
        <vertAlign val="superscript"/>
        <sz val="9"/>
        <color theme="1"/>
        <rFont val="Arial Narrow"/>
        <family val="2"/>
      </rPr>
      <t>(3)</t>
    </r>
    <r>
      <rPr>
        <sz val="9"/>
        <color theme="1"/>
        <rFont val="Arial Narrow"/>
        <family val="2"/>
      </rPr>
      <t xml:space="preserve"> La administración y gestión de los fondos provenientes del Préstamo es realizada por el IPV</t>
    </r>
  </si>
  <si>
    <r>
      <t xml:space="preserve">8712 BIRF - Proyecto Integral Hábitat y Vivienda </t>
    </r>
    <r>
      <rPr>
        <vertAlign val="superscript"/>
        <sz val="11"/>
        <rFont val="Arial Narrow"/>
        <family val="2"/>
      </rPr>
      <t>(3)</t>
    </r>
  </si>
  <si>
    <t>Fuente: MHyF, DGDP</t>
  </si>
  <si>
    <t xml:space="preserve">Fuente MHyF, DGDP </t>
  </si>
  <si>
    <t>Fuente MHyF, DGDP</t>
  </si>
  <si>
    <t xml:space="preserve">PERFIL DE VENCIMIENTOS DEUDA PÚBLICA EN PESOS </t>
  </si>
  <si>
    <t>POR TIPO DE SERVICIO</t>
  </si>
  <si>
    <t xml:space="preserve">Fuente: MHyF, DGDP </t>
  </si>
  <si>
    <t>2do Trimestre</t>
  </si>
  <si>
    <t>(3) x (A) = Deuda TOTAL ADMINISTRACIÓN CENTRAL medida en PESOS de Junio de 2024</t>
  </si>
  <si>
    <t>(3+4) x (A)= Deuda TOTAL medida en PESOS de Junio de 2024</t>
  </si>
  <si>
    <t>3er Trimestre</t>
  </si>
  <si>
    <t>Deuda TOTAL/PBG*</t>
  </si>
  <si>
    <t>*Nota: A partir de septiembre de 2024, este ratio no resulta directamente comparable con informes anteriores, debido al cambio de base del PBG a 2004, publicado por la DEIE el día 27/08/2024.</t>
  </si>
  <si>
    <t>(p)</t>
  </si>
  <si>
    <t>(p) Dato provisrio</t>
  </si>
  <si>
    <t>4to Trimestre</t>
  </si>
  <si>
    <t xml:space="preserve"> (A) (IPC Diciembre 2024) /(IPC Periodo) </t>
  </si>
  <si>
    <t>Composición por Acreedor</t>
  </si>
  <si>
    <t>Pesos ajustados</t>
  </si>
  <si>
    <t>Composición por Moneda (solo Pesos)</t>
  </si>
  <si>
    <t>(2) Deuda Flotante ADMINISTRACIÓN CENTRAL (a)</t>
  </si>
  <si>
    <t>(a) Neto de Portezuelo del Viento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</si>
</sst>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4" formatCode="_-&quot;$&quot;\ * #,##0.00_-;\-&quot;$&quot;\ * #,##0.00_-;_-&quot;$&quot;\ * &quot;-&quot;??_-;_-@_-"/>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 numFmtId="183" formatCode="_-* #,##0.00\ _€_-;\-* #,##0.00\ _€_-;_-* &quot;-&quot;??\ _€_-;_-@_-"/>
    <numFmt numFmtId="184" formatCode="[$USD]\ #,##0.00000000000000000000"/>
    <numFmt numFmtId="185" formatCode="[$ARS]\ #,##0.00000000000"/>
    <numFmt numFmtId="186" formatCode="[$ARS]\ #,##0.0000000000000"/>
    <numFmt numFmtId="187" formatCode="[$ARS]\ #,##0.0000000000000000"/>
    <numFmt numFmtId="188" formatCode="[$ARS]\ #,##0.00000000000000000"/>
    <numFmt numFmtId="189" formatCode="[$ARS]\ #,##0.0000000000000000000"/>
    <numFmt numFmtId="190" formatCode="[$ARS]\ #,##0.00000000000000000000"/>
    <numFmt numFmtId="191" formatCode="[$ARS]\ #,##0.000000000000000000000"/>
    <numFmt numFmtId="192" formatCode="_ * #,##0.00000_ ;_ * \-#,##0.00000_ ;_ * &quot;-&quot;??_ ;_ @_ "/>
    <numFmt numFmtId="193" formatCode="_ * #,##0.0000000000000000000_ ;_ * \-#,##0.0000000000000000000_ ;_ * &quot;-&quot;??_ ;_ @_ "/>
    <numFmt numFmtId="194" formatCode="0.00000"/>
  </numFmts>
  <fonts count="58"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
      <sz val="10"/>
      <color theme="1"/>
      <name val="Arial"/>
      <family val="2"/>
    </font>
    <font>
      <sz val="10"/>
      <color indexed="8"/>
      <name val="Arial"/>
      <family val="2"/>
    </font>
    <font>
      <b/>
      <sz val="16"/>
      <color theme="1"/>
      <name val="Calibri"/>
      <family val="2"/>
      <scheme val="minor"/>
    </font>
    <font>
      <b/>
      <sz val="14"/>
      <color rgb="FF000000"/>
      <name val="Arial Narrow"/>
      <family val="2"/>
    </font>
    <font>
      <b/>
      <sz val="9"/>
      <color indexed="81"/>
      <name val="Tahoma"/>
      <family val="2"/>
    </font>
    <font>
      <sz val="13"/>
      <color rgb="FF000F9F"/>
      <name val="Arial Narrow"/>
      <family val="2"/>
    </font>
    <font>
      <sz val="12"/>
      <color rgb="FF000F9F"/>
      <name val="Arial Narrow"/>
      <family val="2"/>
    </font>
    <font>
      <vertAlign val="superscript"/>
      <sz val="11"/>
      <color theme="1"/>
      <name val="Arial Narrow"/>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rgb="FF000F9F"/>
        <bgColor indexed="64"/>
      </patternFill>
    </fill>
    <fill>
      <patternFill patternType="solid">
        <fgColor rgb="FF3CB4E5"/>
        <bgColor indexed="64"/>
      </patternFill>
    </fill>
    <fill>
      <patternFill patternType="solid">
        <fgColor rgb="FFC8A977"/>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0" fillId="0" borderId="0"/>
    <xf numFmtId="181" fontId="51" fillId="0" borderId="0" applyFont="0" applyFill="0" applyBorder="0" applyAlignment="0" applyProtection="0"/>
    <xf numFmtId="166" fontId="2" fillId="0" borderId="0" applyFont="0" applyFill="0" applyBorder="0" applyAlignment="0" applyProtection="0"/>
    <xf numFmtId="18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344">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4"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4" fontId="12" fillId="2"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67" fontId="12" fillId="2"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0" fontId="17" fillId="0" borderId="0" xfId="0" applyFont="1" applyAlignment="1">
      <alignment horizontal="left"/>
    </xf>
    <xf numFmtId="164" fontId="18" fillId="0" borderId="2" xfId="0" applyNumberFormat="1" applyFont="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22" fillId="0" borderId="0" xfId="0" applyFont="1" applyAlignment="1">
      <alignment wrapText="1"/>
    </xf>
    <xf numFmtId="17" fontId="19" fillId="3"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171" fontId="22" fillId="0" borderId="2" xfId="0" applyNumberFormat="1" applyFont="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4" fontId="22" fillId="0" borderId="2" xfId="3" applyNumberFormat="1" applyFont="1" applyBorder="1" applyAlignment="1">
      <alignment horizontal="center" vertical="center"/>
    </xf>
    <xf numFmtId="0" fontId="19"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4" fillId="0" borderId="0" xfId="1" applyFont="1"/>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0" fontId="38" fillId="0" borderId="0" xfId="0" applyFont="1"/>
    <xf numFmtId="0" fontId="5" fillId="0" borderId="0" xfId="0" applyFont="1"/>
    <xf numFmtId="177" fontId="5" fillId="0" borderId="0" xfId="0" applyNumberFormat="1" applyFont="1"/>
    <xf numFmtId="43" fontId="5" fillId="0" borderId="0" xfId="0" applyNumberFormat="1" applyFont="1"/>
    <xf numFmtId="43" fontId="5" fillId="0" borderId="0" xfId="1" applyNumberFormat="1" applyFont="1" applyBorder="1" applyAlignment="1">
      <alignment horizontal="center"/>
    </xf>
    <xf numFmtId="0" fontId="39" fillId="0" borderId="0" xfId="0" applyFont="1"/>
    <xf numFmtId="0" fontId="5" fillId="0" borderId="0" xfId="0" applyFont="1" applyAlignment="1">
      <alignment horizontal="left" vertical="center" wrapText="1"/>
    </xf>
    <xf numFmtId="178" fontId="5" fillId="0" borderId="0" xfId="0" applyNumberFormat="1" applyFont="1"/>
    <xf numFmtId="164" fontId="7" fillId="2"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1" fillId="0" borderId="13" xfId="0" applyNumberFormat="1" applyFont="1" applyBorder="1" applyAlignment="1">
      <alignment horizontal="center"/>
    </xf>
    <xf numFmtId="4" fontId="41" fillId="0" borderId="13" xfId="0" applyNumberFormat="1" applyFont="1" applyBorder="1" applyAlignment="1">
      <alignment horizontal="center"/>
    </xf>
    <xf numFmtId="4" fontId="41" fillId="0" borderId="0" xfId="0" applyNumberFormat="1" applyFont="1" applyAlignment="1">
      <alignment horizontal="center"/>
    </xf>
    <xf numFmtId="2" fontId="0" fillId="0" borderId="0" xfId="0" applyNumberFormat="1"/>
    <xf numFmtId="172" fontId="42" fillId="0" borderId="2" xfId="0" applyNumberFormat="1" applyFont="1" applyBorder="1" applyAlignment="1">
      <alignment horizontal="center" vertical="center"/>
    </xf>
    <xf numFmtId="172" fontId="42" fillId="0" borderId="2" xfId="0" applyNumberFormat="1" applyFont="1" applyBorder="1" applyAlignment="1">
      <alignment horizontal="center"/>
    </xf>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35" fillId="0" borderId="7" xfId="1" applyNumberFormat="1" applyFont="1" applyBorder="1" applyAlignment="1">
      <alignment horizontal="center"/>
    </xf>
    <xf numFmtId="165" fontId="17" fillId="0" borderId="0" xfId="0" applyNumberFormat="1" applyFont="1"/>
    <xf numFmtId="9" fontId="1" fillId="0" borderId="0" xfId="2" applyFont="1"/>
    <xf numFmtId="0" fontId="44" fillId="0" borderId="0" xfId="0" applyFont="1"/>
    <xf numFmtId="0" fontId="48" fillId="0" borderId="18" xfId="0" applyFont="1" applyBorder="1"/>
    <xf numFmtId="181" fontId="48" fillId="0" borderId="2" xfId="0" applyNumberFormat="1" applyFont="1" applyBorder="1" applyAlignment="1">
      <alignment horizontal="right"/>
    </xf>
    <xf numFmtId="181" fontId="48" fillId="0" borderId="2" xfId="0" applyNumberFormat="1" applyFont="1" applyBorder="1"/>
    <xf numFmtId="0" fontId="49" fillId="0" borderId="2" xfId="0" applyFont="1" applyBorder="1" applyAlignment="1">
      <alignment horizontal="center"/>
    </xf>
    <xf numFmtId="182" fontId="49" fillId="0" borderId="2" xfId="0" applyNumberFormat="1" applyFont="1" applyBorder="1" applyAlignment="1">
      <alignment horizontal="center"/>
    </xf>
    <xf numFmtId="0" fontId="49" fillId="0" borderId="21" xfId="0" applyFont="1" applyBorder="1" applyAlignment="1">
      <alignment horizontal="center"/>
    </xf>
    <xf numFmtId="0" fontId="49" fillId="0" borderId="22" xfId="0" applyFont="1" applyBorder="1"/>
    <xf numFmtId="181" fontId="49" fillId="0" borderId="23" xfId="0" applyNumberFormat="1" applyFont="1" applyBorder="1"/>
    <xf numFmtId="4" fontId="49" fillId="0" borderId="23" xfId="0" applyNumberFormat="1" applyFont="1" applyBorder="1"/>
    <xf numFmtId="0" fontId="49" fillId="0" borderId="23" xfId="0" applyFont="1" applyBorder="1" applyAlignment="1">
      <alignment horizontal="center"/>
    </xf>
    <xf numFmtId="182" fontId="49" fillId="0" borderId="23" xfId="0" applyNumberFormat="1" applyFont="1" applyBorder="1" applyAlignment="1">
      <alignment horizontal="center"/>
    </xf>
    <xf numFmtId="1" fontId="49" fillId="0" borderId="23" xfId="0" applyNumberFormat="1" applyFont="1" applyBorder="1" applyAlignment="1">
      <alignment horizontal="center"/>
    </xf>
    <xf numFmtId="0" fontId="49" fillId="0" borderId="24" xfId="0" applyFont="1" applyBorder="1" applyAlignment="1">
      <alignment horizontal="center"/>
    </xf>
    <xf numFmtId="164" fontId="12" fillId="2" borderId="2" xfId="0" applyNumberFormat="1" applyFont="1" applyFill="1" applyBorder="1" applyAlignment="1">
      <alignment vertical="center"/>
    </xf>
    <xf numFmtId="166" fontId="5" fillId="2" borderId="2" xfId="1" applyFont="1" applyFill="1" applyBorder="1" applyAlignment="1">
      <alignment vertical="center"/>
    </xf>
    <xf numFmtId="9" fontId="1" fillId="0" borderId="0" xfId="0" applyNumberFormat="1" applyFont="1"/>
    <xf numFmtId="166" fontId="0" fillId="5" borderId="0" xfId="1" applyFont="1" applyFill="1"/>
    <xf numFmtId="0" fontId="0" fillId="5" borderId="0" xfId="0" applyFill="1"/>
    <xf numFmtId="0" fontId="52" fillId="0" borderId="0" xfId="0" applyFont="1"/>
    <xf numFmtId="0" fontId="53" fillId="0" borderId="0" xfId="0" applyFont="1" applyAlignment="1">
      <alignment horizontal="left" vertical="center" indent="1" readingOrder="1"/>
    </xf>
    <xf numFmtId="167" fontId="12" fillId="0" borderId="2" xfId="0" applyNumberFormat="1" applyFont="1" applyBorder="1" applyAlignment="1">
      <alignment horizontal="center" vertical="center"/>
    </xf>
    <xf numFmtId="164" fontId="55" fillId="0" borderId="0" xfId="0" applyNumberFormat="1" applyFont="1" applyAlignment="1">
      <alignment vertical="center"/>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14" fontId="8" fillId="6" borderId="5" xfId="0" applyNumberFormat="1" applyFont="1" applyFill="1" applyBorder="1" applyAlignment="1">
      <alignment horizontal="center" vertical="center"/>
    </xf>
    <xf numFmtId="164" fontId="8" fillId="7" borderId="2" xfId="0" applyNumberFormat="1" applyFont="1" applyFill="1" applyBorder="1" applyAlignment="1">
      <alignment vertical="center"/>
    </xf>
    <xf numFmtId="165" fontId="8" fillId="7" borderId="2" xfId="0" applyNumberFormat="1" applyFont="1" applyFill="1" applyBorder="1" applyAlignment="1">
      <alignment horizontal="center" vertical="center"/>
    </xf>
    <xf numFmtId="10" fontId="8" fillId="7" borderId="2" xfId="2" applyNumberFormat="1" applyFont="1" applyFill="1" applyBorder="1" applyAlignment="1">
      <alignment horizontal="center" vertical="center"/>
    </xf>
    <xf numFmtId="164" fontId="19" fillId="7" borderId="2" xfId="0" applyNumberFormat="1" applyFont="1" applyFill="1" applyBorder="1" applyAlignment="1">
      <alignment horizontal="center" vertical="center" wrapText="1"/>
    </xf>
    <xf numFmtId="164" fontId="19" fillId="7" borderId="2" xfId="0" applyNumberFormat="1" applyFont="1" applyFill="1" applyBorder="1" applyAlignment="1">
      <alignment vertical="center" wrapText="1"/>
    </xf>
    <xf numFmtId="164" fontId="16" fillId="8" borderId="2" xfId="0" applyNumberFormat="1" applyFont="1" applyFill="1" applyBorder="1" applyAlignment="1">
      <alignment vertical="center"/>
    </xf>
    <xf numFmtId="165" fontId="9" fillId="8" borderId="2" xfId="0" applyNumberFormat="1" applyFont="1" applyFill="1" applyBorder="1" applyAlignment="1">
      <alignment horizontal="center" vertical="center"/>
    </xf>
    <xf numFmtId="164" fontId="20" fillId="8" borderId="2" xfId="0" applyNumberFormat="1" applyFont="1" applyFill="1" applyBorder="1" applyAlignment="1">
      <alignment horizontal="center" vertical="center" wrapText="1"/>
    </xf>
    <xf numFmtId="164" fontId="20" fillId="8" borderId="2" xfId="0" applyNumberFormat="1" applyFont="1" applyFill="1" applyBorder="1" applyAlignment="1">
      <alignment vertical="center" wrapText="1"/>
    </xf>
    <xf numFmtId="164" fontId="8" fillId="6" borderId="2" xfId="1" applyNumberFormat="1" applyFont="1" applyFill="1" applyBorder="1" applyAlignment="1">
      <alignment vertical="center"/>
    </xf>
    <xf numFmtId="0" fontId="13" fillId="6" borderId="2" xfId="0" applyFont="1" applyFill="1" applyBorder="1" applyAlignment="1">
      <alignment horizontal="center" vertical="center"/>
    </xf>
    <xf numFmtId="0" fontId="13" fillId="6" borderId="2" xfId="0" applyFont="1" applyFill="1" applyBorder="1" applyAlignment="1">
      <alignment horizontal="center" vertical="center" wrapText="1"/>
    </xf>
    <xf numFmtId="0" fontId="8" fillId="6" borderId="9" xfId="0" applyFont="1" applyFill="1" applyBorder="1" applyAlignment="1">
      <alignment horizontal="center" vertical="center"/>
    </xf>
    <xf numFmtId="172" fontId="8" fillId="7" borderId="2" xfId="0" applyNumberFormat="1" applyFont="1" applyFill="1" applyBorder="1" applyAlignment="1">
      <alignment horizontal="center" vertical="center"/>
    </xf>
    <xf numFmtId="172" fontId="13" fillId="7" borderId="2" xfId="1" applyNumberFormat="1" applyFont="1" applyFill="1" applyBorder="1" applyAlignment="1">
      <alignment horizontal="center" vertical="center"/>
    </xf>
    <xf numFmtId="172" fontId="9" fillId="8" borderId="2" xfId="1" applyNumberFormat="1" applyFont="1" applyFill="1" applyBorder="1" applyAlignment="1">
      <alignment horizontal="center" vertical="center"/>
    </xf>
    <xf numFmtId="172" fontId="16" fillId="8" borderId="2" xfId="0" applyNumberFormat="1" applyFont="1" applyFill="1" applyBorder="1" applyAlignment="1">
      <alignment horizontal="center" vertical="center"/>
    </xf>
    <xf numFmtId="164" fontId="56" fillId="0" borderId="0" xfId="0" applyNumberFormat="1" applyFont="1" applyAlignment="1">
      <alignment vertical="center"/>
    </xf>
    <xf numFmtId="166" fontId="6" fillId="7" borderId="0" xfId="0" applyNumberFormat="1" applyFont="1" applyFill="1" applyAlignment="1">
      <alignment horizontal="center" vertical="center"/>
    </xf>
    <xf numFmtId="0" fontId="6" fillId="6" borderId="0" xfId="0" applyFont="1" applyFill="1" applyAlignment="1">
      <alignment horizontal="center"/>
    </xf>
    <xf numFmtId="166" fontId="8" fillId="7" borderId="0" xfId="0" applyNumberFormat="1" applyFont="1" applyFill="1" applyAlignment="1">
      <alignment horizontal="center" vertical="center"/>
    </xf>
    <xf numFmtId="0" fontId="8" fillId="6" borderId="0" xfId="0" applyFont="1" applyFill="1" applyAlignment="1">
      <alignment horizontal="center"/>
    </xf>
    <xf numFmtId="17" fontId="19" fillId="7" borderId="2" xfId="0" applyNumberFormat="1" applyFont="1" applyFill="1" applyBorder="1" applyAlignment="1">
      <alignment horizontal="center" vertical="center"/>
    </xf>
    <xf numFmtId="0" fontId="19" fillId="6" borderId="2" xfId="0" applyFont="1" applyFill="1" applyBorder="1" applyAlignment="1">
      <alignment horizontal="left" vertical="center" wrapText="1"/>
    </xf>
    <xf numFmtId="4" fontId="22" fillId="8" borderId="2" xfId="0" applyNumberFormat="1" applyFont="1" applyFill="1" applyBorder="1" applyAlignment="1">
      <alignment horizontal="center" vertical="center"/>
    </xf>
    <xf numFmtId="10" fontId="22" fillId="8" borderId="2" xfId="2" applyNumberFormat="1" applyFont="1" applyFill="1" applyBorder="1" applyAlignment="1">
      <alignment horizontal="center" vertical="center"/>
    </xf>
    <xf numFmtId="0" fontId="8" fillId="7" borderId="2" xfId="0" applyFont="1" applyFill="1" applyBorder="1" applyAlignment="1">
      <alignment horizontal="center" vertical="center" wrapText="1"/>
    </xf>
    <xf numFmtId="177" fontId="0" fillId="7" borderId="0" xfId="1" applyNumberFormat="1" applyFont="1" applyFill="1" applyAlignment="1">
      <alignment horizontal="center"/>
    </xf>
    <xf numFmtId="177" fontId="31" fillId="7" borderId="0" xfId="1" applyNumberFormat="1" applyFont="1" applyFill="1" applyAlignment="1">
      <alignment horizontal="center" vertical="center"/>
    </xf>
    <xf numFmtId="172" fontId="31" fillId="7" borderId="0" xfId="0" applyNumberFormat="1" applyFont="1" applyFill="1" applyAlignment="1">
      <alignment horizontal="center"/>
    </xf>
    <xf numFmtId="0" fontId="53" fillId="0" borderId="0" xfId="0" applyFont="1" applyAlignment="1">
      <alignment horizontal="left" vertical="center" readingOrder="1"/>
    </xf>
    <xf numFmtId="0" fontId="56" fillId="0" borderId="0" xfId="0" applyFont="1" applyAlignment="1">
      <alignment horizontal="left" vertical="center" readingOrder="1"/>
    </xf>
    <xf numFmtId="0" fontId="56" fillId="0" borderId="0" xfId="0" applyFont="1" applyAlignment="1">
      <alignment horizontal="left" vertical="center" indent="1" readingOrder="1"/>
    </xf>
    <xf numFmtId="176" fontId="9" fillId="0" borderId="2" xfId="2" applyNumberFormat="1" applyFont="1" applyFill="1" applyBorder="1" applyAlignment="1">
      <alignment horizontal="center" vertical="center" wrapText="1"/>
    </xf>
    <xf numFmtId="172" fontId="12" fillId="2" borderId="2"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71" fontId="9" fillId="2" borderId="2" xfId="0" applyNumberFormat="1" applyFont="1" applyFill="1" applyBorder="1" applyAlignment="1">
      <alignment horizontal="center"/>
    </xf>
    <xf numFmtId="176" fontId="9" fillId="2" borderId="2" xfId="2" applyNumberFormat="1" applyFont="1" applyFill="1" applyBorder="1" applyAlignment="1">
      <alignment horizontal="center"/>
    </xf>
    <xf numFmtId="164" fontId="7" fillId="2" borderId="2" xfId="0" applyNumberFormat="1" applyFont="1" applyFill="1" applyBorder="1" applyAlignment="1">
      <alignment vertical="center"/>
    </xf>
    <xf numFmtId="184" fontId="17" fillId="0" borderId="0" xfId="0" applyNumberFormat="1" applyFont="1" applyAlignment="1">
      <alignment horizontal="left"/>
    </xf>
    <xf numFmtId="185" fontId="12" fillId="0" borderId="2" xfId="0" applyNumberFormat="1" applyFont="1" applyBorder="1" applyAlignment="1">
      <alignment vertical="center"/>
    </xf>
    <xf numFmtId="187" fontId="12" fillId="0" borderId="2" xfId="0" applyNumberFormat="1" applyFont="1" applyBorder="1" applyAlignment="1">
      <alignment vertical="center"/>
    </xf>
    <xf numFmtId="188" fontId="12" fillId="0" borderId="2" xfId="0" applyNumberFormat="1" applyFont="1" applyBorder="1" applyAlignment="1">
      <alignment vertical="center"/>
    </xf>
    <xf numFmtId="189" fontId="12" fillId="0" borderId="2" xfId="0" applyNumberFormat="1" applyFont="1" applyBorder="1" applyAlignment="1">
      <alignment vertical="center"/>
    </xf>
    <xf numFmtId="190" fontId="12" fillId="0" borderId="2" xfId="0" applyNumberFormat="1" applyFont="1" applyBorder="1" applyAlignment="1">
      <alignment vertical="center"/>
    </xf>
    <xf numFmtId="191" fontId="12" fillId="0" borderId="2" xfId="0" applyNumberFormat="1" applyFont="1" applyBorder="1" applyAlignment="1">
      <alignment vertical="center"/>
    </xf>
    <xf numFmtId="192" fontId="4" fillId="0" borderId="0" xfId="0" applyNumberFormat="1" applyFont="1"/>
    <xf numFmtId="186" fontId="12" fillId="2" borderId="2" xfId="0" applyNumberFormat="1" applyFont="1" applyFill="1" applyBorder="1" applyAlignment="1">
      <alignment vertical="center"/>
    </xf>
    <xf numFmtId="164" fontId="18" fillId="2" borderId="2" xfId="0" applyNumberFormat="1" applyFont="1" applyFill="1" applyBorder="1" applyAlignment="1">
      <alignment horizontal="center" vertical="center" wrapText="1"/>
    </xf>
    <xf numFmtId="10" fontId="18" fillId="2" borderId="2" xfId="2"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166" fontId="1" fillId="0" borderId="0" xfId="0" applyNumberFormat="1" applyFont="1"/>
    <xf numFmtId="193" fontId="1" fillId="0" borderId="0" xfId="0" applyNumberFormat="1" applyFont="1"/>
    <xf numFmtId="166" fontId="5" fillId="0" borderId="0" xfId="0" applyNumberFormat="1" applyFont="1"/>
    <xf numFmtId="166" fontId="5" fillId="2" borderId="2" xfId="1" applyFont="1" applyFill="1" applyBorder="1" applyAlignment="1">
      <alignment horizontal="center" vertical="center"/>
    </xf>
    <xf numFmtId="172" fontId="1" fillId="0" borderId="2" xfId="1" applyNumberFormat="1" applyFont="1" applyFill="1" applyBorder="1" applyAlignment="1">
      <alignment horizontal="center" vertical="center"/>
    </xf>
    <xf numFmtId="164" fontId="7" fillId="0" borderId="2" xfId="0" applyNumberFormat="1" applyFont="1" applyBorder="1" applyAlignment="1">
      <alignment vertical="center"/>
    </xf>
    <xf numFmtId="166" fontId="5" fillId="0" borderId="2" xfId="1" applyFont="1" applyFill="1" applyBorder="1" applyAlignment="1">
      <alignment vertical="center"/>
    </xf>
    <xf numFmtId="166" fontId="4" fillId="0" borderId="0" xfId="1" applyFont="1" applyFill="1"/>
    <xf numFmtId="166" fontId="1" fillId="0" borderId="0" xfId="1" applyFont="1" applyFill="1"/>
    <xf numFmtId="44" fontId="1" fillId="0" borderId="0" xfId="8" applyFont="1"/>
    <xf numFmtId="2" fontId="1" fillId="0" borderId="0" xfId="8" applyNumberFormat="1" applyFont="1"/>
    <xf numFmtId="168" fontId="17" fillId="0" borderId="0" xfId="2" applyNumberFormat="1" applyFont="1" applyAlignment="1">
      <alignment horizontal="left"/>
    </xf>
    <xf numFmtId="10" fontId="1" fillId="0" borderId="0" xfId="2" applyNumberFormat="1" applyFont="1"/>
    <xf numFmtId="0" fontId="14" fillId="2" borderId="0" xfId="0" applyFont="1" applyFill="1" applyAlignment="1">
      <alignment horizontal="center" vertical="center"/>
    </xf>
    <xf numFmtId="166" fontId="4" fillId="2" borderId="0" xfId="1" applyFont="1" applyFill="1"/>
    <xf numFmtId="0" fontId="4" fillId="2" borderId="0" xfId="0" applyFont="1" applyFill="1"/>
    <xf numFmtId="0" fontId="8" fillId="7" borderId="0" xfId="0" applyFont="1" applyFill="1" applyAlignment="1">
      <alignment horizontal="center" vertical="center" wrapText="1"/>
    </xf>
    <xf numFmtId="0" fontId="8" fillId="6" borderId="0" xfId="0" applyFont="1" applyFill="1" applyAlignment="1">
      <alignment horizontal="center" vertical="center" wrapText="1"/>
    </xf>
    <xf numFmtId="3" fontId="0" fillId="0" borderId="0" xfId="0" applyNumberFormat="1"/>
    <xf numFmtId="10" fontId="0" fillId="0" borderId="0" xfId="2" applyNumberFormat="1" applyFont="1"/>
    <xf numFmtId="10" fontId="0" fillId="0" borderId="0" xfId="0" applyNumberFormat="1"/>
    <xf numFmtId="9" fontId="0" fillId="0" borderId="0" xfId="0" applyNumberFormat="1"/>
    <xf numFmtId="4" fontId="22" fillId="0" borderId="9" xfId="0" applyNumberFormat="1" applyFont="1" applyBorder="1" applyAlignment="1">
      <alignment horizontal="center" vertical="center"/>
    </xf>
    <xf numFmtId="172" fontId="57" fillId="0" borderId="9" xfId="0" quotePrefix="1" applyNumberFormat="1" applyFont="1" applyBorder="1" applyAlignment="1">
      <alignment horizontal="center" vertical="center"/>
    </xf>
    <xf numFmtId="4" fontId="26" fillId="0" borderId="9" xfId="0" applyNumberFormat="1" applyFont="1" applyBorder="1" applyAlignment="1">
      <alignment horizontal="center" vertical="center"/>
    </xf>
    <xf numFmtId="171" fontId="22" fillId="0" borderId="9" xfId="0" applyNumberFormat="1" applyFont="1" applyBorder="1" applyAlignment="1">
      <alignment horizontal="center" vertical="center"/>
    </xf>
    <xf numFmtId="4" fontId="22" fillId="8" borderId="9" xfId="0" applyNumberFormat="1" applyFont="1" applyFill="1" applyBorder="1" applyAlignment="1">
      <alignment horizontal="center" vertical="center"/>
    </xf>
    <xf numFmtId="10" fontId="22" fillId="8" borderId="9" xfId="2" applyNumberFormat="1" applyFont="1" applyFill="1" applyBorder="1" applyAlignment="1">
      <alignment horizontal="center" vertical="center"/>
    </xf>
    <xf numFmtId="10" fontId="22" fillId="8" borderId="4" xfId="2" applyNumberFormat="1" applyFont="1" applyFill="1" applyBorder="1" applyAlignment="1">
      <alignment horizontal="center" vertical="center"/>
    </xf>
    <xf numFmtId="0" fontId="1" fillId="0" borderId="0" xfId="0" quotePrefix="1" applyFont="1" applyAlignment="1">
      <alignment horizontal="left"/>
    </xf>
    <xf numFmtId="4" fontId="22" fillId="0" borderId="4" xfId="0" applyNumberFormat="1" applyFont="1" applyBorder="1" applyAlignment="1">
      <alignment horizontal="right" vertical="center"/>
    </xf>
    <xf numFmtId="4" fontId="26" fillId="0" borderId="4" xfId="0" applyNumberFormat="1" applyFont="1" applyBorder="1" applyAlignment="1">
      <alignment horizontal="right" vertical="center"/>
    </xf>
    <xf numFmtId="171" fontId="22" fillId="0" borderId="4" xfId="0" applyNumberFormat="1" applyFont="1" applyBorder="1" applyAlignment="1">
      <alignment horizontal="right" vertical="center"/>
    </xf>
    <xf numFmtId="4" fontId="22" fillId="8" borderId="4" xfId="0" applyNumberFormat="1" applyFont="1" applyFill="1" applyBorder="1" applyAlignment="1">
      <alignment horizontal="right" vertical="center"/>
    </xf>
    <xf numFmtId="17" fontId="19" fillId="7" borderId="4" xfId="0" applyNumberFormat="1" applyFont="1" applyFill="1" applyBorder="1" applyAlignment="1">
      <alignment horizontal="centerContinuous" vertical="center"/>
    </xf>
    <xf numFmtId="17" fontId="19" fillId="7" borderId="9" xfId="0" applyNumberFormat="1" applyFont="1" applyFill="1" applyBorder="1" applyAlignment="1">
      <alignment horizontal="centerContinuous" vertical="center"/>
    </xf>
    <xf numFmtId="172" fontId="31" fillId="2" borderId="2" xfId="0" applyNumberFormat="1" applyFont="1" applyFill="1" applyBorder="1" applyAlignment="1">
      <alignment horizontal="center" vertical="center"/>
    </xf>
    <xf numFmtId="172" fontId="32" fillId="2" borderId="2" xfId="0" applyNumberFormat="1" applyFont="1" applyFill="1" applyBorder="1" applyAlignment="1">
      <alignment horizontal="center" vertical="center"/>
    </xf>
    <xf numFmtId="194" fontId="9" fillId="2" borderId="2" xfId="0" applyNumberFormat="1" applyFont="1" applyFill="1" applyBorder="1" applyAlignment="1">
      <alignment horizontal="center"/>
    </xf>
    <xf numFmtId="172" fontId="31" fillId="5" borderId="0" xfId="0" applyNumberFormat="1" applyFont="1" applyFill="1" applyAlignment="1">
      <alignment horizontal="center"/>
    </xf>
    <xf numFmtId="172" fontId="32" fillId="5" borderId="0" xfId="0" applyNumberFormat="1" applyFont="1" applyFill="1" applyAlignment="1">
      <alignment horizontal="center"/>
    </xf>
    <xf numFmtId="172" fontId="8" fillId="2" borderId="0" xfId="0" applyNumberFormat="1" applyFont="1" applyFill="1" applyAlignment="1">
      <alignment horizontal="center" vertical="center"/>
    </xf>
    <xf numFmtId="166" fontId="35" fillId="2" borderId="0" xfId="1" applyFont="1" applyFill="1" applyBorder="1" applyAlignment="1">
      <alignment horizontal="center"/>
    </xf>
    <xf numFmtId="2" fontId="17" fillId="2" borderId="0" xfId="0" applyNumberFormat="1" applyFont="1" applyFill="1"/>
    <xf numFmtId="0" fontId="17" fillId="2" borderId="0" xfId="0" applyFont="1" applyFill="1"/>
    <xf numFmtId="168" fontId="31" fillId="0" borderId="0" xfId="2" applyNumberFormat="1" applyFont="1" applyAlignment="1">
      <alignment horizontal="center" vertical="center"/>
    </xf>
    <xf numFmtId="0" fontId="32" fillId="0" borderId="0" xfId="0" applyFont="1" applyAlignment="1">
      <alignment horizontal="center" vertical="center"/>
    </xf>
    <xf numFmtId="0" fontId="32" fillId="0" borderId="0" xfId="2" applyNumberFormat="1" applyFont="1" applyBorder="1" applyAlignment="1">
      <alignment horizontal="center" vertical="center"/>
    </xf>
    <xf numFmtId="168" fontId="0" fillId="0" borderId="0" xfId="2" applyNumberFormat="1" applyFont="1" applyAlignment="1">
      <alignment horizontal="center"/>
    </xf>
    <xf numFmtId="168" fontId="32" fillId="0" borderId="0" xfId="2" applyNumberFormat="1" applyFont="1" applyAlignment="1">
      <alignment horizontal="center" vertical="center"/>
    </xf>
    <xf numFmtId="177" fontId="31" fillId="2" borderId="0" xfId="1" applyNumberFormat="1" applyFont="1" applyFill="1" applyAlignment="1">
      <alignment horizontal="center" vertical="center"/>
    </xf>
    <xf numFmtId="177" fontId="32" fillId="2" borderId="0" xfId="1" applyNumberFormat="1" applyFont="1" applyFill="1" applyAlignment="1">
      <alignment horizontal="center" vertical="center"/>
    </xf>
    <xf numFmtId="177" fontId="32" fillId="2" borderId="0" xfId="1" applyNumberFormat="1" applyFont="1" applyFill="1" applyBorder="1" applyAlignment="1">
      <alignment horizontal="center" vertical="center"/>
    </xf>
    <xf numFmtId="172" fontId="31" fillId="2" borderId="0" xfId="0" applyNumberFormat="1" applyFont="1" applyFill="1" applyAlignment="1">
      <alignment horizontal="center"/>
    </xf>
    <xf numFmtId="166" fontId="0" fillId="2" borderId="0" xfId="1" applyFont="1" applyFill="1"/>
    <xf numFmtId="172" fontId="0" fillId="2" borderId="0" xfId="0" applyNumberFormat="1" applyFill="1"/>
    <xf numFmtId="180" fontId="0" fillId="2" borderId="0" xfId="0" applyNumberFormat="1" applyFill="1"/>
    <xf numFmtId="168" fontId="0" fillId="2" borderId="0" xfId="2" applyNumberFormat="1" applyFont="1" applyFill="1"/>
    <xf numFmtId="177" fontId="0" fillId="2" borderId="0" xfId="1" applyNumberFormat="1" applyFont="1" applyFill="1"/>
    <xf numFmtId="0" fontId="8" fillId="3" borderId="2" xfId="0" applyFont="1" applyFill="1" applyBorder="1" applyAlignment="1">
      <alignment horizontal="left" vertical="center"/>
    </xf>
    <xf numFmtId="4" fontId="22" fillId="0" borderId="4" xfId="0" applyNumberFormat="1" applyFont="1" applyBorder="1" applyAlignment="1">
      <alignment horizontal="center" vertical="center"/>
    </xf>
    <xf numFmtId="172" fontId="22" fillId="0" borderId="4" xfId="0" applyNumberFormat="1" applyFont="1" applyBorder="1" applyAlignment="1">
      <alignment horizontal="center" vertical="center"/>
    </xf>
    <xf numFmtId="4" fontId="26" fillId="0" borderId="4" xfId="0" applyNumberFormat="1" applyFont="1" applyBorder="1" applyAlignment="1">
      <alignment horizontal="center" vertical="center"/>
    </xf>
    <xf numFmtId="171" fontId="22" fillId="0" borderId="4" xfId="0" applyNumberFormat="1" applyFont="1" applyBorder="1" applyAlignment="1">
      <alignment horizontal="center" vertical="center"/>
    </xf>
    <xf numFmtId="4" fontId="22" fillId="8" borderId="4" xfId="0" applyNumberFormat="1" applyFont="1" applyFill="1" applyBorder="1" applyAlignment="1">
      <alignment horizontal="center" vertical="center"/>
    </xf>
    <xf numFmtId="172" fontId="57" fillId="0" borderId="9" xfId="0" quotePrefix="1" applyNumberFormat="1" applyFont="1" applyBorder="1" applyAlignment="1">
      <alignment horizontal="center" vertical="center" wrapText="1"/>
    </xf>
    <xf numFmtId="0" fontId="53" fillId="9" borderId="0" xfId="0" applyFont="1" applyFill="1" applyAlignment="1">
      <alignment horizontal="left" vertical="center" indent="1" readingOrder="1"/>
    </xf>
    <xf numFmtId="0" fontId="0" fillId="9" borderId="0" xfId="0" applyFill="1"/>
    <xf numFmtId="164" fontId="10" fillId="0" borderId="0" xfId="0" applyNumberFormat="1" applyFont="1" applyAlignment="1">
      <alignment horizontal="left" vertical="center"/>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164" fontId="8" fillId="6" borderId="1"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5"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165" fontId="8" fillId="6" borderId="1" xfId="0" applyNumberFormat="1" applyFont="1" applyFill="1" applyBorder="1" applyAlignment="1">
      <alignment horizontal="center" vertical="center" wrapText="1"/>
    </xf>
    <xf numFmtId="165" fontId="8" fillId="6" borderId="3" xfId="0" applyNumberFormat="1" applyFont="1" applyFill="1" applyBorder="1" applyAlignment="1">
      <alignment horizontal="center" vertical="center" wrapText="1"/>
    </xf>
    <xf numFmtId="164" fontId="8" fillId="7" borderId="8" xfId="0" applyNumberFormat="1" applyFont="1" applyFill="1" applyBorder="1" applyAlignment="1">
      <alignment horizontal="center" vertical="center" wrapText="1"/>
    </xf>
    <xf numFmtId="164" fontId="8" fillId="7" borderId="6" xfId="0" applyNumberFormat="1" applyFont="1" applyFill="1" applyBorder="1" applyAlignment="1">
      <alignment horizontal="center" vertical="center" wrapText="1"/>
    </xf>
    <xf numFmtId="164" fontId="8" fillId="7" borderId="10" xfId="0" applyNumberFormat="1" applyFont="1" applyFill="1" applyBorder="1" applyAlignment="1">
      <alignment horizontal="center" vertical="center" wrapText="1"/>
    </xf>
    <xf numFmtId="164" fontId="8" fillId="7" borderId="11" xfId="0" applyNumberFormat="1" applyFont="1" applyFill="1" applyBorder="1" applyAlignment="1">
      <alignment horizontal="center" vertical="center" wrapText="1"/>
    </xf>
    <xf numFmtId="164" fontId="8" fillId="7" borderId="0" xfId="0" applyNumberFormat="1" applyFont="1" applyFill="1" applyAlignment="1">
      <alignment horizontal="center" vertical="center" wrapText="1"/>
    </xf>
    <xf numFmtId="164" fontId="8" fillId="7" borderId="12" xfId="0" applyNumberFormat="1" applyFont="1" applyFill="1" applyBorder="1" applyAlignment="1">
      <alignment horizontal="center" vertical="center" wrapText="1"/>
    </xf>
    <xf numFmtId="0" fontId="17" fillId="0" borderId="0" xfId="0" applyFont="1" applyAlignment="1">
      <alignment horizontal="left"/>
    </xf>
    <xf numFmtId="164" fontId="6" fillId="4" borderId="1" xfId="0" applyNumberFormat="1" applyFont="1" applyFill="1" applyBorder="1" applyAlignment="1">
      <alignment horizontal="center" vertical="center"/>
    </xf>
    <xf numFmtId="164" fontId="6" fillId="4" borderId="3"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4" fontId="6" fillId="7" borderId="6"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6" fillId="7" borderId="2" xfId="0" applyNumberFormat="1" applyFont="1" applyFill="1" applyBorder="1" applyAlignment="1">
      <alignment horizontal="center" vertical="center"/>
    </xf>
    <xf numFmtId="0" fontId="8" fillId="7" borderId="0" xfId="0" applyFont="1" applyFill="1" applyAlignment="1">
      <alignment horizontal="center" vertical="center"/>
    </xf>
    <xf numFmtId="0" fontId="17" fillId="0" borderId="0" xfId="0" applyFont="1" applyAlignment="1">
      <alignment horizontal="left" vertical="center" wrapText="1"/>
    </xf>
    <xf numFmtId="164" fontId="8" fillId="6" borderId="1" xfId="0" applyNumberFormat="1" applyFont="1" applyFill="1" applyBorder="1" applyAlignment="1">
      <alignment horizontal="center" vertical="center"/>
    </xf>
    <xf numFmtId="164" fontId="8" fillId="6" borderId="3" xfId="0" applyNumberFormat="1" applyFont="1" applyFill="1" applyBorder="1" applyAlignment="1">
      <alignment horizontal="center" vertical="center"/>
    </xf>
    <xf numFmtId="0" fontId="6" fillId="7" borderId="0" xfId="0" applyFont="1" applyFill="1" applyAlignment="1">
      <alignment horizontal="center" vertical="center"/>
    </xf>
    <xf numFmtId="164" fontId="6" fillId="6" borderId="1" xfId="0" applyNumberFormat="1" applyFont="1" applyFill="1" applyBorder="1" applyAlignment="1">
      <alignment horizontal="center" vertical="center"/>
    </xf>
    <xf numFmtId="164" fontId="6" fillId="6" borderId="3"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0" fontId="5" fillId="0" borderId="0" xfId="0" applyFont="1" applyAlignment="1">
      <alignment horizontal="left" vertical="center" wrapText="1"/>
    </xf>
    <xf numFmtId="164" fontId="21" fillId="0" borderId="0" xfId="0" applyNumberFormat="1" applyFont="1" applyAlignment="1">
      <alignment horizontal="left" vertical="center"/>
    </xf>
    <xf numFmtId="0" fontId="24" fillId="0" borderId="0" xfId="0" applyFont="1" applyAlignment="1">
      <alignment horizontal="center" vertical="center"/>
    </xf>
    <xf numFmtId="0" fontId="8" fillId="3"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9" fillId="0" borderId="2" xfId="0" applyFont="1" applyBorder="1" applyAlignment="1">
      <alignment horizontal="left" vertical="center" wrapText="1"/>
    </xf>
    <xf numFmtId="164" fontId="43" fillId="0" borderId="0" xfId="0" applyNumberFormat="1" applyFont="1" applyAlignment="1">
      <alignment horizontal="left" vertical="center"/>
    </xf>
    <xf numFmtId="0" fontId="45" fillId="6" borderId="14" xfId="0" applyFont="1" applyFill="1" applyBorder="1" applyAlignment="1">
      <alignment horizontal="center" vertical="center"/>
    </xf>
    <xf numFmtId="0" fontId="45" fillId="6" borderId="18" xfId="0" applyFont="1" applyFill="1" applyBorder="1" applyAlignment="1">
      <alignment horizontal="center" vertical="center"/>
    </xf>
    <xf numFmtId="0" fontId="46" fillId="6" borderId="1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7" fillId="6" borderId="3" xfId="0" applyFont="1" applyFill="1" applyBorder="1" applyAlignment="1">
      <alignment horizontal="center" vertical="center" wrapText="1"/>
    </xf>
    <xf numFmtId="0" fontId="47" fillId="6" borderId="5"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5" xfId="0" applyFont="1" applyFill="1" applyBorder="1" applyAlignment="1">
      <alignment horizontal="center" vertical="center" wrapText="1"/>
    </xf>
    <xf numFmtId="0" fontId="47" fillId="6" borderId="16" xfId="0" applyFont="1" applyFill="1" applyBorder="1" applyAlignment="1">
      <alignment horizontal="center" vertical="center" wrapText="1"/>
    </xf>
    <xf numFmtId="0" fontId="47" fillId="6" borderId="17"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6" fillId="6" borderId="19"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21" fillId="0" borderId="0" xfId="0" applyFont="1" applyAlignment="1">
      <alignment horizontal="left" vertical="center" wrapText="1"/>
    </xf>
    <xf numFmtId="172" fontId="22" fillId="0" borderId="4" xfId="0" applyNumberFormat="1" applyFont="1" applyFill="1" applyBorder="1" applyAlignment="1">
      <alignment horizontal="right" vertical="center"/>
    </xf>
    <xf numFmtId="4" fontId="22" fillId="0" borderId="4" xfId="0" applyNumberFormat="1" applyFont="1" applyFill="1" applyBorder="1" applyAlignment="1">
      <alignment horizontal="right" vertical="center"/>
    </xf>
  </cellXfs>
  <cellStyles count="11">
    <cellStyle name="Millares" xfId="1" builtinId="3"/>
    <cellStyle name="Millares 10" xfId="3" xr:uid="{00000000-0005-0000-0000-000001000000}"/>
    <cellStyle name="Millares 10 2" xfId="9" xr:uid="{8C33C862-E911-42F0-8077-C821DFF4B419}"/>
    <cellStyle name="Millares 10 4" xfId="7" xr:uid="{112F3212-EF53-4148-95C0-8AB2936C2653}"/>
    <cellStyle name="Millares 2 2" xfId="6" xr:uid="{46A21805-C283-4A44-9660-F866E24535C5}"/>
    <cellStyle name="Millares 8" xfId="5" xr:uid="{00000000-0005-0000-0000-000002000000}"/>
    <cellStyle name="Moneda" xfId="8" builtinId="4"/>
    <cellStyle name="Moneda 2" xfId="10" xr:uid="{C3FA2CA8-3CF6-441E-8D84-CE12B9AC0ACD}"/>
    <cellStyle name="Normal" xfId="0" builtinId="0"/>
    <cellStyle name="Normal 3" xfId="4" xr:uid="{00000000-0005-0000-0000-000004000000}"/>
    <cellStyle name="Porcentaje" xfId="2" builtinId="5"/>
  </cellStyles>
  <dxfs count="0"/>
  <tableStyles count="0" defaultTableStyle="TableStyleMedium2" defaultPivotStyle="PivotStyleLight16"/>
  <colors>
    <mruColors>
      <color rgb="FFFFFFFF"/>
      <color rgb="FF000F9F"/>
      <color rgb="FFC8A977"/>
      <color rgb="FF3CB4E5"/>
      <color rgb="FFBC2400"/>
      <color rgb="FF000099"/>
      <color rgb="FF0B1C3A"/>
      <color rgb="FF375818"/>
      <color rgb="FF031434"/>
      <color rgb="FF91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3CB4E5"/>
            </a:soli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A64A3F04-1DD8-494F-8A5D-9E7A9CA31596}"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51C-4B65-8868-D98EA4DEDC88}"/>
                </c:ext>
              </c:extLst>
            </c:dLbl>
            <c:dLbl>
              <c:idx val="1"/>
              <c:tx>
                <c:rich>
                  <a:bodyPr/>
                  <a:lstStyle/>
                  <a:p>
                    <a:fld id="{8A803B1C-A47F-433A-B1A8-AFF7808BBCF2}"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51C-4B65-8868-D98EA4DEDC88}"/>
                </c:ext>
              </c:extLst>
            </c:dLbl>
            <c:dLbl>
              <c:idx val="2"/>
              <c:tx>
                <c:rich>
                  <a:bodyPr/>
                  <a:lstStyle/>
                  <a:p>
                    <a:fld id="{57E7C9A5-68D1-463C-BEF6-89E4C54E6994}"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51C-4B65-8868-D98EA4DEDC88}"/>
                </c:ext>
              </c:extLst>
            </c:dLbl>
            <c:dLbl>
              <c:idx val="3"/>
              <c:tx>
                <c:rich>
                  <a:bodyPr/>
                  <a:lstStyle/>
                  <a:p>
                    <a:fld id="{4CF5AA42-3BF1-4170-B2CF-E809226E74CC}"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51C-4B65-8868-D98EA4DEDC88}"/>
                </c:ext>
              </c:extLst>
            </c:dLbl>
            <c:dLbl>
              <c:idx val="4"/>
              <c:tx>
                <c:rich>
                  <a:bodyPr/>
                  <a:lstStyle/>
                  <a:p>
                    <a:fld id="{6F17CCDA-C204-4402-9361-49C214B2911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51C-4B65-8868-D98EA4DEDC88}"/>
                </c:ext>
              </c:extLst>
            </c:dLbl>
            <c:dLbl>
              <c:idx val="5"/>
              <c:tx>
                <c:rich>
                  <a:bodyPr/>
                  <a:lstStyle/>
                  <a:p>
                    <a:fld id="{4F81CA23-2058-42AF-B4DB-9BE24A620BD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51C-4B65-8868-D98EA4DEDC88}"/>
                </c:ext>
              </c:extLst>
            </c:dLbl>
            <c:dLbl>
              <c:idx val="6"/>
              <c:tx>
                <c:rich>
                  <a:bodyPr/>
                  <a:lstStyle/>
                  <a:p>
                    <a:fld id="{EC2CAF35-F65B-46CA-9DDA-EEC8217A7020}"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51C-4B65-8868-D98EA4DEDC8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3CB4E5"/>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Graf'!$A$8:$A$14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54826.867208328862</c:v>
                </c:pt>
                <c:pt idx="1">
                  <c:v>49184.185449179429</c:v>
                </c:pt>
                <c:pt idx="2">
                  <c:v>20868.821774904016</c:v>
                </c:pt>
                <c:pt idx="3">
                  <c:v>10080.378662750367</c:v>
                </c:pt>
                <c:pt idx="4">
                  <c:v>1107.164718012426</c:v>
                </c:pt>
                <c:pt idx="5">
                  <c:v>1059.3053164075466</c:v>
                </c:pt>
                <c:pt idx="6">
                  <c:v>770.04792382350081</c:v>
                </c:pt>
              </c:numCache>
            </c:numRef>
          </c:val>
          <c:extLst>
            <c:ext xmlns:c15="http://schemas.microsoft.com/office/drawing/2012/chart" uri="{02D57815-91ED-43cb-92C2-25804820EDAC}">
              <c15:datalabelsRange>
                <c15:f>'Base Graf'!$BJ$58:$BJ$65</c15:f>
                <c15:dlblRangeCache>
                  <c:ptCount val="8"/>
                  <c:pt idx="0">
                    <c:v>57.379,1</c:v>
                  </c:pt>
                  <c:pt idx="1">
                    <c:v>54.826,9</c:v>
                  </c:pt>
                  <c:pt idx="2">
                    <c:v>49.184,2</c:v>
                  </c:pt>
                  <c:pt idx="3">
                    <c:v>20.868,8</c:v>
                  </c:pt>
                  <c:pt idx="4">
                    <c:v>10.080,4</c:v>
                  </c:pt>
                  <c:pt idx="5">
                    <c:v>1.107,2</c:v>
                  </c:pt>
                  <c:pt idx="6">
                    <c:v>1.059,3</c:v>
                  </c:pt>
                  <c:pt idx="7">
                    <c:v>770,0</c:v>
                  </c:pt>
                </c15:dlblRangeCache>
              </c15:datalabelsRange>
            </c:ex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303978256"/>
        <c:axId val="-303972272"/>
      </c:barChart>
      <c:catAx>
        <c:axId val="-30397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2272"/>
        <c:crosses val="autoZero"/>
        <c:auto val="1"/>
        <c:lblAlgn val="ctr"/>
        <c:lblOffset val="100"/>
        <c:noMultiLvlLbl val="0"/>
      </c:catAx>
      <c:valAx>
        <c:axId val="-303972272"/>
        <c:scaling>
          <c:orientation val="minMax"/>
        </c:scaling>
        <c:delete val="1"/>
        <c:axPos val="l"/>
        <c:numFmt formatCode="#,##0.0" sourceLinked="1"/>
        <c:majorTickMark val="none"/>
        <c:minorTickMark val="none"/>
        <c:tickLblPos val="nextTo"/>
        <c:crossAx val="-3039782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F9F"/>
            </a:solidFill>
            <a:ln w="9525" cap="flat" cmpd="sng" algn="ctr">
              <a:solidFill>
                <a:srgbClr val="000F9F"/>
              </a:solidFill>
              <a:round/>
            </a:ln>
            <a:effectLst>
              <a:outerShdw blurRad="50800" dist="38100" dir="2700000" algn="tl" rotWithShape="0">
                <a:prstClr val="black">
                  <a:alpha val="40000"/>
                </a:prstClr>
              </a:outerShdw>
            </a:effectLst>
          </c:spPr>
          <c:invertIfNegative val="0"/>
          <c:dLbls>
            <c:dLbl>
              <c:idx val="0"/>
              <c:tx>
                <c:rich>
                  <a:bodyPr/>
                  <a:lstStyle/>
                  <a:p>
                    <a:fld id="{4BF39DFC-D6FD-48A1-A09B-697F222DF6BD}"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C0B-4228-9EEA-87911CF39C82}"/>
                </c:ext>
              </c:extLst>
            </c:dLbl>
            <c:dLbl>
              <c:idx val="1"/>
              <c:tx>
                <c:rich>
                  <a:bodyPr/>
                  <a:lstStyle/>
                  <a:p>
                    <a:fld id="{E5487A27-5DA0-404C-AD5B-5E4FF043CD48}"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0B-4228-9EEA-87911CF39C82}"/>
                </c:ext>
              </c:extLst>
            </c:dLbl>
            <c:dLbl>
              <c:idx val="2"/>
              <c:tx>
                <c:rich>
                  <a:bodyPr/>
                  <a:lstStyle/>
                  <a:p>
                    <a:fld id="{EFC88CF5-CD2E-43BD-82E4-DA26FA4ECDB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C0B-4228-9EEA-87911CF39C82}"/>
                </c:ext>
              </c:extLst>
            </c:dLbl>
            <c:dLbl>
              <c:idx val="3"/>
              <c:tx>
                <c:rich>
                  <a:bodyPr/>
                  <a:lstStyle/>
                  <a:p>
                    <a:fld id="{99A0E68F-B000-4322-B42B-231BCC4AEB4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0B-4228-9EEA-87911CF39C82}"/>
                </c:ext>
              </c:extLst>
            </c:dLbl>
            <c:dLbl>
              <c:idx val="4"/>
              <c:tx>
                <c:rich>
                  <a:bodyPr/>
                  <a:lstStyle/>
                  <a:p>
                    <a:fld id="{D4F8D550-4060-40FF-8C6A-D73ADFB4B011}"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0B-4228-9EEA-87911CF39C82}"/>
                </c:ext>
              </c:extLst>
            </c:dLbl>
            <c:dLbl>
              <c:idx val="5"/>
              <c:tx>
                <c:rich>
                  <a:bodyPr/>
                  <a:lstStyle/>
                  <a:p>
                    <a:fld id="{BBF53AB6-5DF5-4D28-B485-86252289D64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0B-4228-9EEA-87911CF39C82}"/>
                </c:ext>
              </c:extLst>
            </c:dLbl>
            <c:dLbl>
              <c:idx val="6"/>
              <c:tx>
                <c:rich>
                  <a:bodyPr/>
                  <a:lstStyle/>
                  <a:p>
                    <a:fld id="{B8ACB2A1-1EB8-4D8A-AAC6-FFA3384D4C9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0B-4228-9EEA-87911CF39C8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0F9F"/>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Graf'!$A$8:$A$14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130.71939450674998</c:v>
                </c:pt>
                <c:pt idx="1">
                  <c:v>128.62945691828992</c:v>
                </c:pt>
                <c:pt idx="2">
                  <c:v>117.46675821266327</c:v>
                </c:pt>
                <c:pt idx="3">
                  <c:v>111.43952003025399</c:v>
                </c:pt>
                <c:pt idx="4">
                  <c:v>105.54952200807236</c:v>
                </c:pt>
                <c:pt idx="5">
                  <c:v>59.738977939246084</c:v>
                </c:pt>
                <c:pt idx="6">
                  <c:v>15.6519839988295</c:v>
                </c:pt>
              </c:numCache>
            </c:numRef>
          </c:val>
          <c:extLst>
            <c:ext xmlns:c15="http://schemas.microsoft.com/office/drawing/2012/chart" uri="{02D57815-91ED-43cb-92C2-25804820EDAC}">
              <c15:datalabelsRange>
                <c15:f>'Base Graf'!$BK$58:$BK$65</c15:f>
                <c15:dlblRangeCache>
                  <c:ptCount val="8"/>
                  <c:pt idx="0">
                    <c:v>130,1</c:v>
                  </c:pt>
                  <c:pt idx="1">
                    <c:v>130,7</c:v>
                  </c:pt>
                  <c:pt idx="2">
                    <c:v>128,6</c:v>
                  </c:pt>
                  <c:pt idx="3">
                    <c:v>117,5</c:v>
                  </c:pt>
                  <c:pt idx="4">
                    <c:v>111,4</c:v>
                  </c:pt>
                  <c:pt idx="5">
                    <c:v>105,5</c:v>
                  </c:pt>
                  <c:pt idx="6">
                    <c:v>59,7</c:v>
                  </c:pt>
                  <c:pt idx="7">
                    <c:v>15,7</c:v>
                  </c:pt>
                </c15:dlblRangeCache>
              </c15:datalabelsRange>
            </c:ex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303975536"/>
        <c:axId val="-303977712"/>
      </c:barChart>
      <c:catAx>
        <c:axId val="-303975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7712"/>
        <c:crosses val="autoZero"/>
        <c:auto val="1"/>
        <c:lblAlgn val="ctr"/>
        <c:lblOffset val="100"/>
        <c:noMultiLvlLbl val="0"/>
      </c:catAx>
      <c:valAx>
        <c:axId val="-303977712"/>
        <c:scaling>
          <c:orientation val="minMax"/>
        </c:scaling>
        <c:delete val="1"/>
        <c:axPos val="l"/>
        <c:numFmt formatCode="#,##0.0" sourceLinked="1"/>
        <c:majorTickMark val="none"/>
        <c:minorTickMark val="none"/>
        <c:tickLblPos val="nextTo"/>
        <c:crossAx val="-303975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01073729421E-2"/>
          <c:y val="8.0706934562532626E-2"/>
          <c:w val="0.93809951881014875"/>
          <c:h val="0.71862560839815826"/>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46721ED2-0D24-47EA-9475-1F03CCAD55F8}"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05-4C07-9E4C-E647D2CBD2CC}"/>
                </c:ext>
              </c:extLst>
            </c:dLbl>
            <c:dLbl>
              <c:idx val="1"/>
              <c:tx>
                <c:rich>
                  <a:bodyPr/>
                  <a:lstStyle/>
                  <a:p>
                    <a:fld id="{7840CC75-7A7D-4C9F-AC3F-B5C75394D760}"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05-4C07-9E4C-E647D2CBD2CC}"/>
                </c:ext>
              </c:extLst>
            </c:dLbl>
            <c:dLbl>
              <c:idx val="2"/>
              <c:tx>
                <c:rich>
                  <a:bodyPr/>
                  <a:lstStyle/>
                  <a:p>
                    <a:fld id="{BF83737F-2FBB-4328-86AD-FC450C959D65}"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05-4C07-9E4C-E647D2CBD2CC}"/>
                </c:ext>
              </c:extLst>
            </c:dLbl>
            <c:dLbl>
              <c:idx val="3"/>
              <c:layout>
                <c:manualLayout>
                  <c:x val="-2.2833513124775259E-3"/>
                  <c:y val="-1.7845372344378753E-2"/>
                </c:manualLayout>
              </c:layout>
              <c:tx>
                <c:rich>
                  <a:bodyPr/>
                  <a:lstStyle/>
                  <a:p>
                    <a:fld id="{EA13F5D9-811D-47CA-AA2B-19ACCCFE3B0B}" type="CELLRANGE">
                      <a:rPr lang="en-US" sz="1050" b="1">
                        <a:solidFill>
                          <a:schemeClr val="bg1"/>
                        </a:solidFill>
                      </a:rP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005-4C07-9E4C-E647D2CBD2CC}"/>
                </c:ext>
              </c:extLst>
            </c:dLbl>
            <c:dLbl>
              <c:idx val="4"/>
              <c:layout>
                <c:manualLayout>
                  <c:x val="4.5667026249549686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63F94D7F-52FE-4C98-BF94-A0890D99754F}"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005-4C07-9E4C-E647D2CBD2CC}"/>
                </c:ext>
              </c:extLst>
            </c:dLbl>
            <c:dLbl>
              <c:idx val="5"/>
              <c:layout>
                <c:manualLayout>
                  <c:x val="-2.2833513124776933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F220EC84-4C73-4D76-BC5E-02CB551E3FAD}"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005-4C07-9E4C-E647D2CBD2CC}"/>
                </c:ext>
              </c:extLst>
            </c:dLbl>
            <c:dLbl>
              <c:idx val="6"/>
              <c:layout>
                <c:manualLayout>
                  <c:x val="4.5667026249550519E-3"/>
                  <c:y val="-5.5187859339484044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AD091201-6938-499D-BE98-1A66730F0717}"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Graf'!$H$7:$H$14</c15:sqref>
                  </c15:fullRef>
                </c:ext>
              </c:extLst>
              <c:f>'Base Graf'!$H$8:$H$14</c:f>
              <c:numCache>
                <c:formatCode>#,##0.0</c:formatCode>
                <c:ptCount val="7"/>
                <c:pt idx="0">
                  <c:v>36598.278251564181</c:v>
                </c:pt>
                <c:pt idx="1">
                  <c:v>44781.07011902448</c:v>
                </c:pt>
                <c:pt idx="2">
                  <c:v>18997.673662888021</c:v>
                </c:pt>
                <c:pt idx="3">
                  <c:v>9590.2829284972031</c:v>
                </c:pt>
                <c:pt idx="4">
                  <c:v>943.00104047720322</c:v>
                </c:pt>
                <c:pt idx="5">
                  <c:v>943.00104047720322</c:v>
                </c:pt>
                <c:pt idx="6">
                  <c:v>731.60554229112802</c:v>
                </c:pt>
              </c:numCache>
            </c:numRef>
          </c:val>
          <c:extLst>
            <c:ext xmlns:c15="http://schemas.microsoft.com/office/drawing/2012/chart" uri="{02D57815-91ED-43cb-92C2-25804820EDAC}">
              <c15:datalabelsRange>
                <c15:f>'Base Graf'!$BI$95:$BI$102</c15:f>
                <c15:dlblRangeCache>
                  <c:ptCount val="8"/>
                  <c:pt idx="0">
                    <c:v>49,8%</c:v>
                  </c:pt>
                  <c:pt idx="1">
                    <c:v>66,8%</c:v>
                  </c:pt>
                  <c:pt idx="2">
                    <c:v>91,0%</c:v>
                  </c:pt>
                  <c:pt idx="3">
                    <c:v>91,0%</c:v>
                  </c:pt>
                  <c:pt idx="4">
                    <c:v>95,1%</c:v>
                  </c:pt>
                  <c:pt idx="5">
                    <c:v>85,2%</c:v>
                  </c:pt>
                  <c:pt idx="6">
                    <c:v>89,0%</c:v>
                  </c:pt>
                  <c:pt idx="7">
                    <c:v>95,0%</c:v>
                  </c:pt>
                </c15:dlblRangeCache>
              </c15:datalabelsRange>
            </c:ext>
            <c:ext xmlns:c16="http://schemas.microsoft.com/office/drawing/2014/chart" uri="{C3380CC4-5D6E-409C-BE32-E72D297353CC}">
              <c16:uniqueId val="{00000000-EC2A-4692-91BA-595E276D28C4}"/>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04B56554-11B8-4CC9-A646-0AC0DCB12BC9}"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005-4C07-9E4C-E647D2CBD2CC}"/>
                </c:ext>
              </c:extLst>
            </c:dLbl>
            <c:dLbl>
              <c:idx val="1"/>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FFA3E9EC-6BEF-4ED3-BCED-7DA5827B12B0}"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005-4C07-9E4C-E647D2CBD2CC}"/>
                </c:ext>
              </c:extLst>
            </c:dLbl>
            <c:dLbl>
              <c:idx val="2"/>
              <c:layout>
                <c:manualLayout>
                  <c:x val="-8.3721914294811089E-17"/>
                  <c:y val="-5.5187859339483891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89A4C1D2-46C4-4865-9B05-F512970653D6}"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005-4C07-9E4C-E647D2CBD2CC}"/>
                </c:ext>
              </c:extLst>
            </c:dLbl>
            <c:dLbl>
              <c:idx val="3"/>
              <c:layout>
                <c:manualLayout>
                  <c:x val="-4.5667026249550519E-3"/>
                  <c:y val="-6.4666350993607527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601D2088-DC57-4128-8050-60FB296AD908}"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005-4C07-9E4C-E647D2CBD2CC}"/>
                </c:ext>
              </c:extLst>
            </c:dLbl>
            <c:dLbl>
              <c:idx val="4"/>
              <c:layout>
                <c:manualLayout>
                  <c:x val="6.8500539374324945E-3"/>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4C669DE2-6B63-4533-ADF8-E8BB49C4B4C2}"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005-4C07-9E4C-E647D2CBD2CC}"/>
                </c:ext>
              </c:extLst>
            </c:dLbl>
            <c:dLbl>
              <c:idx val="5"/>
              <c:layout>
                <c:manualLayout>
                  <c:x val="-6.8500539374325778E-3"/>
                  <c:y val="-0.110375718678967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07841A0E-70A7-43B7-8C78-CFECE4B0B839}"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005-4C07-9E4C-E647D2CBD2CC}"/>
                </c:ext>
              </c:extLst>
            </c:dLbl>
            <c:dLbl>
              <c:idx val="6"/>
              <c:layout>
                <c:manualLayout>
                  <c:x val="-1.6744382858962218E-16"/>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2E86690A-9661-4590-BE68-8622793A266D}"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005-4C07-9E4C-E647D2CBD2C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Graf'!$K$7:$K$14</c15:sqref>
                  </c15:fullRef>
                </c:ext>
              </c:extLst>
              <c:f>'Base Graf'!$K$8:$K$14</c:f>
              <c:numCache>
                <c:formatCode>#,##0.0</c:formatCode>
                <c:ptCount val="7"/>
                <c:pt idx="0">
                  <c:v>18228.588956764681</c:v>
                </c:pt>
                <c:pt idx="1">
                  <c:v>4403.1153301549475</c:v>
                </c:pt>
                <c:pt idx="2">
                  <c:v>1871.1481120159981</c:v>
                </c:pt>
                <c:pt idx="3">
                  <c:v>490.09573425316336</c:v>
                </c:pt>
                <c:pt idx="4">
                  <c:v>164.16367753522283</c:v>
                </c:pt>
                <c:pt idx="5">
                  <c:v>116.30427593034341</c:v>
                </c:pt>
                <c:pt idx="6">
                  <c:v>38.442381532372799</c:v>
                </c:pt>
              </c:numCache>
            </c:numRef>
          </c:val>
          <c:extLst>
            <c:ext xmlns:c15="http://schemas.microsoft.com/office/drawing/2012/chart" uri="{02D57815-91ED-43cb-92C2-25804820EDAC}">
              <c15:datalabelsRange>
                <c15:f>'Base Graf'!$BJ$95:$BJ$102</c15:f>
                <c15:dlblRangeCache>
                  <c:ptCount val="8"/>
                  <c:pt idx="0">
                    <c:v>50,2%</c:v>
                  </c:pt>
                  <c:pt idx="1">
                    <c:v>33,2%</c:v>
                  </c:pt>
                  <c:pt idx="2">
                    <c:v>9,0%</c:v>
                  </c:pt>
                  <c:pt idx="3">
                    <c:v>9,0%</c:v>
                  </c:pt>
                  <c:pt idx="4">
                    <c:v>4,9%</c:v>
                  </c:pt>
                  <c:pt idx="5">
                    <c:v>14,8%</c:v>
                  </c:pt>
                  <c:pt idx="6">
                    <c:v>11,0%</c:v>
                  </c:pt>
                  <c:pt idx="7">
                    <c:v>5,0%</c:v>
                  </c:pt>
                </c15:dlblRangeCache>
              </c15:datalabelsRange>
            </c:ext>
            <c:ext xmlns:c15="http://schemas.microsoft.com/office/drawing/2012/chart" uri="{02D57815-91ED-43cb-92C2-25804820EDAC}">
              <c15:categoryFilterExceptions>
                <c15:categoryFilterException>
                  <c15:sqref>'Base Graf'!$K$7</c15:sqref>
                  <c15:dLbl>
                    <c:idx val="-1"/>
                    <c:delete val="1"/>
                    <c:extLst>
                      <c:ext uri="{CE6537A1-D6FC-4f65-9D91-7224C49458BB}"/>
                      <c:ext xmlns:c16="http://schemas.microsoft.com/office/drawing/2014/chart" uri="{C3380CC4-5D6E-409C-BE32-E72D297353CC}">
                        <c16:uniqueId val="{00000000-FDCD-43ED-B979-89A43C2499FC}"/>
                      </c:ext>
                    </c:extLst>
                  </c15:dLbl>
                </c15:categoryFilterException>
              </c15:categoryFilterExceptions>
            </c:ext>
            <c:ext xmlns:c16="http://schemas.microsoft.com/office/drawing/2014/chart" uri="{C3380CC4-5D6E-409C-BE32-E72D297353CC}">
              <c16:uniqueId val="{00000001-EC2A-4692-91BA-595E276D28C4}"/>
            </c:ext>
          </c:extLst>
        </c:ser>
        <c:dLbls>
          <c:showLegendKey val="0"/>
          <c:showVal val="0"/>
          <c:showCatName val="0"/>
          <c:showSerName val="0"/>
          <c:showPercent val="0"/>
          <c:showBubbleSize val="0"/>
        </c:dLbls>
        <c:gapWidth val="50"/>
        <c:overlap val="100"/>
        <c:axId val="-303976080"/>
        <c:axId val="-303974448"/>
      </c:barChart>
      <c:lineChart>
        <c:grouping val="standard"/>
        <c:varyColors val="0"/>
        <c:ser>
          <c:idx val="2"/>
          <c:order val="2"/>
          <c:spPr>
            <a:ln w="28575" cap="rnd">
              <a:solidFill>
                <a:srgbClr val="FFFFFF">
                  <a:alpha val="0"/>
                </a:srgbClr>
              </a:solidFill>
              <a:round/>
            </a:ln>
            <a:effectLst/>
          </c:spPr>
          <c:marker>
            <c:symbol val="none"/>
          </c:marker>
          <c:dLbls>
            <c:dLbl>
              <c:idx val="0"/>
              <c:tx>
                <c:rich>
                  <a:bodyPr/>
                  <a:lstStyle/>
                  <a:p>
                    <a:fld id="{4BA17E3F-52AC-4B70-8C9C-4B74DAAAEAE3}"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005-4C07-9E4C-E647D2CBD2CC}"/>
                </c:ext>
              </c:extLst>
            </c:dLbl>
            <c:dLbl>
              <c:idx val="1"/>
              <c:tx>
                <c:rich>
                  <a:bodyPr/>
                  <a:lstStyle/>
                  <a:p>
                    <a:fld id="{832D5201-07FE-4483-B9B2-1734346F12C8}"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005-4C07-9E4C-E647D2CBD2CC}"/>
                </c:ext>
              </c:extLst>
            </c:dLbl>
            <c:dLbl>
              <c:idx val="2"/>
              <c:layout>
                <c:manualLayout>
                  <c:x val="-5.2876663070837909E-2"/>
                  <c:y val="-0.13793789276641263"/>
                </c:manualLayout>
              </c:layout>
              <c:tx>
                <c:rich>
                  <a:bodyPr/>
                  <a:lstStyle/>
                  <a:p>
                    <a:fld id="{786C755B-AD98-4A91-A7EB-3BE994738FE1}"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005-4C07-9E4C-E647D2CBD2CC}"/>
                </c:ext>
              </c:extLst>
            </c:dLbl>
            <c:dLbl>
              <c:idx val="3"/>
              <c:layout>
                <c:manualLayout>
                  <c:x val="-5.05933117583603E-2"/>
                  <c:y val="-0.18039009225832331"/>
                </c:manualLayout>
              </c:layout>
              <c:tx>
                <c:rich>
                  <a:bodyPr/>
                  <a:lstStyle/>
                  <a:p>
                    <a:fld id="{A58B6209-DD80-429E-98C3-FDED23072A08}"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005-4C07-9E4C-E647D2CBD2CC}"/>
                </c:ext>
              </c:extLst>
            </c:dLbl>
            <c:dLbl>
              <c:idx val="4"/>
              <c:layout>
                <c:manualLayout>
                  <c:x val="-5.9726717008270487E-2"/>
                  <c:y val="-0.18463531220751436"/>
                </c:manualLayout>
              </c:layout>
              <c:tx>
                <c:rich>
                  <a:bodyPr/>
                  <a:lstStyle/>
                  <a:p>
                    <a:fld id="{2A72EA1A-CAD4-41F3-A135-4B2DEB768DD7}"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005-4C07-9E4C-E647D2CBD2CC}"/>
                </c:ext>
              </c:extLst>
            </c:dLbl>
            <c:dLbl>
              <c:idx val="5"/>
              <c:layout>
                <c:manualLayout>
                  <c:x val="-5.1929162171880622E-2"/>
                  <c:y val="-0.18888053215670553"/>
                </c:manualLayout>
              </c:layout>
              <c:tx>
                <c:rich>
                  <a:bodyPr/>
                  <a:lstStyle/>
                  <a:p>
                    <a:fld id="{5AE998B1-A103-4039-B03B-4EB87F9A23E7}"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005-4C07-9E4C-E647D2CBD2CC}"/>
                </c:ext>
              </c:extLst>
            </c:dLbl>
            <c:dLbl>
              <c:idx val="6"/>
              <c:layout>
                <c:manualLayout>
                  <c:x val="-5.4212513484358148E-2"/>
                  <c:y val="-0.2058614119534698"/>
                </c:manualLayout>
              </c:layout>
              <c:tx>
                <c:rich>
                  <a:bodyPr/>
                  <a:lstStyle/>
                  <a:p>
                    <a:fld id="{2C2EC5D6-A97B-4093-B5B7-8F75FD1BDBCC}"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54826.867208328862</c:v>
                </c:pt>
                <c:pt idx="1">
                  <c:v>49184.185449179429</c:v>
                </c:pt>
                <c:pt idx="2">
                  <c:v>20868.821774904016</c:v>
                </c:pt>
                <c:pt idx="3">
                  <c:v>10080.378662750367</c:v>
                </c:pt>
                <c:pt idx="4">
                  <c:v>1107.164718012426</c:v>
                </c:pt>
                <c:pt idx="5">
                  <c:v>1059.3053164075466</c:v>
                </c:pt>
                <c:pt idx="6">
                  <c:v>770.04792382350081</c:v>
                </c:pt>
              </c:numCache>
            </c:numRef>
          </c:val>
          <c:smooth val="0"/>
          <c:extLst>
            <c:ext xmlns:c15="http://schemas.microsoft.com/office/drawing/2012/chart" uri="{02D57815-91ED-43cb-92C2-25804820EDAC}">
              <c15:datalabelsRange>
                <c15:f>'Base Graf'!$BH$95:$BH$102</c15:f>
                <c15:dlblRangeCache>
                  <c:ptCount val="8"/>
                  <c:pt idx="0">
                    <c:v>57.379,1</c:v>
                  </c:pt>
                  <c:pt idx="1">
                    <c:v>54.826,9</c:v>
                  </c:pt>
                  <c:pt idx="2">
                    <c:v>49.184,2</c:v>
                  </c:pt>
                  <c:pt idx="3">
                    <c:v>20.868,8</c:v>
                  </c:pt>
                  <c:pt idx="4">
                    <c:v>10.080,4</c:v>
                  </c:pt>
                  <c:pt idx="5">
                    <c:v>1.107,2</c:v>
                  </c:pt>
                  <c:pt idx="6">
                    <c:v>1.059,3</c:v>
                  </c:pt>
                  <c:pt idx="7">
                    <c:v>770,0</c:v>
                  </c:pt>
                </c15:dlblRangeCache>
              </c15:datalabelsRange>
            </c:ex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marker val="1"/>
        <c:smooth val="0"/>
        <c:axId val="-303976080"/>
        <c:axId val="-303974448"/>
      </c:lineChart>
      <c:catAx>
        <c:axId val="-303976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4448"/>
        <c:crosses val="autoZero"/>
        <c:auto val="1"/>
        <c:lblAlgn val="ctr"/>
        <c:lblOffset val="100"/>
        <c:noMultiLvlLbl val="0"/>
      </c:catAx>
      <c:valAx>
        <c:axId val="-303974448"/>
        <c:scaling>
          <c:orientation val="minMax"/>
        </c:scaling>
        <c:delete val="1"/>
        <c:axPos val="l"/>
        <c:numFmt formatCode="#,##0.0" sourceLinked="1"/>
        <c:majorTickMark val="none"/>
        <c:minorTickMark val="none"/>
        <c:tickLblPos val="nextTo"/>
        <c:crossAx val="-303976080"/>
        <c:crosses val="autoZero"/>
        <c:crossBetween val="between"/>
      </c:valAx>
      <c:spPr>
        <a:noFill/>
        <a:ln w="25400">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7533261417E-2"/>
          <c:y val="6.6712516516938269E-2"/>
          <c:w val="0.93809951881014875"/>
          <c:h val="0.68753578601594878"/>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BB70FF87-D353-401E-9C30-AE78DEFDC6AE}"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140-4B30-B6B5-CD5039A72F85}"/>
                </c:ext>
              </c:extLst>
            </c:dLbl>
            <c:dLbl>
              <c:idx val="1"/>
              <c:tx>
                <c:rich>
                  <a:bodyPr/>
                  <a:lstStyle/>
                  <a:p>
                    <a:fld id="{8F97898A-70D9-4442-B506-E1236556D1A5}"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140-4B30-B6B5-CD5039A72F85}"/>
                </c:ext>
              </c:extLst>
            </c:dLbl>
            <c:dLbl>
              <c:idx val="2"/>
              <c:tx>
                <c:rich>
                  <a:bodyPr/>
                  <a:lstStyle/>
                  <a:p>
                    <a:fld id="{DF835834-F6CF-403C-AE72-FD4852984A1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140-4B30-B6B5-CD5039A72F85}"/>
                </c:ext>
              </c:extLst>
            </c:dLbl>
            <c:dLbl>
              <c:idx val="3"/>
              <c:tx>
                <c:rich>
                  <a:bodyPr/>
                  <a:lstStyle/>
                  <a:p>
                    <a:fld id="{44BD629E-250B-4171-AE18-98738664A546}"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140-4B30-B6B5-CD5039A72F85}"/>
                </c:ext>
              </c:extLst>
            </c:dLbl>
            <c:dLbl>
              <c:idx val="4"/>
              <c:tx>
                <c:rich>
                  <a:bodyPr/>
                  <a:lstStyle/>
                  <a:p>
                    <a:fld id="{04FA7F84-0645-43E3-B60A-A65B8C45DFA5}"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40-4B30-B6B5-CD5039A72F85}"/>
                </c:ext>
              </c:extLst>
            </c:dLbl>
            <c:dLbl>
              <c:idx val="5"/>
              <c:tx>
                <c:rich>
                  <a:bodyPr/>
                  <a:lstStyle/>
                  <a:p>
                    <a:fld id="{0F456333-128E-4607-BF9B-D807ADD49954}"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140-4B30-B6B5-CD5039A72F85}"/>
                </c:ext>
              </c:extLst>
            </c:dLbl>
            <c:dLbl>
              <c:idx val="6"/>
              <c:tx>
                <c:rich>
                  <a:bodyPr/>
                  <a:lstStyle/>
                  <a:p>
                    <a:fld id="{A6076403-F757-4770-8DB3-2C1303382AF3}"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Graf'!$I$7:$I$14</c15:sqref>
                  </c15:fullRef>
                </c:ext>
              </c:extLst>
              <c:f>'Base Graf'!$I$8:$I$14</c:f>
              <c:numCache>
                <c:formatCode>#,##0.0</c:formatCode>
                <c:ptCount val="7"/>
                <c:pt idx="0">
                  <c:v>96.06220686135859</c:v>
                </c:pt>
                <c:pt idx="1">
                  <c:v>97.944727705280613</c:v>
                </c:pt>
                <c:pt idx="2">
                  <c:v>93.568841782391218</c:v>
                </c:pt>
                <c:pt idx="3">
                  <c:v>93.56917386239121</c:v>
                </c:pt>
                <c:pt idx="4">
                  <c:v>93.569509912391212</c:v>
                </c:pt>
                <c:pt idx="5">
                  <c:v>53.72208074162198</c:v>
                </c:pt>
                <c:pt idx="6">
                  <c:v>13.364520376723032</c:v>
                </c:pt>
              </c:numCache>
            </c:numRef>
          </c:val>
          <c:extLst>
            <c:ext xmlns:c15="http://schemas.microsoft.com/office/drawing/2012/chart" uri="{02D57815-91ED-43cb-92C2-25804820EDAC}">
              <c15:datalabelsRange>
                <c15:f>'Base Graf'!$BP$114:$BP$121</c15:f>
                <c15:dlblRangeCache>
                  <c:ptCount val="8"/>
                  <c:pt idx="0">
                    <c:v>73,8%</c:v>
                  </c:pt>
                  <c:pt idx="1">
                    <c:v>73,5%</c:v>
                  </c:pt>
                  <c:pt idx="2">
                    <c:v>76,1%</c:v>
                  </c:pt>
                  <c:pt idx="3">
                    <c:v>79,7%</c:v>
                  </c:pt>
                  <c:pt idx="4">
                    <c:v>84,0%</c:v>
                  </c:pt>
                  <c:pt idx="5">
                    <c:v>88,6%</c:v>
                  </c:pt>
                  <c:pt idx="6">
                    <c:v>89,9%</c:v>
                  </c:pt>
                  <c:pt idx="7">
                    <c:v>85,4%</c:v>
                  </c:pt>
                </c15:dlblRangeCache>
              </c15:datalabelsRange>
            </c:ext>
            <c:ext xmlns:c16="http://schemas.microsoft.com/office/drawing/2014/chart" uri="{C3380CC4-5D6E-409C-BE32-E72D297353CC}">
              <c16:uniqueId val="{00000007-F070-4C4C-A8F3-25B5D6BC95A0}"/>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a:lstStyle/>
                  <a:p>
                    <a:fld id="{1B9BB68D-485F-4F57-B2A8-C759D622CCA5}"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140-4B30-B6B5-CD5039A72F85}"/>
                </c:ext>
              </c:extLst>
            </c:dLbl>
            <c:dLbl>
              <c:idx val="1"/>
              <c:tx>
                <c:rich>
                  <a:bodyPr/>
                  <a:lstStyle/>
                  <a:p>
                    <a:fld id="{3462932B-18B4-46AC-B040-FBB9FBD044FD}"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140-4B30-B6B5-CD5039A72F85}"/>
                </c:ext>
              </c:extLst>
            </c:dLbl>
            <c:dLbl>
              <c:idx val="2"/>
              <c:tx>
                <c:rich>
                  <a:bodyPr/>
                  <a:lstStyle/>
                  <a:p>
                    <a:fld id="{B9BBEFB8-7CE2-4E2A-90CB-27DC58B47CE4}"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140-4B30-B6B5-CD5039A72F85}"/>
                </c:ext>
              </c:extLst>
            </c:dLbl>
            <c:dLbl>
              <c:idx val="3"/>
              <c:tx>
                <c:rich>
                  <a:bodyPr/>
                  <a:lstStyle/>
                  <a:p>
                    <a:fld id="{DC2C8A6E-D6D0-471F-8B19-1460971D6F8D}"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140-4B30-B6B5-CD5039A72F85}"/>
                </c:ext>
              </c:extLst>
            </c:dLbl>
            <c:dLbl>
              <c:idx val="4"/>
              <c:tx>
                <c:rich>
                  <a:bodyPr/>
                  <a:lstStyle/>
                  <a:p>
                    <a:fld id="{68AB12CC-F51B-48B4-8CC3-B2A3BC0A96E5}"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140-4B30-B6B5-CD5039A72F85}"/>
                </c:ext>
              </c:extLst>
            </c:dLbl>
            <c:dLbl>
              <c:idx val="5"/>
              <c:layout>
                <c:manualLayout>
                  <c:x val="-1.6744382858962218E-16"/>
                  <c:y val="-5.9433079288674959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5A918831-8B7A-4A57-83E6-9FA5E0730B6D}"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140-4B30-B6B5-CD5039A72F85}"/>
                </c:ext>
              </c:extLst>
            </c:dLbl>
            <c:dLbl>
              <c:idx val="6"/>
              <c:layout>
                <c:manualLayout>
                  <c:x val="0"/>
                  <c:y val="-4.6697419441101673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1064E636-7DC8-4727-8199-66A70AA24EDE}"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Graf'!$L$7:$L$14</c15:sqref>
                  </c15:fullRef>
                </c:ext>
              </c:extLst>
              <c:f>'Base Graf'!$L$8:$L$14</c:f>
              <c:numCache>
                <c:formatCode>#,##0.0</c:formatCode>
                <c:ptCount val="7"/>
                <c:pt idx="0">
                  <c:v>34.657187645391396</c:v>
                </c:pt>
                <c:pt idx="1">
                  <c:v>30.684582183009294</c:v>
                </c:pt>
                <c:pt idx="2">
                  <c:v>23.897916430272051</c:v>
                </c:pt>
                <c:pt idx="3">
                  <c:v>17.870346167862774</c:v>
                </c:pt>
                <c:pt idx="4">
                  <c:v>11.98001209568114</c:v>
                </c:pt>
                <c:pt idx="5">
                  <c:v>6.0168971976241039</c:v>
                </c:pt>
                <c:pt idx="6">
                  <c:v>2.2874636221064697</c:v>
                </c:pt>
              </c:numCache>
            </c:numRef>
          </c:val>
          <c:extLst>
            <c:ext xmlns:c15="http://schemas.microsoft.com/office/drawing/2012/chart" uri="{02D57815-91ED-43cb-92C2-25804820EDAC}">
              <c15:datalabelsRange>
                <c15:f>'Base Graf'!$BQ$114:$BQ$121</c15:f>
                <c15:dlblRangeCache>
                  <c:ptCount val="8"/>
                  <c:pt idx="0">
                    <c:v>26,2%</c:v>
                  </c:pt>
                  <c:pt idx="1">
                    <c:v>26,5%</c:v>
                  </c:pt>
                  <c:pt idx="2">
                    <c:v>23,9%</c:v>
                  </c:pt>
                  <c:pt idx="3">
                    <c:v>20,3%</c:v>
                  </c:pt>
                  <c:pt idx="4">
                    <c:v>16,0%</c:v>
                  </c:pt>
                  <c:pt idx="5">
                    <c:v>11,4%</c:v>
                  </c:pt>
                  <c:pt idx="6">
                    <c:v>10,1%</c:v>
                  </c:pt>
                  <c:pt idx="7">
                    <c:v>14,6%</c:v>
                  </c:pt>
                </c15:dlblRangeCache>
              </c15:datalabelsRange>
            </c:ext>
            <c:ext xmlns:c16="http://schemas.microsoft.com/office/drawing/2014/chart" uri="{C3380CC4-5D6E-409C-BE32-E72D297353CC}">
              <c16:uniqueId val="{0000000F-F070-4C4C-A8F3-25B5D6BC95A0}"/>
            </c:ext>
          </c:extLst>
        </c:ser>
        <c:dLbls>
          <c:dLblPos val="ctr"/>
          <c:showLegendKey val="0"/>
          <c:showVal val="1"/>
          <c:showCatName val="0"/>
          <c:showSerName val="0"/>
          <c:showPercent val="0"/>
          <c:showBubbleSize val="0"/>
        </c:dLbls>
        <c:gapWidth val="50"/>
        <c:overlap val="100"/>
        <c:axId val="-303972816"/>
        <c:axId val="-303973904"/>
      </c:barChart>
      <c:lineChart>
        <c:grouping val="standard"/>
        <c:varyColors val="0"/>
        <c:ser>
          <c:idx val="2"/>
          <c:order val="2"/>
          <c:spPr>
            <a:ln w="28575" cap="rnd">
              <a:solidFill>
                <a:schemeClr val="tx1">
                  <a:alpha val="0"/>
                </a:schemeClr>
              </a:solidFill>
              <a:round/>
            </a:ln>
            <a:effectLst/>
          </c:spPr>
          <c:marker>
            <c:symbol val="none"/>
          </c:marker>
          <c:dLbls>
            <c:dLbl>
              <c:idx val="0"/>
              <c:layout>
                <c:manualLayout>
                  <c:x val="-4.8087378640776696E-2"/>
                  <c:y val="-3.8642198154833496E-2"/>
                </c:manualLayout>
              </c:layout>
              <c:tx>
                <c:rich>
                  <a:bodyPr/>
                  <a:lstStyle/>
                  <a:p>
                    <a:fld id="{AD06C2B5-E513-40E7-A6BD-B8F87F45103D}"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140-4B30-B6B5-CD5039A72F85}"/>
                </c:ext>
              </c:extLst>
            </c:dLbl>
            <c:dLbl>
              <c:idx val="1"/>
              <c:layout>
                <c:manualLayout>
                  <c:x val="-4.8087378640776744E-2"/>
                  <c:y val="-4.2887418104024605E-2"/>
                </c:manualLayout>
              </c:layout>
              <c:tx>
                <c:rich>
                  <a:bodyPr/>
                  <a:lstStyle/>
                  <a:p>
                    <a:fld id="{71C52DAF-5B90-403B-ADAF-04A22D8D702B}"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140-4B30-B6B5-CD5039A72F85}"/>
                </c:ext>
              </c:extLst>
            </c:dLbl>
            <c:dLbl>
              <c:idx val="2"/>
              <c:layout>
                <c:manualLayout>
                  <c:x val="-4.8087378640776696E-2"/>
                  <c:y val="-4.2887418104024605E-2"/>
                </c:manualLayout>
              </c:layout>
              <c:tx>
                <c:rich>
                  <a:bodyPr/>
                  <a:lstStyle/>
                  <a:p>
                    <a:fld id="{3AEC8AD3-E607-43FB-81CF-3A2C5B555097}"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140-4B30-B6B5-CD5039A72F85}"/>
                </c:ext>
              </c:extLst>
            </c:dLbl>
            <c:dLbl>
              <c:idx val="3"/>
              <c:tx>
                <c:rich>
                  <a:bodyPr/>
                  <a:lstStyle/>
                  <a:p>
                    <a:fld id="{6F6B0D97-B443-4DA2-91C7-C5C49590B4C8}"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140-4B30-B6B5-CD5039A72F85}"/>
                </c:ext>
              </c:extLst>
            </c:dLbl>
            <c:dLbl>
              <c:idx val="4"/>
              <c:tx>
                <c:rich>
                  <a:bodyPr/>
                  <a:lstStyle/>
                  <a:p>
                    <a:fld id="{4F2B9A9B-E809-465A-92E0-2F49F47FE70E}"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140-4B30-B6B5-CD5039A72F85}"/>
                </c:ext>
              </c:extLst>
            </c:dLbl>
            <c:dLbl>
              <c:idx val="5"/>
              <c:layout>
                <c:manualLayout>
                  <c:x val="-4.6865875584322189E-2"/>
                  <c:y val="-0.11088882537867963"/>
                </c:manualLayout>
              </c:layout>
              <c:tx>
                <c:rich>
                  <a:bodyPr/>
                  <a:lstStyle/>
                  <a:p>
                    <a:fld id="{6BCB3C82-E6BD-40DF-A592-726AE1680A6A}"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140-4B30-B6B5-CD5039A72F85}"/>
                </c:ext>
              </c:extLst>
            </c:dLbl>
            <c:dLbl>
              <c:idx val="6"/>
              <c:layout>
                <c:manualLayout>
                  <c:x val="-4.6865875584322189E-2"/>
                  <c:y val="-9.8075257847986166E-2"/>
                </c:manualLayout>
              </c:layout>
              <c:tx>
                <c:rich>
                  <a:bodyPr/>
                  <a:lstStyle/>
                  <a:p>
                    <a:fld id="{D39CF94C-F5F0-4097-AAE4-1456D9E3D09C}"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130.71939450674998</c:v>
                </c:pt>
                <c:pt idx="1">
                  <c:v>128.62945691828992</c:v>
                </c:pt>
                <c:pt idx="2">
                  <c:v>117.46675821266327</c:v>
                </c:pt>
                <c:pt idx="3">
                  <c:v>111.43952003025399</c:v>
                </c:pt>
                <c:pt idx="4">
                  <c:v>105.54952200807236</c:v>
                </c:pt>
                <c:pt idx="5">
                  <c:v>59.738977939246084</c:v>
                </c:pt>
                <c:pt idx="6">
                  <c:v>15.6519839988295</c:v>
                </c:pt>
              </c:numCache>
            </c:numRef>
          </c:val>
          <c:smooth val="0"/>
          <c:extLst>
            <c:ext xmlns:c15="http://schemas.microsoft.com/office/drawing/2012/chart" uri="{02D57815-91ED-43cb-92C2-25804820EDAC}">
              <c15:datalabelsRange>
                <c15:f>'Base Graf'!$BO$114:$BO$121</c15:f>
                <c15:dlblRangeCache>
                  <c:ptCount val="8"/>
                  <c:pt idx="0">
                    <c:v> 130,1 </c:v>
                  </c:pt>
                  <c:pt idx="1">
                    <c:v> 130,7 </c:v>
                  </c:pt>
                  <c:pt idx="2">
                    <c:v> 128,6 </c:v>
                  </c:pt>
                  <c:pt idx="3">
                    <c:v> 117,5 </c:v>
                  </c:pt>
                  <c:pt idx="4">
                    <c:v> 111,4 </c:v>
                  </c:pt>
                  <c:pt idx="5">
                    <c:v> 105,5 </c:v>
                  </c:pt>
                  <c:pt idx="6">
                    <c:v> 59,7 </c:v>
                  </c:pt>
                  <c:pt idx="7">
                    <c:v> 15,7 </c:v>
                  </c:pt>
                </c15:dlblRangeCache>
              </c15:datalabelsRange>
            </c:ext>
            <c:ext xmlns:c15="http://schemas.microsoft.com/office/drawing/2012/chart" uri="{02D57815-91ED-43cb-92C2-25804820EDAC}">
              <c15:categoryFilterExceptions>
                <c15:categoryFilterException>
                  <c15:sqref>'Base Graf'!$C$7</c15:sqref>
                  <c15:dLbl>
                    <c:idx val="-1"/>
                    <c:layout>
                      <c:manualLayout>
                        <c:x val="-4.808737864077671E-2"/>
                        <c:y val="-4.7132638053215672E-2"/>
                      </c:manualLayout>
                    </c:layout>
                    <c:dLblPos val="r"/>
                    <c:showLegendKey val="0"/>
                    <c:showVal val="0"/>
                    <c:showCatName val="0"/>
                    <c:showSerName val="0"/>
                    <c:showPercent val="0"/>
                    <c:showBubbleSize val="0"/>
                    <c:extLst>
                      <c:ext uri="{CE6537A1-D6FC-4f65-9D91-7224C49458BB}">
                        <c15:showDataLabelsRange val="1"/>
                      </c:ext>
                      <c:ext xmlns:c16="http://schemas.microsoft.com/office/drawing/2014/chart" uri="{C3380CC4-5D6E-409C-BE32-E72D297353CC}">
                        <c16:uniqueId val="{00000000-29A2-4348-9CD4-66DC4618895E}"/>
                      </c:ext>
                    </c:extLst>
                  </c15:dLbl>
                </c15:categoryFilterException>
              </c15:categoryFilterExceptions>
            </c:ex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marker val="1"/>
        <c:smooth val="0"/>
        <c:axId val="-303972816"/>
        <c:axId val="-303973904"/>
      </c:lineChart>
      <c:catAx>
        <c:axId val="-303972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3904"/>
        <c:crosses val="autoZero"/>
        <c:auto val="1"/>
        <c:lblAlgn val="ctr"/>
        <c:lblOffset val="100"/>
        <c:noMultiLvlLbl val="0"/>
      </c:catAx>
      <c:valAx>
        <c:axId val="-303973904"/>
        <c:scaling>
          <c:orientation val="minMax"/>
        </c:scaling>
        <c:delete val="1"/>
        <c:axPos val="l"/>
        <c:numFmt formatCode="#,##0.0" sourceLinked="1"/>
        <c:majorTickMark val="none"/>
        <c:minorTickMark val="none"/>
        <c:tickLblPos val="nextTo"/>
        <c:crossAx val="-30397281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3374819121743808E-2"/>
          <c:w val="0.88282793959007555"/>
          <c:h val="0.6923258400790121"/>
        </c:manualLayout>
      </c:layout>
      <c:barChart>
        <c:barDir val="col"/>
        <c:grouping val="stacked"/>
        <c:varyColors val="0"/>
        <c:ser>
          <c:idx val="0"/>
          <c:order val="0"/>
          <c:tx>
            <c:strRef>
              <c:f>'Base Graf'!$AC$2</c:f>
              <c:strCache>
                <c:ptCount val="1"/>
                <c:pt idx="0">
                  <c:v>Gobierno Federal</c:v>
                </c:pt>
              </c:strCache>
            </c:strRef>
          </c:tx>
          <c:spPr>
            <a:solidFill>
              <a:srgbClr val="3CB4E5"/>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Graf'!$AC$7:$AC$14</c15:sqref>
                  </c15:fullRef>
                </c:ext>
              </c:extLst>
              <c:f>'Base Graf'!$AC$8:$AC$14</c:f>
              <c:numCache>
                <c:formatCode>#,##0.0</c:formatCode>
                <c:ptCount val="7"/>
                <c:pt idx="0">
                  <c:v>1771.5594249790502</c:v>
                </c:pt>
                <c:pt idx="1">
                  <c:v>439.98488061316289</c:v>
                </c:pt>
                <c:pt idx="2">
                  <c:v>256.28151954660905</c:v>
                </c:pt>
                <c:pt idx="3">
                  <c:v>193.14525825934288</c:v>
                </c:pt>
                <c:pt idx="4">
                  <c:v>182.16395044041707</c:v>
                </c:pt>
                <c:pt idx="5">
                  <c:v>171.85657514446476</c:v>
                </c:pt>
                <c:pt idx="6">
                  <c:v>139.35112366321505</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Graf'!$AO$7:$AO$14</c15:sqref>
                  </c15:fullRef>
                </c:ext>
              </c:extLst>
              <c:f>'Base Graf'!$AO$8:$AO$14</c:f>
              <c:numCache>
                <c:formatCode>#,##0.0</c:formatCode>
                <c:ptCount val="7"/>
                <c:pt idx="0">
                  <c:v>39408.164237529709</c:v>
                </c:pt>
                <c:pt idx="1">
                  <c:v>41766.488937411399</c:v>
                </c:pt>
                <c:pt idx="2">
                  <c:v>15317.541741990772</c:v>
                </c:pt>
                <c:pt idx="3">
                  <c:v>8010.8278026475718</c:v>
                </c:pt>
                <c:pt idx="4">
                  <c:v>925.00076757200895</c:v>
                </c:pt>
                <c:pt idx="5">
                  <c:v>887.44874126308184</c:v>
                </c:pt>
                <c:pt idx="6">
                  <c:v>630.69680016028576</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rgbClr val="C8A977"/>
            </a:solidFill>
            <a:ln>
              <a:noFill/>
            </a:ln>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Graf'!$AF$7:$AF$14</c15:sqref>
                  </c15:fullRef>
                </c:ext>
              </c:extLst>
              <c:f>'Base Graf'!$AF$8:$AF$14</c:f>
              <c:numCache>
                <c:formatCode>#,##0.0</c:formatCode>
                <c:ptCount val="7"/>
                <c:pt idx="0">
                  <c:v>13647.143545820103</c:v>
                </c:pt>
                <c:pt idx="1">
                  <c:v>6977.7116311548489</c:v>
                </c:pt>
                <c:pt idx="2">
                  <c:v>5294.9985133666351</c:v>
                </c:pt>
                <c:pt idx="3">
                  <c:v>1876.4056018434517</c:v>
                </c:pt>
                <c:pt idx="4">
                  <c:v>0</c:v>
                </c:pt>
                <c:pt idx="5">
                  <c:v>0</c:v>
                </c:pt>
                <c:pt idx="6">
                  <c:v>0</c:v>
                </c:pt>
              </c:numCache>
            </c:numRef>
          </c:val>
          <c:extLst>
            <c:ext xmlns:c16="http://schemas.microsoft.com/office/drawing/2014/chart" uri="{C3380CC4-5D6E-409C-BE32-E72D297353CC}">
              <c16:uniqueId val="{00000004-E4F1-45B2-9D23-8998C5758ED0}"/>
            </c:ext>
          </c:extLst>
        </c:ser>
        <c:dLbls>
          <c:showLegendKey val="0"/>
          <c:showVal val="0"/>
          <c:showCatName val="0"/>
          <c:showSerName val="0"/>
          <c:showPercent val="0"/>
          <c:showBubbleSize val="0"/>
        </c:dLbls>
        <c:gapWidth val="50"/>
        <c:overlap val="100"/>
        <c:axId val="-303973360"/>
        <c:axId val="-303971728"/>
      </c:barChart>
      <c:lineChart>
        <c:grouping val="standard"/>
        <c:varyColors val="0"/>
        <c:ser>
          <c:idx val="2"/>
          <c:order val="3"/>
          <c:spPr>
            <a:ln w="28575" cap="rnd">
              <a:solidFill>
                <a:schemeClr val="bg1">
                  <a:lumMod val="85000"/>
                  <a:alpha val="0"/>
                </a:schemeClr>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54826.867208328862</c:v>
                </c:pt>
                <c:pt idx="1">
                  <c:v>49184.185449179429</c:v>
                </c:pt>
                <c:pt idx="2">
                  <c:v>20868.821774904016</c:v>
                </c:pt>
                <c:pt idx="3">
                  <c:v>10080.378662750367</c:v>
                </c:pt>
                <c:pt idx="4">
                  <c:v>1107.164718012426</c:v>
                </c:pt>
                <c:pt idx="5">
                  <c:v>1059.3053164075466</c:v>
                </c:pt>
                <c:pt idx="6">
                  <c:v>770.04792382350081</c:v>
                </c:pt>
              </c:numCache>
            </c:numRef>
          </c:val>
          <c:smooth val="0"/>
          <c:extLst>
            <c:ext xmlns:c15="http://schemas.microsoft.com/office/drawing/2012/chart" uri="{02D57815-91ED-43cb-92C2-25804820EDAC}">
              <c15:categoryFilterExceptions>
                <c15:categoryFilterException>
                  <c15:sqref>'Base Graf'!$B$7</c15:sqref>
                  <c15:dLbl>
                    <c:idx val="-1"/>
                    <c:layout>
                      <c:manualLayout>
                        <c:x val="-6.5920352391226178E-2"/>
                        <c:y val="-3.439697820564246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B943-4A98-BC76-2299E2A005A8}"/>
                      </c:ext>
                    </c:extLst>
                  </c15:dLbl>
                </c15:categoryFilterException>
              </c15:categoryFilterExceptions>
            </c:ex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marker val="1"/>
        <c:smooth val="0"/>
        <c:axId val="-303973360"/>
        <c:axId val="-303971728"/>
      </c:lineChart>
      <c:catAx>
        <c:axId val="-30397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1728"/>
        <c:crosses val="autoZero"/>
        <c:auto val="1"/>
        <c:lblAlgn val="ctr"/>
        <c:lblOffset val="100"/>
        <c:noMultiLvlLbl val="0"/>
      </c:catAx>
      <c:valAx>
        <c:axId val="-303971728"/>
        <c:scaling>
          <c:orientation val="minMax"/>
          <c:max val="60000"/>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3360"/>
        <c:crosses val="autoZero"/>
        <c:crossBetween val="between"/>
        <c:majorUnit val="8000"/>
      </c:valAx>
      <c:spPr>
        <a:noFill/>
        <a:ln w="25400">
          <a:noFill/>
        </a:ln>
        <a:effectLst/>
      </c:spPr>
    </c:plotArea>
    <c:legend>
      <c:legendPos val="b"/>
      <c:legendEntry>
        <c:idx val="3"/>
        <c:delete val="1"/>
      </c:legendEntry>
      <c:layout>
        <c:manualLayout>
          <c:xMode val="edge"/>
          <c:yMode val="edge"/>
          <c:x val="2.8705861201006832E-2"/>
          <c:y val="0.89721587110576284"/>
          <c:w val="0.92660463861920173"/>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2984700565587221E-2"/>
          <c:w val="0.88282793959007555"/>
          <c:h val="0.70969727614483258"/>
        </c:manualLayout>
      </c:layout>
      <c:barChart>
        <c:barDir val="col"/>
        <c:grouping val="stacked"/>
        <c:varyColors val="0"/>
        <c:ser>
          <c:idx val="0"/>
          <c:order val="0"/>
          <c:tx>
            <c:strRef>
              <c:f>'Base Graf'!$AP$2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Graf'!$AP$7:$AP$14</c15:sqref>
                  </c15:fullRef>
                </c:ext>
              </c:extLst>
              <c:f>'Base Graf'!$AP$8:$AP$14</c:f>
              <c:numCache>
                <c:formatCode>#,##0.0</c:formatCode>
                <c:ptCount val="7"/>
                <c:pt idx="0">
                  <c:v>103.75362912999999</c:v>
                </c:pt>
                <c:pt idx="1">
                  <c:v>99.171135673076932</c:v>
                </c:pt>
                <c:pt idx="2">
                  <c:v>94.58864221153847</c:v>
                </c:pt>
                <c:pt idx="3">
                  <c:v>90.006148750000008</c:v>
                </c:pt>
                <c:pt idx="4">
                  <c:v>85.423655288461546</c:v>
                </c:pt>
                <c:pt idx="5">
                  <c:v>40.993392596153853</c:v>
                </c:pt>
                <c:pt idx="6">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solidFill>
              <a:srgbClr val="C8A977"/>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Graf'!$AM$7:$AM$14</c15:sqref>
                  </c15:fullRef>
                </c:ext>
              </c:extLst>
              <c:f>'Base Graf'!$AM$8:$AM$14</c:f>
              <c:numCache>
                <c:formatCode>#,##0.0</c:formatCode>
                <c:ptCount val="7"/>
                <c:pt idx="0">
                  <c:v>26.965765376749996</c:v>
                </c:pt>
                <c:pt idx="1">
                  <c:v>29.458174215212971</c:v>
                </c:pt>
                <c:pt idx="2">
                  <c:v>22.878116001124791</c:v>
                </c:pt>
                <c:pt idx="3">
                  <c:v>21.433371280253972</c:v>
                </c:pt>
                <c:pt idx="4">
                  <c:v>20.125866719610805</c:v>
                </c:pt>
                <c:pt idx="5">
                  <c:v>18.745585343092234</c:v>
                </c:pt>
                <c:pt idx="6">
                  <c:v>15.6519839988295</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Graf'!$AJ$6:$AJ$14</c15:sqref>
                  </c15:fullRef>
                </c:ext>
              </c:extLst>
              <c:f>'Base Graf'!$AJ$7:$AJ$13</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608F-4513-AFD1-F65A68313CF8}"/>
            </c:ext>
          </c:extLst>
        </c:ser>
        <c:dLbls>
          <c:showLegendKey val="0"/>
          <c:showVal val="0"/>
          <c:showCatName val="0"/>
          <c:showSerName val="0"/>
          <c:showPercent val="0"/>
          <c:showBubbleSize val="0"/>
        </c:dLbls>
        <c:gapWidth val="50"/>
        <c:overlap val="100"/>
        <c:axId val="-303971184"/>
        <c:axId val="-533886400"/>
      </c:barChart>
      <c:lineChart>
        <c:grouping val="standard"/>
        <c:varyColors val="0"/>
        <c:ser>
          <c:idx val="3"/>
          <c:order val="3"/>
          <c:spPr>
            <a:ln w="28575" cap="rnd">
              <a:solidFill>
                <a:schemeClr val="tx1">
                  <a:alpha val="0"/>
                </a:schemeClr>
              </a:solidFill>
              <a:round/>
            </a:ln>
            <a:effectLst/>
          </c:spPr>
          <c:marker>
            <c:symbol val="none"/>
          </c:marker>
          <c:dLbls>
            <c:dLbl>
              <c:idx val="0"/>
              <c:tx>
                <c:rich>
                  <a:bodyPr/>
                  <a:lstStyle/>
                  <a:p>
                    <a:fld id="{D915D59D-4F57-4342-8219-612FD2F33D7F}"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F0-4377-ADCD-7137CEFFECCD}"/>
                </c:ext>
              </c:extLst>
            </c:dLbl>
            <c:dLbl>
              <c:idx val="1"/>
              <c:tx>
                <c:rich>
                  <a:bodyPr/>
                  <a:lstStyle/>
                  <a:p>
                    <a:fld id="{82D7C9FB-2B8F-4688-8B60-B1B299B12871}"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F0-4377-ADCD-7137CEFFECCD}"/>
                </c:ext>
              </c:extLst>
            </c:dLbl>
            <c:dLbl>
              <c:idx val="2"/>
              <c:tx>
                <c:rich>
                  <a:bodyPr/>
                  <a:lstStyle/>
                  <a:p>
                    <a:fld id="{6DCAFA7D-43C2-4B8D-92FD-2CE4E41F49DF}"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F0-4377-ADCD-7137CEFFECCD}"/>
                </c:ext>
              </c:extLst>
            </c:dLbl>
            <c:dLbl>
              <c:idx val="3"/>
              <c:tx>
                <c:rich>
                  <a:bodyPr/>
                  <a:lstStyle/>
                  <a:p>
                    <a:fld id="{D6E3B648-ABCE-4C08-ADE1-7CC154450670}"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F0-4377-ADCD-7137CEFFECCD}"/>
                </c:ext>
              </c:extLst>
            </c:dLbl>
            <c:dLbl>
              <c:idx val="4"/>
              <c:tx>
                <c:rich>
                  <a:bodyPr/>
                  <a:lstStyle/>
                  <a:p>
                    <a:fld id="{7C5F3E7B-F1C7-4F9E-B7ED-2F504305AD74}"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F0-4377-ADCD-7137CEFFECCD}"/>
                </c:ext>
              </c:extLst>
            </c:dLbl>
            <c:dLbl>
              <c:idx val="5"/>
              <c:tx>
                <c:rich>
                  <a:bodyPr/>
                  <a:lstStyle/>
                  <a:p>
                    <a:fld id="{FAB82EEA-F22B-48A7-A518-30A9FD413D6B}"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F0-4377-ADCD-7137CEFFECCD}"/>
                </c:ext>
              </c:extLst>
            </c:dLbl>
            <c:dLbl>
              <c:idx val="6"/>
              <c:tx>
                <c:rich>
                  <a:bodyPr/>
                  <a:lstStyle/>
                  <a:p>
                    <a:fld id="{6B713A27-B227-4E40-B2D8-62B85423553E}"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F0-4377-ADCD-7137CEFFECC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130.71939450674998</c:v>
                </c:pt>
                <c:pt idx="1">
                  <c:v>128.62945691828992</c:v>
                </c:pt>
                <c:pt idx="2">
                  <c:v>117.46675821266327</c:v>
                </c:pt>
                <c:pt idx="3">
                  <c:v>111.43952003025399</c:v>
                </c:pt>
                <c:pt idx="4">
                  <c:v>105.54952200807236</c:v>
                </c:pt>
                <c:pt idx="5">
                  <c:v>59.738977939246084</c:v>
                </c:pt>
                <c:pt idx="6">
                  <c:v>15.6519839988295</c:v>
                </c:pt>
              </c:numCache>
            </c:numRef>
          </c:val>
          <c:smooth val="0"/>
          <c:extLst>
            <c:ext xmlns:c15="http://schemas.microsoft.com/office/drawing/2012/chart" uri="{02D57815-91ED-43cb-92C2-25804820EDAC}">
              <c15:datalabelsRange>
                <c15:f>'Base Graf'!$BO$167:$BO$174</c15:f>
                <c15:dlblRangeCache>
                  <c:ptCount val="8"/>
                  <c:pt idx="0">
                    <c:v> 130,1 </c:v>
                  </c:pt>
                  <c:pt idx="1">
                    <c:v> 130,7 </c:v>
                  </c:pt>
                  <c:pt idx="2">
                    <c:v> 128,6 </c:v>
                  </c:pt>
                  <c:pt idx="3">
                    <c:v> 117,5 </c:v>
                  </c:pt>
                  <c:pt idx="4">
                    <c:v> 111,4 </c:v>
                  </c:pt>
                  <c:pt idx="5">
                    <c:v> 105,5 </c:v>
                  </c:pt>
                  <c:pt idx="6">
                    <c:v> 59,7 </c:v>
                  </c:pt>
                  <c:pt idx="7">
                    <c:v> 15,7 </c:v>
                  </c:pt>
                </c15:dlblRangeCache>
              </c15:datalabelsRange>
            </c:ex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marker val="1"/>
        <c:smooth val="0"/>
        <c:axId val="-303971184"/>
        <c:axId val="-533886400"/>
      </c:lineChart>
      <c:catAx>
        <c:axId val="-30397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s-AR"/>
          </a:p>
        </c:txPr>
        <c:crossAx val="-533886400"/>
        <c:crosses val="autoZero"/>
        <c:auto val="1"/>
        <c:lblAlgn val="ctr"/>
        <c:lblOffset val="100"/>
        <c:noMultiLvlLbl val="0"/>
      </c:catAx>
      <c:valAx>
        <c:axId val="-533886400"/>
        <c:scaling>
          <c:orientation val="minMax"/>
          <c:max val="15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118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2373894282632152"/>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2-35F0-4D06-A091-6FBFBCBFF391}"/>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1-35F0-4D06-A091-6FBFBCBFF391}"/>
              </c:ext>
            </c:extLst>
          </c:dPt>
          <c:dPt>
            <c:idx val="2"/>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4-35F0-4D06-A091-6FBFBCBFF391}"/>
              </c:ext>
            </c:extLst>
          </c:dPt>
          <c:dPt>
            <c:idx val="3"/>
            <c:bubble3D val="0"/>
            <c:spPr>
              <a:solidFill>
                <a:srgbClr val="C8A977"/>
              </a:solidFill>
              <a:ln w="19050">
                <a:solidFill>
                  <a:schemeClr val="lt1"/>
                </a:solidFill>
              </a:ln>
              <a:effectLst/>
            </c:spPr>
            <c:extLst>
              <c:ext xmlns:c16="http://schemas.microsoft.com/office/drawing/2014/chart" uri="{C3380CC4-5D6E-409C-BE32-E72D297353CC}">
                <c16:uniqueId val="{00000003-35F0-4D06-A091-6FBFBCBFF391}"/>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2-35F0-4D06-A091-6FBFBCBFF391}"/>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5F0-4D06-A091-6FBFBCBFF391}"/>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4-35F0-4D06-A091-6FBFBCBFF391}"/>
                </c:ext>
              </c:extLst>
            </c:dLbl>
            <c:dLbl>
              <c:idx val="3"/>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3-35F0-4D06-A091-6FBFBCBFF391}"/>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Graf'!$BE$3:$BJ$3</c15:sqref>
                  </c15:fullRef>
                </c:ext>
              </c:extLst>
              <c:f>('Base Graf'!$BE$3,'Base Graf'!$BG$3:$BI$3)</c:f>
              <c:strCache>
                <c:ptCount val="4"/>
                <c:pt idx="0">
                  <c:v>FIJA $</c:v>
                </c:pt>
                <c:pt idx="1">
                  <c:v>FIJA USD</c:v>
                </c:pt>
                <c:pt idx="2">
                  <c:v>BADLAR</c:v>
                </c:pt>
                <c:pt idx="3">
                  <c:v>LIBOR</c:v>
                </c:pt>
              </c:strCache>
            </c:strRef>
          </c:cat>
          <c:val>
            <c:numRef>
              <c:extLst>
                <c:ext xmlns:c15="http://schemas.microsoft.com/office/drawing/2012/chart" uri="{02D57815-91ED-43cb-92C2-25804820EDAC}">
                  <c15:fullRef>
                    <c15:sqref>'Base Graf'!$BE$5:$BJ$5</c15:sqref>
                  </c15:fullRef>
                </c:ext>
              </c:extLst>
              <c:f>('Base Graf'!$BE$5,'Base Graf'!$BG$5:$BI$5)</c:f>
              <c:numCache>
                <c:formatCode>#,##0.0_ ;\-#,##0.0\ </c:formatCode>
                <c:ptCount val="4"/>
                <c:pt idx="0">
                  <c:v>60.772336330266342</c:v>
                </c:pt>
                <c:pt idx="1">
                  <c:v>358.62992308000003</c:v>
                </c:pt>
                <c:pt idx="2">
                  <c:v>12.450065867583536</c:v>
                </c:pt>
                <c:pt idx="3">
                  <c:v>192.87881504909444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5F0-4D06-A091-6FBFBCBFF39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B-20D2-485C-A575-426FF507F10E}"/>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D-20D2-485C-A575-426FF507F10E}"/>
              </c:ext>
            </c:extLst>
          </c:dPt>
          <c:dPt>
            <c:idx val="2"/>
            <c:bubble3D val="0"/>
            <c:spPr>
              <a:solidFill>
                <a:srgbClr val="C8A977"/>
              </a:solidFill>
              <a:ln w="19050">
                <a:solidFill>
                  <a:schemeClr val="lt1"/>
                </a:solidFill>
              </a:ln>
              <a:effectLst/>
            </c:spPr>
            <c:extLst>
              <c:ext xmlns:c16="http://schemas.microsoft.com/office/drawing/2014/chart" uri="{C3380CC4-5D6E-409C-BE32-E72D297353CC}">
                <c16:uniqueId val="{00000011-20D2-485C-A575-426FF507F10E}"/>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B-20D2-485C-A575-426FF507F10E}"/>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0D2-485C-A575-426FF507F10E}"/>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11-20D2-485C-A575-426FF507F10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Graf'!$AX$3:$AZ$3</c15:sqref>
                  </c15:fullRef>
                </c:ext>
              </c:extLst>
              <c:f>'Base Graf'!$AX$3:$AY$3</c:f>
              <c:strCache>
                <c:ptCount val="2"/>
                <c:pt idx="0">
                  <c:v>Pesos</c:v>
                </c:pt>
                <c:pt idx="1">
                  <c:v>USD</c:v>
                </c:pt>
              </c:strCache>
            </c:strRef>
          </c:cat>
          <c:val>
            <c:numRef>
              <c:extLst>
                <c:ext xmlns:c15="http://schemas.microsoft.com/office/drawing/2012/chart" uri="{02D57815-91ED-43cb-92C2-25804820EDAC}">
                  <c15:fullRef>
                    <c15:sqref>'Base Graf'!$AX$5:$AZ$5</c15:sqref>
                  </c15:fullRef>
                </c:ext>
              </c:extLst>
              <c:f>'Base Graf'!$AX$5:$AY$5</c:f>
              <c:numCache>
                <c:formatCode>#,##0.00</c:formatCode>
                <c:ptCount val="2"/>
                <c:pt idx="0">
                  <c:v>74.473182026944301</c:v>
                </c:pt>
                <c:pt idx="1">
                  <c:v>550.25795830000004</c:v>
                </c:pt>
              </c:numCache>
            </c:numRef>
          </c:val>
          <c:extLst>
            <c:ext xmlns:c15="http://schemas.microsoft.com/office/drawing/2012/chart" uri="{02D57815-91ED-43cb-92C2-25804820EDAC}">
              <c15:categoryFilterExceptions>
                <c15:categoryFilterException>
                  <c15:sqref>'Base Graf'!$AZ$5</c15:sqref>
                  <c15:spPr xmlns:c15="http://schemas.microsoft.com/office/drawing/2012/chart">
                    <a:solidFill>
                      <a:schemeClr val="tx1">
                        <a:lumMod val="50000"/>
                        <a:lumOff val="50000"/>
                      </a:schemeClr>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7-F4CA-42C6-9432-AD2090248394}"/>
                      </c:ext>
                    </c:extLst>
                  </c15:dLbl>
                </c15:categoryFilterException>
              </c15:categoryFilterExceptions>
            </c:ext>
            <c:ext xmlns:c16="http://schemas.microsoft.com/office/drawing/2014/chart" uri="{C3380CC4-5D6E-409C-BE32-E72D297353CC}">
              <c16:uniqueId val="{00000012-20D2-485C-A575-426FF507F10E}"/>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showDLblsOverMax val="0"/>
    <c:extLst/>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Deuda en Millones de $ de Dic-24 (Eje Izq.) y en Millones de USD (Eje Der.)</a:t>
            </a:r>
            <a:endParaRPr lang="es-AR" sz="1200">
              <a:solidFill>
                <a:srgbClr val="000F9F"/>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Fuente: DGDP, BCRA, DEIE</a:t>
            </a:r>
            <a:endParaRPr lang="es-AR" sz="1200">
              <a:solidFill>
                <a:srgbClr val="000F9F"/>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8462062978785916E-2"/>
          <c:y val="0.22714873737373736"/>
          <c:w val="0.82580079359459535"/>
          <c:h val="0.56070151515151512"/>
        </c:manualLayout>
      </c:layout>
      <c:lineChart>
        <c:grouping val="standard"/>
        <c:varyColors val="0"/>
        <c:ser>
          <c:idx val="0"/>
          <c:order val="0"/>
          <c:tx>
            <c:v>Deuda Total Adm Central en $ Dic-24</c:v>
          </c:tx>
          <c:spPr>
            <a:ln w="19050" cap="rnd">
              <a:solidFill>
                <a:srgbClr val="000F9F"/>
              </a:solidFill>
              <a:round/>
            </a:ln>
            <a:effectLst/>
          </c:spPr>
          <c:marker>
            <c:symbol val="none"/>
          </c:marker>
          <c:cat>
            <c:numRef>
              <c:f>'Evolución Deuda Total'!$B$4:$AS$4</c:f>
              <c:numCache>
                <c:formatCode>mmm\-yy</c:formatCode>
                <c:ptCount val="44"/>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45656</c:v>
                </c:pt>
              </c:numCache>
            </c:numRef>
          </c:cat>
          <c:val>
            <c:numRef>
              <c:f>'Evolución Deuda Total'!$B$9:$AS$9</c:f>
              <c:numCache>
                <c:formatCode>#,##0.00</c:formatCode>
                <c:ptCount val="44"/>
                <c:pt idx="0">
                  <c:v>1572652.9048278974</c:v>
                </c:pt>
                <c:pt idx="1">
                  <c:v>1513842.2502046735</c:v>
                </c:pt>
                <c:pt idx="2">
                  <c:v>1454195.3287054761</c:v>
                </c:pt>
                <c:pt idx="3">
                  <c:v>1511047.1136584675</c:v>
                </c:pt>
                <c:pt idx="4">
                  <c:v>1302426.0944034369</c:v>
                </c:pt>
                <c:pt idx="5">
                  <c:v>1400504.0662295294</c:v>
                </c:pt>
                <c:pt idx="6">
                  <c:v>1390440.9704116837</c:v>
                </c:pt>
                <c:pt idx="7">
                  <c:v>2060721.3339785549</c:v>
                </c:pt>
                <c:pt idx="8">
                  <c:v>1617563.3473392201</c:v>
                </c:pt>
                <c:pt idx="9">
                  <c:v>2120817.5112618771</c:v>
                </c:pt>
                <c:pt idx="10">
                  <c:v>2177157.7211902402</c:v>
                </c:pt>
                <c:pt idx="11">
                  <c:v>2215630.6424855087</c:v>
                </c:pt>
                <c:pt idx="12">
                  <c:v>2010404.1507961012</c:v>
                </c:pt>
                <c:pt idx="13">
                  <c:v>2381489.8234033743</c:v>
                </c:pt>
                <c:pt idx="14">
                  <c:v>2293842.6287829122</c:v>
                </c:pt>
                <c:pt idx="15">
                  <c:v>2221647.5403527957</c:v>
                </c:pt>
                <c:pt idx="16">
                  <c:v>2215554.7692011441</c:v>
                </c:pt>
                <c:pt idx="17">
                  <c:v>2391212.2080383818</c:v>
                </c:pt>
                <c:pt idx="18">
                  <c:v>2425217.9985369225</c:v>
                </c:pt>
                <c:pt idx="19">
                  <c:v>2248569.4274065732</c:v>
                </c:pt>
                <c:pt idx="20">
                  <c:v>2139870.2394408882</c:v>
                </c:pt>
                <c:pt idx="21">
                  <c:v>2103258.5827217158</c:v>
                </c:pt>
                <c:pt idx="22">
                  <c:v>2260003.4460273944</c:v>
                </c:pt>
                <c:pt idx="23">
                  <c:v>2232695.8963176231</c:v>
                </c:pt>
                <c:pt idx="24">
                  <c:v>2022533.0444964708</c:v>
                </c:pt>
                <c:pt idx="25">
                  <c:v>2100854.7262851582</c:v>
                </c:pt>
                <c:pt idx="26">
                  <c:v>2102666.2101214933</c:v>
                </c:pt>
                <c:pt idx="27">
                  <c:v>2264976.9064749833</c:v>
                </c:pt>
                <c:pt idx="28">
                  <c:v>1941689.9424188724</c:v>
                </c:pt>
                <c:pt idx="29">
                  <c:v>1783161.0521013571</c:v>
                </c:pt>
                <c:pt idx="30">
                  <c:v>1773352.8419943044</c:v>
                </c:pt>
                <c:pt idx="31">
                  <c:v>1909474.2957928835</c:v>
                </c:pt>
                <c:pt idx="32">
                  <c:v>1503635.8326317174</c:v>
                </c:pt>
                <c:pt idx="33">
                  <c:v>1441837.0707296291</c:v>
                </c:pt>
                <c:pt idx="34">
                  <c:v>1325427.2410019611</c:v>
                </c:pt>
                <c:pt idx="35">
                  <c:v>1521966.3202823184</c:v>
                </c:pt>
                <c:pt idx="36">
                  <c:v>1114113.7971644113</c:v>
                </c:pt>
                <c:pt idx="37">
                  <c:v>1096419.9252226353</c:v>
                </c:pt>
                <c:pt idx="38">
                  <c:v>1097540.5381679048</c:v>
                </c:pt>
                <c:pt idx="39">
                  <c:v>1359049.7215466297</c:v>
                </c:pt>
                <c:pt idx="40">
                  <c:v>913345.23924069677</c:v>
                </c:pt>
                <c:pt idx="41">
                  <c:v>825674.24769430829</c:v>
                </c:pt>
                <c:pt idx="42">
                  <c:v>741595.56362014485</c:v>
                </c:pt>
                <c:pt idx="43">
                  <c:v>867836.14352359029</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303967920"/>
        <c:axId val="-303969008"/>
      </c:lineChart>
      <c:lineChart>
        <c:grouping val="standard"/>
        <c:varyColors val="0"/>
        <c:ser>
          <c:idx val="1"/>
          <c:order val="1"/>
          <c:tx>
            <c:v>Deuda Total Adm Central en USD (Eje Der)</c:v>
          </c:tx>
          <c:spPr>
            <a:ln w="19050" cap="rnd">
              <a:solidFill>
                <a:srgbClr val="3CB4E5"/>
              </a:solidFill>
              <a:round/>
            </a:ln>
            <a:effectLst/>
          </c:spPr>
          <c:marker>
            <c:symbol val="none"/>
          </c:marker>
          <c:cat>
            <c:numRef>
              <c:f>'Evolución Deuda Total'!$B$4:$AS$4</c:f>
              <c:numCache>
                <c:formatCode>mmm\-yy</c:formatCode>
                <c:ptCount val="44"/>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45656</c:v>
                </c:pt>
              </c:numCache>
            </c:numRef>
          </c:cat>
          <c:val>
            <c:numRef>
              <c:f>'Evolución Deuda Total'!$B$11:$AS$11</c:f>
              <c:numCache>
                <c:formatCode>#,##0.00</c:formatCode>
                <c:ptCount val="44"/>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pt idx="38">
                  <c:v>939.57982004744997</c:v>
                </c:pt>
                <c:pt idx="39">
                  <c:v>772.21285700382805</c:v>
                </c:pt>
                <c:pt idx="40">
                  <c:v>741.53641085319362</c:v>
                </c:pt>
                <c:pt idx="41">
                  <c:v>747.56802170814649</c:v>
                </c:pt>
                <c:pt idx="42">
                  <c:v>707.20334820747019</c:v>
                </c:pt>
                <c:pt idx="43">
                  <c:v>840.51926733519645</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303978800"/>
        <c:axId val="-303979888"/>
      </c:lineChart>
      <c:dateAx>
        <c:axId val="-30396792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9008"/>
        <c:crosses val="autoZero"/>
        <c:auto val="1"/>
        <c:lblOffset val="100"/>
        <c:baseTimeUnit val="months"/>
        <c:majorUnit val="3"/>
        <c:majorTimeUnit val="months"/>
      </c:dateAx>
      <c:valAx>
        <c:axId val="-303969008"/>
        <c:scaling>
          <c:orientation val="minMax"/>
          <c:max val="25000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Dic 24</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7920"/>
        <c:crosses val="autoZero"/>
        <c:crossBetween val="between"/>
        <c:majorUnit val="500000"/>
        <c:minorUnit val="25000"/>
      </c:valAx>
      <c:valAx>
        <c:axId val="-303979888"/>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8800"/>
        <c:crosses val="max"/>
        <c:crossBetween val="between"/>
      </c:valAx>
      <c:dateAx>
        <c:axId val="-303978800"/>
        <c:scaling>
          <c:orientation val="minMax"/>
        </c:scaling>
        <c:delete val="1"/>
        <c:axPos val="b"/>
        <c:numFmt formatCode="mmm\-yy" sourceLinked="1"/>
        <c:majorTickMark val="out"/>
        <c:minorTickMark val="none"/>
        <c:tickLblPos val="nextTo"/>
        <c:crossAx val="-30397988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K$6" fmlaRange="'Base Graf'!$BT$4:$BT$5" noThreeD="1" sel="1" val="0"/>
</file>

<file path=xl/ctrlProps/ctrlProp2.xml><?xml version="1.0" encoding="utf-8"?>
<formControlPr xmlns="http://schemas.microsoft.com/office/spreadsheetml/2009/9/main" objectType="Drop" dropStyle="combo" dx="22" fmlaLink="$K$25" fmlaRange="'Base Graf'!$BT$6:$BT$7" noThreeD="1" sel="1" val="0"/>
</file>

<file path=xl/ctrlProps/ctrlProp3.xml><?xml version="1.0" encoding="utf-8"?>
<formControlPr xmlns="http://schemas.microsoft.com/office/spreadsheetml/2009/9/main" objectType="Drop" dropStyle="combo" dx="22" fmlaLink="$K$44" fmlaRange="'Base Graf'!$BT$8:$BT$9" noThreeD="1" sel="2" val="0"/>
</file>

<file path=xl/ctrlProps/ctrlProp4.xml><?xml version="1.0" encoding="utf-8"?>
<formControlPr xmlns="http://schemas.microsoft.com/office/spreadsheetml/2009/9/main" objectType="Drop" dropStyle="combo" dx="22" fmlaLink="$K$64" fmlaRange="'Base Graf'!$BT$10:$BT$14" noThreeD="1" sel="2"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grafcomp" spid="_x0000_s76907"/>
                </a:ext>
              </a:extLst>
            </xdr:cNvPicPr>
          </xdr:nvPicPr>
          <xdr:blipFill>
            <a:blip xmlns:r="http://schemas.openxmlformats.org/officeDocument/2006/relationships" r:embed="rId1"/>
            <a:srcRect/>
            <a:stretch>
              <a:fillRect/>
            </a:stretch>
          </xdr:blipFill>
          <xdr:spPr bwMode="auto">
            <a:xfrm>
              <a:off x="5105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a:extLst>
                <a:ext uri="{84589F7E-364E-4C9E-8A38-B11213B215E9}">
                  <a14:cameraTool cellRange="grafvto" spid="_x0000_s76908"/>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a:extLst>
                <a:ext uri="{84589F7E-364E-4C9E-8A38-B11213B215E9}">
                  <a14:cameraTool cellRange="grafserv" spid="_x0000_s76909"/>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a:extLst>
                <a:ext uri="{84589F7E-364E-4C9E-8A38-B11213B215E9}">
                  <a14:cameraTool cellRange="grafacreedor" spid="_x0000_s76910"/>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25</xdr:row>
      <xdr:rowOff>171450</xdr:rowOff>
    </xdr:from>
    <xdr:to>
      <xdr:col>7</xdr:col>
      <xdr:colOff>0</xdr:colOff>
      <xdr:row>41</xdr:row>
      <xdr:rowOff>66675</xdr:rowOff>
    </xdr:to>
    <xdr:pic>
      <xdr:nvPicPr>
        <xdr:cNvPr id="7" name="Imagen 6">
          <a:extLst>
            <a:ext uri="{FF2B5EF4-FFF2-40B4-BE49-F238E27FC236}">
              <a16:creationId xmlns:a16="http://schemas.microsoft.com/office/drawing/2014/main" id="{B638B286-69AE-2066-3F7B-DE5092C80573}"/>
            </a:ext>
          </a:extLst>
        </xdr:cNvPr>
        <xdr:cNvPicPr>
          <a:picLocks noChangeAspect="1"/>
        </xdr:cNvPicPr>
      </xdr:nvPicPr>
      <xdr:blipFill>
        <a:blip xmlns:r="http://schemas.openxmlformats.org/officeDocument/2006/relationships" r:embed="rId1"/>
        <a:stretch>
          <a:fillRect/>
        </a:stretch>
      </xdr:blipFill>
      <xdr:spPr>
        <a:xfrm>
          <a:off x="123825" y="5181600"/>
          <a:ext cx="5210175" cy="2943225"/>
        </a:xfrm>
        <a:prstGeom prst="rect">
          <a:avLst/>
        </a:prstGeom>
      </xdr:spPr>
    </xdr:pic>
    <xdr:clientData/>
  </xdr:twoCellAnchor>
  <xdr:twoCellAnchor editAs="oneCell">
    <xdr:from>
      <xdr:col>7</xdr:col>
      <xdr:colOff>723900</xdr:colOff>
      <xdr:row>26</xdr:row>
      <xdr:rowOff>47625</xdr:rowOff>
    </xdr:from>
    <xdr:to>
      <xdr:col>15</xdr:col>
      <xdr:colOff>194030</xdr:colOff>
      <xdr:row>41</xdr:row>
      <xdr:rowOff>85989</xdr:rowOff>
    </xdr:to>
    <xdr:pic>
      <xdr:nvPicPr>
        <xdr:cNvPr id="11" name="Imagen 10">
          <a:extLst>
            <a:ext uri="{FF2B5EF4-FFF2-40B4-BE49-F238E27FC236}">
              <a16:creationId xmlns:a16="http://schemas.microsoft.com/office/drawing/2014/main" id="{270C5799-C152-E892-FFCF-292A1D26B8CE}"/>
            </a:ext>
          </a:extLst>
        </xdr:cNvPr>
        <xdr:cNvPicPr>
          <a:picLocks noChangeAspect="1"/>
        </xdr:cNvPicPr>
      </xdr:nvPicPr>
      <xdr:blipFill>
        <a:blip xmlns:r="http://schemas.openxmlformats.org/officeDocument/2006/relationships" r:embed="rId2"/>
        <a:stretch>
          <a:fillRect/>
        </a:stretch>
      </xdr:blipFill>
      <xdr:spPr>
        <a:xfrm>
          <a:off x="6057900" y="5248275"/>
          <a:ext cx="5566130" cy="2895864"/>
        </a:xfrm>
        <a:prstGeom prst="rect">
          <a:avLst/>
        </a:prstGeom>
      </xdr:spPr>
    </xdr:pic>
    <xdr:clientData/>
  </xdr:twoCellAnchor>
  <xdr:twoCellAnchor editAs="oneCell">
    <xdr:from>
      <xdr:col>7</xdr:col>
      <xdr:colOff>295275</xdr:colOff>
      <xdr:row>4</xdr:row>
      <xdr:rowOff>85725</xdr:rowOff>
    </xdr:from>
    <xdr:to>
      <xdr:col>16</xdr:col>
      <xdr:colOff>21526</xdr:colOff>
      <xdr:row>21</xdr:row>
      <xdr:rowOff>175929</xdr:rowOff>
    </xdr:to>
    <xdr:pic>
      <xdr:nvPicPr>
        <xdr:cNvPr id="12" name="Imagen 11">
          <a:extLst>
            <a:ext uri="{FF2B5EF4-FFF2-40B4-BE49-F238E27FC236}">
              <a16:creationId xmlns:a16="http://schemas.microsoft.com/office/drawing/2014/main" id="{6D2CF85A-9D47-8F8F-4BEB-FA58C11F9BEA}"/>
            </a:ext>
          </a:extLst>
        </xdr:cNvPr>
        <xdr:cNvPicPr>
          <a:picLocks noChangeAspect="1"/>
        </xdr:cNvPicPr>
      </xdr:nvPicPr>
      <xdr:blipFill>
        <a:blip xmlns:r="http://schemas.openxmlformats.org/officeDocument/2006/relationships" r:embed="rId3"/>
        <a:stretch>
          <a:fillRect/>
        </a:stretch>
      </xdr:blipFill>
      <xdr:spPr>
        <a:xfrm>
          <a:off x="5629275" y="1047750"/>
          <a:ext cx="6584251" cy="3328704"/>
        </a:xfrm>
        <a:prstGeom prst="rect">
          <a:avLst/>
        </a:prstGeom>
      </xdr:spPr>
    </xdr:pic>
    <xdr:clientData/>
  </xdr:twoCellAnchor>
  <xdr:twoCellAnchor editAs="oneCell">
    <xdr:from>
      <xdr:col>0</xdr:col>
      <xdr:colOff>85726</xdr:colOff>
      <xdr:row>4</xdr:row>
      <xdr:rowOff>125603</xdr:rowOff>
    </xdr:from>
    <xdr:to>
      <xdr:col>7</xdr:col>
      <xdr:colOff>28576</xdr:colOff>
      <xdr:row>22</xdr:row>
      <xdr:rowOff>10988</xdr:rowOff>
    </xdr:to>
    <xdr:pic>
      <xdr:nvPicPr>
        <xdr:cNvPr id="3" name="Imagen 2">
          <a:extLst>
            <a:ext uri="{FF2B5EF4-FFF2-40B4-BE49-F238E27FC236}">
              <a16:creationId xmlns:a16="http://schemas.microsoft.com/office/drawing/2014/main" id="{AA1F0A6F-7BF1-6ABE-0CDD-BA1E85E32D9A}"/>
            </a:ext>
          </a:extLst>
        </xdr:cNvPr>
        <xdr:cNvPicPr>
          <a:picLocks noChangeAspect="1"/>
        </xdr:cNvPicPr>
      </xdr:nvPicPr>
      <xdr:blipFill>
        <a:blip xmlns:r="http://schemas.openxmlformats.org/officeDocument/2006/relationships" r:embed="rId4"/>
        <a:stretch>
          <a:fillRect/>
        </a:stretch>
      </xdr:blipFill>
      <xdr:spPr>
        <a:xfrm>
          <a:off x="85726" y="1087628"/>
          <a:ext cx="5276850" cy="3314385"/>
        </a:xfrm>
        <a:prstGeom prst="rect">
          <a:avLst/>
        </a:prstGeom>
      </xdr:spPr>
    </xdr:pic>
    <xdr:clientData/>
  </xdr:twoCellAnchor>
  <xdr:twoCellAnchor editAs="oneCell">
    <xdr:from>
      <xdr:col>0</xdr:col>
      <xdr:colOff>161925</xdr:colOff>
      <xdr:row>46</xdr:row>
      <xdr:rowOff>114300</xdr:rowOff>
    </xdr:from>
    <xdr:to>
      <xdr:col>7</xdr:col>
      <xdr:colOff>387959</xdr:colOff>
      <xdr:row>62</xdr:row>
      <xdr:rowOff>151143</xdr:rowOff>
    </xdr:to>
    <xdr:pic>
      <xdr:nvPicPr>
        <xdr:cNvPr id="5" name="Imagen 4">
          <a:extLst>
            <a:ext uri="{FF2B5EF4-FFF2-40B4-BE49-F238E27FC236}">
              <a16:creationId xmlns:a16="http://schemas.microsoft.com/office/drawing/2014/main" id="{F321090F-39C4-E544-BB20-510DA1803934}"/>
            </a:ext>
          </a:extLst>
        </xdr:cNvPr>
        <xdr:cNvPicPr>
          <a:picLocks noChangeAspect="1"/>
        </xdr:cNvPicPr>
      </xdr:nvPicPr>
      <xdr:blipFill>
        <a:blip xmlns:r="http://schemas.openxmlformats.org/officeDocument/2006/relationships" r:embed="rId5"/>
        <a:stretch>
          <a:fillRect/>
        </a:stretch>
      </xdr:blipFill>
      <xdr:spPr>
        <a:xfrm>
          <a:off x="161925" y="9172575"/>
          <a:ext cx="5560034" cy="3084843"/>
        </a:xfrm>
        <a:prstGeom prst="rect">
          <a:avLst/>
        </a:prstGeom>
      </xdr:spPr>
    </xdr:pic>
    <xdr:clientData/>
  </xdr:twoCellAnchor>
  <xdr:twoCellAnchor editAs="oneCell">
    <xdr:from>
      <xdr:col>7</xdr:col>
      <xdr:colOff>752475</xdr:colOff>
      <xdr:row>47</xdr:row>
      <xdr:rowOff>47625</xdr:rowOff>
    </xdr:from>
    <xdr:to>
      <xdr:col>15</xdr:col>
      <xdr:colOff>222605</xdr:colOff>
      <xdr:row>63</xdr:row>
      <xdr:rowOff>47889</xdr:rowOff>
    </xdr:to>
    <xdr:pic>
      <xdr:nvPicPr>
        <xdr:cNvPr id="8" name="Imagen 7">
          <a:extLst>
            <a:ext uri="{FF2B5EF4-FFF2-40B4-BE49-F238E27FC236}">
              <a16:creationId xmlns:a16="http://schemas.microsoft.com/office/drawing/2014/main" id="{39E31DF5-7904-5FD1-F6C5-D9E273D5E89F}"/>
            </a:ext>
          </a:extLst>
        </xdr:cNvPr>
        <xdr:cNvPicPr>
          <a:picLocks noChangeAspect="1"/>
        </xdr:cNvPicPr>
      </xdr:nvPicPr>
      <xdr:blipFill>
        <a:blip xmlns:r="http://schemas.openxmlformats.org/officeDocument/2006/relationships" r:embed="rId6"/>
        <a:stretch>
          <a:fillRect/>
        </a:stretch>
      </xdr:blipFill>
      <xdr:spPr>
        <a:xfrm>
          <a:off x="6086475" y="9296400"/>
          <a:ext cx="5566130" cy="3048264"/>
        </a:xfrm>
        <a:prstGeom prst="rect">
          <a:avLst/>
        </a:prstGeom>
      </xdr:spPr>
    </xdr:pic>
    <xdr:clientData/>
  </xdr:twoCellAnchor>
  <xdr:twoCellAnchor editAs="oneCell">
    <xdr:from>
      <xdr:col>0</xdr:col>
      <xdr:colOff>47625</xdr:colOff>
      <xdr:row>67</xdr:row>
      <xdr:rowOff>19050</xdr:rowOff>
    </xdr:from>
    <xdr:to>
      <xdr:col>7</xdr:col>
      <xdr:colOff>273659</xdr:colOff>
      <xdr:row>83</xdr:row>
      <xdr:rowOff>19314</xdr:rowOff>
    </xdr:to>
    <xdr:pic>
      <xdr:nvPicPr>
        <xdr:cNvPr id="9" name="Imagen 8">
          <a:extLst>
            <a:ext uri="{FF2B5EF4-FFF2-40B4-BE49-F238E27FC236}">
              <a16:creationId xmlns:a16="http://schemas.microsoft.com/office/drawing/2014/main" id="{9256A1AB-4293-385F-5E50-3E9D42314155}"/>
            </a:ext>
          </a:extLst>
        </xdr:cNvPr>
        <xdr:cNvPicPr>
          <a:picLocks noChangeAspect="1"/>
        </xdr:cNvPicPr>
      </xdr:nvPicPr>
      <xdr:blipFill>
        <a:blip xmlns:r="http://schemas.openxmlformats.org/officeDocument/2006/relationships" r:embed="rId7"/>
        <a:stretch>
          <a:fillRect/>
        </a:stretch>
      </xdr:blipFill>
      <xdr:spPr>
        <a:xfrm>
          <a:off x="47625" y="13125450"/>
          <a:ext cx="5560034" cy="3048264"/>
        </a:xfrm>
        <a:prstGeom prst="rect">
          <a:avLst/>
        </a:prstGeom>
      </xdr:spPr>
    </xdr:pic>
    <xdr:clientData/>
  </xdr:twoCellAnchor>
  <xdr:twoCellAnchor editAs="oneCell">
    <xdr:from>
      <xdr:col>7</xdr:col>
      <xdr:colOff>657225</xdr:colOff>
      <xdr:row>66</xdr:row>
      <xdr:rowOff>152400</xdr:rowOff>
    </xdr:from>
    <xdr:to>
      <xdr:col>15</xdr:col>
      <xdr:colOff>127355</xdr:colOff>
      <xdr:row>82</xdr:row>
      <xdr:rowOff>152664</xdr:rowOff>
    </xdr:to>
    <xdr:pic>
      <xdr:nvPicPr>
        <xdr:cNvPr id="10" name="Imagen 9">
          <a:extLst>
            <a:ext uri="{FF2B5EF4-FFF2-40B4-BE49-F238E27FC236}">
              <a16:creationId xmlns:a16="http://schemas.microsoft.com/office/drawing/2014/main" id="{A6B5282B-0777-0661-2E5A-9CE87616293E}"/>
            </a:ext>
          </a:extLst>
        </xdr:cNvPr>
        <xdr:cNvPicPr>
          <a:picLocks noChangeAspect="1"/>
        </xdr:cNvPicPr>
      </xdr:nvPicPr>
      <xdr:blipFill>
        <a:blip xmlns:r="http://schemas.openxmlformats.org/officeDocument/2006/relationships" r:embed="rId8"/>
        <a:stretch>
          <a:fillRect/>
        </a:stretch>
      </xdr:blipFill>
      <xdr:spPr>
        <a:xfrm>
          <a:off x="5991225" y="13068300"/>
          <a:ext cx="5566130" cy="304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8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184897</xdr:colOff>
      <xdr:row>1</xdr:row>
      <xdr:rowOff>124384</xdr:rowOff>
    </xdr:from>
    <xdr:to>
      <xdr:col>66</xdr:col>
      <xdr:colOff>22412</xdr:colOff>
      <xdr:row>18</xdr:row>
      <xdr:rowOff>168088</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212912</xdr:colOff>
      <xdr:row>18</xdr:row>
      <xdr:rowOff>78441</xdr:rowOff>
    </xdr:from>
    <xdr:to>
      <xdr:col>66</xdr:col>
      <xdr:colOff>733986</xdr:colOff>
      <xdr:row>35</xdr:row>
      <xdr:rowOff>112059</xdr:rowOff>
    </xdr:to>
    <xdr:graphicFrame macro="">
      <xdr:nvGraphicFramePr>
        <xdr:cNvPr id="8" name="Gráfico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304800</xdr:colOff>
      <xdr:row>18</xdr:row>
      <xdr:rowOff>119061</xdr:rowOff>
    </xdr:from>
    <xdr:to>
      <xdr:col>10</xdr:col>
      <xdr:colOff>121875</xdr:colOff>
      <xdr:row>37</xdr:row>
      <xdr:rowOff>92849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persons/person.xml><?xml version="1.0" encoding="utf-8"?>
<personList xmlns="http://schemas.microsoft.com/office/spreadsheetml/2018/threadedcomments" xmlns:x="http://schemas.openxmlformats.org/spreadsheetml/2006/main">
  <person displayName="CreditoPublico Pasante" id="{F6213809-9180-48C9-93F1-798B00EEE344}" userId="S::creditopasante@haciendayfinanzas.onmicrosoft.com::1cecf032-039b-4a98-afe6-4b7d8d7b654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G24" dT="2025-02-10T16:44:04.02" personId="{F6213809-9180-48C9-93F1-798B00EEE344}" id="{ECD6954B-7F7A-47A3-B3DB-20FAB708E466}">
    <text>Preguntar por el redondeo.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R144"/>
  <sheetViews>
    <sheetView showGridLines="0" tabSelected="1" zoomScale="81" zoomScaleNormal="81" workbookViewId="0">
      <pane xSplit="3" topLeftCell="D1" activePane="topRight" state="frozen"/>
      <selection activeCell="F1" sqref="F1:F1048576"/>
      <selection pane="topRight"/>
    </sheetView>
  </sheetViews>
  <sheetFormatPr baseColWidth="10" defaultRowHeight="16.5" x14ac:dyDescent="0.3"/>
  <cols>
    <col min="1" max="1" width="5.28515625" style="17" customWidth="1"/>
    <col min="2" max="2" width="46.140625" customWidth="1"/>
    <col min="3" max="3" width="12.85546875" customWidth="1"/>
    <col min="4" max="4" width="15.140625" customWidth="1"/>
    <col min="5" max="5" width="23.140625" customWidth="1"/>
    <col min="6" max="6" width="22.28515625" style="136" customWidth="1"/>
    <col min="7" max="7" width="15.85546875" customWidth="1"/>
    <col min="8" max="8" width="23.28515625" customWidth="1"/>
    <col min="9" max="9" width="16.7109375" customWidth="1"/>
    <col min="10" max="10" width="20.140625" customWidth="1"/>
    <col min="11" max="13" width="16.7109375" customWidth="1"/>
    <col min="14" max="14" width="22" customWidth="1"/>
    <col min="15" max="19" width="16.7109375" customWidth="1"/>
    <col min="20" max="20" width="18.85546875" bestFit="1" customWidth="1"/>
    <col min="21" max="96" width="16.7109375" customWidth="1"/>
  </cols>
  <sheetData>
    <row r="2" spans="1:82" ht="20.25" x14ac:dyDescent="0.3">
      <c r="B2" s="286" t="s">
        <v>45</v>
      </c>
      <c r="C2" s="286"/>
      <c r="D2" s="286"/>
      <c r="E2" s="286"/>
      <c r="F2" s="286"/>
      <c r="G2" s="286"/>
      <c r="H2" s="286"/>
      <c r="I2" s="286"/>
      <c r="J2" s="286"/>
      <c r="K2" s="286"/>
      <c r="L2" s="286"/>
      <c r="M2" s="286"/>
      <c r="N2" s="286"/>
      <c r="O2" s="286"/>
      <c r="P2" s="286"/>
      <c r="Q2" s="286"/>
      <c r="R2" s="286"/>
      <c r="S2" s="286"/>
      <c r="T2" s="286"/>
      <c r="U2" s="286"/>
    </row>
    <row r="3" spans="1:82" ht="20.25" x14ac:dyDescent="0.3">
      <c r="B3" s="162" t="s">
        <v>44</v>
      </c>
      <c r="C3" s="8"/>
      <c r="D3" s="8"/>
      <c r="E3" s="8"/>
      <c r="F3" s="133"/>
      <c r="G3" s="8"/>
      <c r="H3" s="8"/>
      <c r="I3" s="8"/>
      <c r="J3" s="8"/>
      <c r="K3" s="8"/>
      <c r="L3" s="8"/>
      <c r="M3" s="8"/>
      <c r="N3" s="8"/>
      <c r="O3" s="8"/>
      <c r="P3" s="8"/>
      <c r="Q3" s="8"/>
      <c r="R3" s="8"/>
      <c r="S3" s="8"/>
      <c r="T3" s="8"/>
      <c r="U3" s="8"/>
    </row>
    <row r="4" spans="1:82" ht="17.25" x14ac:dyDescent="0.3">
      <c r="B4" s="162" t="s">
        <v>46</v>
      </c>
      <c r="C4" s="2"/>
      <c r="D4" s="2"/>
      <c r="E4" s="2"/>
      <c r="F4" s="134"/>
      <c r="G4" s="2"/>
      <c r="H4" s="2"/>
      <c r="I4" s="2"/>
      <c r="J4" s="2"/>
      <c r="K4" s="2"/>
      <c r="L4" s="2"/>
      <c r="M4" s="2"/>
      <c r="N4" s="2"/>
      <c r="O4" s="2"/>
      <c r="P4" s="2"/>
      <c r="Q4" s="2"/>
      <c r="R4" s="1"/>
    </row>
    <row r="5" spans="1:82" ht="17.25" x14ac:dyDescent="0.3">
      <c r="B5" s="5"/>
      <c r="C5" s="2"/>
      <c r="D5" s="2"/>
      <c r="E5" s="2"/>
      <c r="F5" s="134"/>
      <c r="G5" s="2"/>
      <c r="H5" s="2"/>
      <c r="I5" s="2"/>
      <c r="J5" s="2"/>
      <c r="K5" s="2"/>
      <c r="L5" s="2"/>
      <c r="M5" s="2"/>
      <c r="N5" s="2"/>
      <c r="O5" s="2"/>
      <c r="P5" s="2"/>
      <c r="Q5" s="2"/>
      <c r="R5" s="1"/>
    </row>
    <row r="6" spans="1:82" ht="30" customHeight="1" x14ac:dyDescent="0.3">
      <c r="B6" s="287" t="s">
        <v>0</v>
      </c>
      <c r="C6" s="287" t="s">
        <v>1</v>
      </c>
      <c r="D6" s="288" t="s">
        <v>130</v>
      </c>
      <c r="E6" s="292" t="s">
        <v>94</v>
      </c>
      <c r="F6" s="294" t="s">
        <v>95</v>
      </c>
      <c r="G6" s="287" t="s">
        <v>47</v>
      </c>
      <c r="H6" s="289" t="s">
        <v>53</v>
      </c>
      <c r="I6" s="289" t="s">
        <v>52</v>
      </c>
      <c r="J6" s="287" t="s">
        <v>51</v>
      </c>
      <c r="K6" s="289" t="s">
        <v>54</v>
      </c>
      <c r="L6" s="289" t="s">
        <v>55</v>
      </c>
      <c r="M6" s="289" t="s">
        <v>56</v>
      </c>
      <c r="N6" s="289" t="s">
        <v>57</v>
      </c>
      <c r="O6" s="2"/>
      <c r="P6" s="2"/>
      <c r="Q6" s="2"/>
      <c r="R6" s="1"/>
    </row>
    <row r="7" spans="1:82" ht="32.25" customHeight="1" x14ac:dyDescent="0.3">
      <c r="B7" s="287"/>
      <c r="C7" s="287"/>
      <c r="D7" s="288"/>
      <c r="E7" s="293"/>
      <c r="F7" s="295"/>
      <c r="G7" s="287"/>
      <c r="H7" s="290"/>
      <c r="I7" s="290"/>
      <c r="J7" s="287"/>
      <c r="K7" s="290"/>
      <c r="L7" s="290"/>
      <c r="M7" s="290"/>
      <c r="N7" s="290"/>
      <c r="P7" s="176">
        <v>2024</v>
      </c>
      <c r="Q7" s="176">
        <v>2024</v>
      </c>
      <c r="R7" s="176">
        <v>2025</v>
      </c>
      <c r="S7" s="176">
        <v>2025</v>
      </c>
      <c r="T7" s="176">
        <v>2026</v>
      </c>
      <c r="U7" s="176">
        <v>2026</v>
      </c>
      <c r="V7" s="176">
        <v>2027</v>
      </c>
      <c r="W7" s="176">
        <v>2027</v>
      </c>
      <c r="X7" s="176">
        <v>2028</v>
      </c>
      <c r="Y7" s="176">
        <v>2028</v>
      </c>
      <c r="Z7" s="176">
        <v>2029</v>
      </c>
      <c r="AA7" s="176">
        <v>2029</v>
      </c>
      <c r="AB7" s="177" t="s">
        <v>171</v>
      </c>
      <c r="AC7" s="177" t="s">
        <v>171</v>
      </c>
      <c r="AD7" s="104"/>
      <c r="AG7" s="105"/>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row>
    <row r="8" spans="1:82" ht="21" customHeight="1" x14ac:dyDescent="0.3">
      <c r="B8" s="287"/>
      <c r="C8" s="287"/>
      <c r="D8" s="288"/>
      <c r="E8" s="165">
        <v>45656</v>
      </c>
      <c r="F8" s="165">
        <f>+$E$8</f>
        <v>45656</v>
      </c>
      <c r="G8" s="287"/>
      <c r="H8" s="291"/>
      <c r="I8" s="291"/>
      <c r="J8" s="287"/>
      <c r="K8" s="291"/>
      <c r="L8" s="291"/>
      <c r="M8" s="291"/>
      <c r="N8" s="291"/>
      <c r="O8" s="22"/>
      <c r="P8" s="163" t="s">
        <v>2</v>
      </c>
      <c r="Q8" s="178" t="s">
        <v>97</v>
      </c>
      <c r="R8" s="163" t="s">
        <v>2</v>
      </c>
      <c r="S8" s="178" t="s">
        <v>97</v>
      </c>
      <c r="T8" s="163" t="s">
        <v>2</v>
      </c>
      <c r="U8" s="178" t="s">
        <v>97</v>
      </c>
      <c r="V8" s="163" t="s">
        <v>2</v>
      </c>
      <c r="W8" s="178" t="s">
        <v>97</v>
      </c>
      <c r="X8" s="163" t="s">
        <v>2</v>
      </c>
      <c r="Y8" s="178" t="s">
        <v>97</v>
      </c>
      <c r="Z8" s="163" t="s">
        <v>2</v>
      </c>
      <c r="AA8" s="178" t="s">
        <v>97</v>
      </c>
      <c r="AB8" s="163" t="s">
        <v>2</v>
      </c>
      <c r="AC8" s="163" t="s">
        <v>97</v>
      </c>
      <c r="AD8" s="22"/>
      <c r="AG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row>
    <row r="9" spans="1:82" ht="27.95" customHeight="1" x14ac:dyDescent="0.3">
      <c r="B9" s="166" t="s">
        <v>87</v>
      </c>
      <c r="C9" s="166"/>
      <c r="D9" s="166"/>
      <c r="E9" s="166"/>
      <c r="F9" s="167">
        <f>+SUM(F10:F14)</f>
        <v>1.2679694333171914</v>
      </c>
      <c r="G9" s="168">
        <f>+F9/$F$45</f>
        <v>2.0296241878604245E-3</v>
      </c>
      <c r="H9" s="166"/>
      <c r="I9" s="166"/>
      <c r="J9" s="166"/>
      <c r="K9" s="166"/>
      <c r="L9" s="166"/>
      <c r="M9" s="166"/>
      <c r="N9" s="166"/>
      <c r="O9" s="23"/>
      <c r="P9" s="179">
        <f t="shared" ref="P9:AC9" si="0">+SUM(P10:P14)</f>
        <v>1771.5594249790499</v>
      </c>
      <c r="Q9" s="179">
        <f t="shared" si="0"/>
        <v>0</v>
      </c>
      <c r="R9" s="179">
        <f t="shared" si="0"/>
        <v>451.22811084630939</v>
      </c>
      <c r="S9" s="179">
        <f t="shared" si="0"/>
        <v>0</v>
      </c>
      <c r="T9" s="179">
        <f t="shared" si="0"/>
        <v>266.16031034448469</v>
      </c>
      <c r="U9" s="179">
        <f t="shared" si="0"/>
        <v>0</v>
      </c>
      <c r="V9" s="179">
        <f t="shared" si="0"/>
        <v>202.17980656097726</v>
      </c>
      <c r="W9" s="179">
        <f t="shared" si="0"/>
        <v>0</v>
      </c>
      <c r="X9" s="179">
        <f t="shared" si="0"/>
        <v>190.68493495200988</v>
      </c>
      <c r="Y9" s="179">
        <f t="shared" si="0"/>
        <v>0</v>
      </c>
      <c r="Z9" s="179">
        <f t="shared" si="0"/>
        <v>179.89865968037489</v>
      </c>
      <c r="AA9" s="179">
        <f t="shared" si="0"/>
        <v>0</v>
      </c>
      <c r="AB9" s="179">
        <f t="shared" si="0"/>
        <v>145.87210498622275</v>
      </c>
      <c r="AC9" s="179">
        <f t="shared" si="0"/>
        <v>0</v>
      </c>
      <c r="AD9" s="106"/>
      <c r="AG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row>
    <row r="10" spans="1:82" ht="27.95" customHeight="1" x14ac:dyDescent="0.3">
      <c r="A10" s="62"/>
      <c r="B10" s="9" t="s">
        <v>189</v>
      </c>
      <c r="C10" s="9" t="s">
        <v>240</v>
      </c>
      <c r="D10" s="9" t="s">
        <v>2</v>
      </c>
      <c r="E10" s="201">
        <v>1070.89252225</v>
      </c>
      <c r="F10" s="12">
        <f>+IF($D10="USD",$E10,$E10/$C$52)</f>
        <v>1.0371840409200968</v>
      </c>
      <c r="G10" s="211"/>
      <c r="H10" s="28" t="s">
        <v>146</v>
      </c>
      <c r="I10" s="20">
        <v>45176</v>
      </c>
      <c r="J10" s="29" t="s">
        <v>149</v>
      </c>
      <c r="K10" s="21">
        <v>120</v>
      </c>
      <c r="L10" s="10" t="s">
        <v>147</v>
      </c>
      <c r="M10" s="20">
        <v>48845</v>
      </c>
      <c r="N10" s="10" t="s">
        <v>148</v>
      </c>
      <c r="O10" s="13"/>
      <c r="P10" s="68">
        <f t="shared" ref="P10:AC14" si="1">+F63+F108</f>
        <v>95.061629992251952</v>
      </c>
      <c r="Q10" s="68">
        <f t="shared" si="1"/>
        <v>0</v>
      </c>
      <c r="R10" s="68">
        <f t="shared" si="1"/>
        <v>234.44861461111248</v>
      </c>
      <c r="S10" s="68">
        <f t="shared" si="1"/>
        <v>0</v>
      </c>
      <c r="T10" s="68">
        <f t="shared" si="1"/>
        <v>216.77270611562054</v>
      </c>
      <c r="U10" s="68">
        <f t="shared" si="1"/>
        <v>0</v>
      </c>
      <c r="V10" s="68">
        <f t="shared" si="1"/>
        <v>202.17980656097726</v>
      </c>
      <c r="W10" s="68">
        <f t="shared" si="1"/>
        <v>0</v>
      </c>
      <c r="X10" s="68">
        <f t="shared" si="1"/>
        <v>190.68493495200988</v>
      </c>
      <c r="Y10" s="68">
        <f t="shared" si="1"/>
        <v>0</v>
      </c>
      <c r="Z10" s="68">
        <f t="shared" si="1"/>
        <v>179.89865968037489</v>
      </c>
      <c r="AA10" s="68">
        <f t="shared" si="1"/>
        <v>0</v>
      </c>
      <c r="AB10" s="68">
        <f t="shared" si="1"/>
        <v>145.87210498622275</v>
      </c>
      <c r="AC10" s="68">
        <f t="shared" si="1"/>
        <v>0</v>
      </c>
      <c r="AD10" s="101"/>
      <c r="AG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row>
    <row r="11" spans="1:82" ht="27.95" customHeight="1" x14ac:dyDescent="0.3">
      <c r="A11" s="62"/>
      <c r="B11" s="9" t="s">
        <v>5</v>
      </c>
      <c r="C11" s="9" t="s">
        <v>6</v>
      </c>
      <c r="D11" s="9" t="s">
        <v>2</v>
      </c>
      <c r="E11" s="201">
        <v>176.94227760000001</v>
      </c>
      <c r="F11" s="202">
        <f>+IF($D11="USD",$E11,$E11/$C$52)</f>
        <v>0.17137266595641648</v>
      </c>
      <c r="G11" s="211"/>
      <c r="H11" s="28" t="s">
        <v>146</v>
      </c>
      <c r="I11" s="20">
        <v>43158</v>
      </c>
      <c r="J11" s="29" t="s">
        <v>149</v>
      </c>
      <c r="K11" s="21">
        <v>96</v>
      </c>
      <c r="L11" s="10" t="s">
        <v>147</v>
      </c>
      <c r="M11" s="20">
        <v>46080</v>
      </c>
      <c r="N11" s="10" t="s">
        <v>148</v>
      </c>
      <c r="O11" s="13"/>
      <c r="P11" s="68">
        <f t="shared" si="1"/>
        <v>160.03187771366024</v>
      </c>
      <c r="Q11" s="68">
        <f t="shared" si="1"/>
        <v>0</v>
      </c>
      <c r="R11" s="68">
        <f t="shared" si="1"/>
        <v>164.93078299286773</v>
      </c>
      <c r="S11" s="68">
        <f t="shared" si="1"/>
        <v>0</v>
      </c>
      <c r="T11" s="68">
        <f t="shared" si="1"/>
        <v>26.2231512</v>
      </c>
      <c r="U11" s="68">
        <f t="shared" si="1"/>
        <v>0</v>
      </c>
      <c r="V11" s="68">
        <f t="shared" si="1"/>
        <v>0</v>
      </c>
      <c r="W11" s="68">
        <f t="shared" si="1"/>
        <v>0</v>
      </c>
      <c r="X11" s="68">
        <f t="shared" si="1"/>
        <v>0</v>
      </c>
      <c r="Y11" s="68">
        <f t="shared" si="1"/>
        <v>0</v>
      </c>
      <c r="Z11" s="68">
        <f t="shared" si="1"/>
        <v>0</v>
      </c>
      <c r="AA11" s="68">
        <f t="shared" si="1"/>
        <v>0</v>
      </c>
      <c r="AB11" s="68">
        <f t="shared" si="1"/>
        <v>0</v>
      </c>
      <c r="AC11" s="68">
        <f t="shared" si="1"/>
        <v>0</v>
      </c>
      <c r="AD11" s="101"/>
      <c r="AG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row>
    <row r="12" spans="1:82" ht="27.95" customHeight="1" x14ac:dyDescent="0.3">
      <c r="A12" s="62"/>
      <c r="B12" s="9" t="s">
        <v>7</v>
      </c>
      <c r="C12" s="9" t="s">
        <v>8</v>
      </c>
      <c r="D12" s="9" t="s">
        <v>2</v>
      </c>
      <c r="E12" s="201">
        <v>43.595373690000002</v>
      </c>
      <c r="F12" s="12">
        <f>+IF($D12="USD",$E12,$E12/$C$52)</f>
        <v>4.2223122217917679E-2</v>
      </c>
      <c r="G12" s="208"/>
      <c r="H12" s="28" t="s">
        <v>150</v>
      </c>
      <c r="I12" s="20">
        <v>40603</v>
      </c>
      <c r="J12" s="29" t="s">
        <v>151</v>
      </c>
      <c r="K12" s="21">
        <v>187</v>
      </c>
      <c r="L12" s="10" t="s">
        <v>152</v>
      </c>
      <c r="M12" s="20">
        <v>46296</v>
      </c>
      <c r="N12" s="10" t="s">
        <v>148</v>
      </c>
      <c r="O12" s="13"/>
      <c r="P12" s="68">
        <f t="shared" si="1"/>
        <v>76.916744679999994</v>
      </c>
      <c r="Q12" s="68">
        <f t="shared" si="1"/>
        <v>0</v>
      </c>
      <c r="R12" s="68">
        <f t="shared" si="1"/>
        <v>34.159790950000001</v>
      </c>
      <c r="S12" s="68">
        <f t="shared" si="1"/>
        <v>0</v>
      </c>
      <c r="T12" s="68">
        <f t="shared" si="1"/>
        <v>21.752994229999999</v>
      </c>
      <c r="U12" s="68">
        <f t="shared" si="1"/>
        <v>0</v>
      </c>
      <c r="V12" s="68">
        <f t="shared" si="1"/>
        <v>0</v>
      </c>
      <c r="W12" s="68">
        <f t="shared" si="1"/>
        <v>0</v>
      </c>
      <c r="X12" s="68">
        <f t="shared" si="1"/>
        <v>0</v>
      </c>
      <c r="Y12" s="68">
        <f t="shared" si="1"/>
        <v>0</v>
      </c>
      <c r="Z12" s="68">
        <f t="shared" si="1"/>
        <v>0</v>
      </c>
      <c r="AA12" s="68">
        <f t="shared" si="1"/>
        <v>0</v>
      </c>
      <c r="AB12" s="68">
        <f t="shared" si="1"/>
        <v>0</v>
      </c>
      <c r="AC12" s="68">
        <f t="shared" si="1"/>
        <v>0</v>
      </c>
      <c r="AD12" s="101"/>
      <c r="AG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row>
    <row r="13" spans="1:82" ht="27.95" customHeight="1" x14ac:dyDescent="0.3">
      <c r="A13" s="62"/>
      <c r="B13" s="9" t="s">
        <v>9</v>
      </c>
      <c r="C13" s="9" t="s">
        <v>10</v>
      </c>
      <c r="D13" s="9" t="s">
        <v>2</v>
      </c>
      <c r="E13" s="201">
        <v>17.748266359999999</v>
      </c>
      <c r="F13" s="12">
        <f>+IF($D13="USD",$E13,$E13/$C$52)</f>
        <v>1.718960422276029E-2</v>
      </c>
      <c r="G13" s="209"/>
      <c r="H13" s="28" t="s">
        <v>146</v>
      </c>
      <c r="I13" s="20">
        <v>43104</v>
      </c>
      <c r="J13" s="29" t="s">
        <v>149</v>
      </c>
      <c r="K13" s="21">
        <v>96</v>
      </c>
      <c r="L13" s="10" t="s">
        <v>147</v>
      </c>
      <c r="M13" s="20">
        <v>46026</v>
      </c>
      <c r="N13" s="10" t="s">
        <v>148</v>
      </c>
      <c r="O13" s="13"/>
      <c r="P13" s="68">
        <f t="shared" si="1"/>
        <v>17.243337330381241</v>
      </c>
      <c r="Q13" s="68">
        <f t="shared" si="1"/>
        <v>0</v>
      </c>
      <c r="R13" s="68">
        <f t="shared" si="1"/>
        <v>17.688922292329174</v>
      </c>
      <c r="S13" s="68">
        <f t="shared" si="1"/>
        <v>0</v>
      </c>
      <c r="T13" s="68">
        <f t="shared" si="1"/>
        <v>1.4114587988641409</v>
      </c>
      <c r="U13" s="68">
        <f t="shared" si="1"/>
        <v>0</v>
      </c>
      <c r="V13" s="68">
        <f t="shared" si="1"/>
        <v>0</v>
      </c>
      <c r="W13" s="68">
        <f t="shared" si="1"/>
        <v>0</v>
      </c>
      <c r="X13" s="68">
        <f t="shared" si="1"/>
        <v>0</v>
      </c>
      <c r="Y13" s="68">
        <f t="shared" si="1"/>
        <v>0</v>
      </c>
      <c r="Z13" s="68">
        <f t="shared" si="1"/>
        <v>0</v>
      </c>
      <c r="AA13" s="68">
        <f t="shared" si="1"/>
        <v>0</v>
      </c>
      <c r="AB13" s="68">
        <f t="shared" si="1"/>
        <v>0</v>
      </c>
      <c r="AC13" s="68">
        <f t="shared" si="1"/>
        <v>0</v>
      </c>
      <c r="AD13" s="101"/>
      <c r="AG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row>
    <row r="14" spans="1:82" ht="27.95" customHeight="1" x14ac:dyDescent="0.3">
      <c r="A14" s="62"/>
      <c r="B14" s="9" t="s">
        <v>3</v>
      </c>
      <c r="C14" s="9" t="s">
        <v>4</v>
      </c>
      <c r="D14" s="9" t="s">
        <v>2</v>
      </c>
      <c r="E14" s="201">
        <v>0</v>
      </c>
      <c r="F14" s="12">
        <f>+IF($D14="USD",$E14,$E14/$C$52)</f>
        <v>0</v>
      </c>
      <c r="G14" s="211"/>
      <c r="H14" s="28" t="s">
        <v>146</v>
      </c>
      <c r="I14" s="20">
        <v>41699</v>
      </c>
      <c r="J14" s="29" t="s">
        <v>149</v>
      </c>
      <c r="K14" s="21">
        <v>127</v>
      </c>
      <c r="L14" s="10" t="s">
        <v>147</v>
      </c>
      <c r="M14" s="20">
        <v>45566</v>
      </c>
      <c r="N14" s="10" t="s">
        <v>148</v>
      </c>
      <c r="O14" s="13"/>
      <c r="P14" s="68">
        <f t="shared" si="1"/>
        <v>1422.3058352627565</v>
      </c>
      <c r="Q14" s="68">
        <f t="shared" si="1"/>
        <v>0</v>
      </c>
      <c r="R14" s="68">
        <f t="shared" si="1"/>
        <v>0</v>
      </c>
      <c r="S14" s="68">
        <f t="shared" si="1"/>
        <v>0</v>
      </c>
      <c r="T14" s="68">
        <f t="shared" si="1"/>
        <v>0</v>
      </c>
      <c r="U14" s="68">
        <f t="shared" si="1"/>
        <v>0</v>
      </c>
      <c r="V14" s="68">
        <f t="shared" si="1"/>
        <v>0</v>
      </c>
      <c r="W14" s="68">
        <f t="shared" si="1"/>
        <v>0</v>
      </c>
      <c r="X14" s="68">
        <f t="shared" si="1"/>
        <v>0</v>
      </c>
      <c r="Y14" s="68">
        <f t="shared" si="1"/>
        <v>0</v>
      </c>
      <c r="Z14" s="68">
        <f t="shared" si="1"/>
        <v>0</v>
      </c>
      <c r="AA14" s="68">
        <f t="shared" si="1"/>
        <v>0</v>
      </c>
      <c r="AB14" s="68">
        <f t="shared" si="1"/>
        <v>0</v>
      </c>
      <c r="AC14" s="68">
        <f t="shared" si="1"/>
        <v>0</v>
      </c>
      <c r="AD14" s="101"/>
      <c r="AG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row>
    <row r="15" spans="1:82" ht="27.95" customHeight="1" x14ac:dyDescent="0.3">
      <c r="A15" s="62"/>
      <c r="B15" s="166" t="s">
        <v>88</v>
      </c>
      <c r="C15" s="166"/>
      <c r="D15" s="166"/>
      <c r="E15" s="166"/>
      <c r="F15" s="167">
        <f>+SUM(F16:F16)</f>
        <v>10.080909300513317</v>
      </c>
      <c r="G15" s="168">
        <f>+F15/$F$45</f>
        <v>1.6136396362821957E-2</v>
      </c>
      <c r="H15" s="169"/>
      <c r="I15" s="166"/>
      <c r="J15" s="170"/>
      <c r="K15" s="166"/>
      <c r="L15" s="166"/>
      <c r="M15" s="166"/>
      <c r="N15" s="166"/>
      <c r="O15" s="23"/>
      <c r="P15" s="179">
        <f t="shared" ref="P15:AC15" si="2">+P16</f>
        <v>13647.143545820103</v>
      </c>
      <c r="Q15" s="179">
        <f t="shared" si="2"/>
        <v>0</v>
      </c>
      <c r="R15" s="179">
        <f t="shared" si="2"/>
        <v>6934.8010396055288</v>
      </c>
      <c r="S15" s="179">
        <f t="shared" si="2"/>
        <v>0</v>
      </c>
      <c r="T15" s="179">
        <f t="shared" si="2"/>
        <v>5241.3988678931555</v>
      </c>
      <c r="U15" s="179">
        <f t="shared" si="2"/>
        <v>0</v>
      </c>
      <c r="V15" s="179">
        <f t="shared" si="2"/>
        <v>1869.5133233449205</v>
      </c>
      <c r="W15" s="179">
        <f t="shared" si="2"/>
        <v>0</v>
      </c>
      <c r="X15" s="179">
        <f t="shared" si="2"/>
        <v>0</v>
      </c>
      <c r="Y15" s="179">
        <f t="shared" si="2"/>
        <v>0</v>
      </c>
      <c r="Z15" s="179">
        <f t="shared" si="2"/>
        <v>0</v>
      </c>
      <c r="AA15" s="179">
        <f t="shared" si="2"/>
        <v>0</v>
      </c>
      <c r="AB15" s="179">
        <f t="shared" si="2"/>
        <v>0</v>
      </c>
      <c r="AC15" s="179">
        <f t="shared" si="2"/>
        <v>0</v>
      </c>
      <c r="AD15" s="106"/>
      <c r="AG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row>
    <row r="16" spans="1:82" ht="27.95" customHeight="1" x14ac:dyDescent="0.3">
      <c r="A16" s="62"/>
      <c r="B16" s="154" t="s">
        <v>140</v>
      </c>
      <c r="C16" s="154" t="s">
        <v>141</v>
      </c>
      <c r="D16" s="154" t="s">
        <v>2</v>
      </c>
      <c r="E16" s="201">
        <v>10408.538852780001</v>
      </c>
      <c r="F16" s="202">
        <f>+IF($D16="USD",$E16,$E16/$C$52)</f>
        <v>10.080909300513317</v>
      </c>
      <c r="G16" s="214"/>
      <c r="H16" s="215" t="s">
        <v>146</v>
      </c>
      <c r="I16" s="20">
        <v>44684</v>
      </c>
      <c r="J16" s="216" t="s">
        <v>154</v>
      </c>
      <c r="K16" s="217">
        <v>60</v>
      </c>
      <c r="L16" s="201" t="s">
        <v>147</v>
      </c>
      <c r="M16" s="20">
        <v>46510</v>
      </c>
      <c r="N16" s="201" t="s">
        <v>148</v>
      </c>
      <c r="O16" s="13"/>
      <c r="P16" s="68">
        <f t="shared" ref="P16:AC16" si="3">+F69+F114</f>
        <v>13647.143545820103</v>
      </c>
      <c r="Q16" s="68">
        <f t="shared" si="3"/>
        <v>0</v>
      </c>
      <c r="R16" s="68">
        <f t="shared" si="3"/>
        <v>6934.8010396055288</v>
      </c>
      <c r="S16" s="68">
        <f t="shared" si="3"/>
        <v>0</v>
      </c>
      <c r="T16" s="68">
        <f t="shared" si="3"/>
        <v>5241.3988678931555</v>
      </c>
      <c r="U16" s="68">
        <f t="shared" si="3"/>
        <v>0</v>
      </c>
      <c r="V16" s="68">
        <f t="shared" si="3"/>
        <v>1869.5133233449205</v>
      </c>
      <c r="W16" s="68">
        <f t="shared" si="3"/>
        <v>0</v>
      </c>
      <c r="X16" s="68">
        <f t="shared" si="3"/>
        <v>0</v>
      </c>
      <c r="Y16" s="68">
        <f t="shared" si="3"/>
        <v>0</v>
      </c>
      <c r="Z16" s="68">
        <f t="shared" si="3"/>
        <v>0</v>
      </c>
      <c r="AA16" s="68">
        <f t="shared" si="3"/>
        <v>0</v>
      </c>
      <c r="AB16" s="68">
        <f t="shared" si="3"/>
        <v>0</v>
      </c>
      <c r="AC16" s="68">
        <f t="shared" si="3"/>
        <v>0</v>
      </c>
      <c r="AD16" s="101"/>
      <c r="AG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row>
    <row r="17" spans="1:96" ht="27.95" customHeight="1" x14ac:dyDescent="0.3">
      <c r="A17" s="62"/>
      <c r="B17" s="166" t="s">
        <v>11</v>
      </c>
      <c r="C17" s="166"/>
      <c r="D17" s="166"/>
      <c r="E17" s="166"/>
      <c r="F17" s="167">
        <f>+SUM(F18,F30)</f>
        <v>191.62803522000002</v>
      </c>
      <c r="G17" s="168">
        <f>+F17/$F$45</f>
        <v>0.3067368070042325</v>
      </c>
      <c r="H17" s="169"/>
      <c r="I17" s="166"/>
      <c r="J17" s="170"/>
      <c r="K17" s="166"/>
      <c r="L17" s="166"/>
      <c r="M17" s="166"/>
      <c r="N17" s="166"/>
      <c r="O17" s="23"/>
      <c r="P17" s="179">
        <f t="shared" ref="P17:AC17" si="4">+P18+P30</f>
        <v>0</v>
      </c>
      <c r="Q17" s="179">
        <f t="shared" si="4"/>
        <v>26.965765376749992</v>
      </c>
      <c r="R17" s="179">
        <f t="shared" si="4"/>
        <v>0</v>
      </c>
      <c r="S17" s="179">
        <f t="shared" si="4"/>
        <v>29.242465569475051</v>
      </c>
      <c r="T17" s="179">
        <f t="shared" si="4"/>
        <v>0</v>
      </c>
      <c r="U17" s="179">
        <f t="shared" si="4"/>
        <v>22.878683018782674</v>
      </c>
      <c r="V17" s="179">
        <f t="shared" si="4"/>
        <v>0</v>
      </c>
      <c r="W17" s="179">
        <f t="shared" si="4"/>
        <v>21.45324785661197</v>
      </c>
      <c r="X17" s="179">
        <f t="shared" si="4"/>
        <v>0</v>
      </c>
      <c r="Y17" s="179">
        <f t="shared" si="4"/>
        <v>20.144959986999243</v>
      </c>
      <c r="Z17" s="179">
        <f t="shared" si="4"/>
        <v>0</v>
      </c>
      <c r="AA17" s="179">
        <f t="shared" si="4"/>
        <v>18.764006838481894</v>
      </c>
      <c r="AB17" s="179">
        <f t="shared" si="4"/>
        <v>0</v>
      </c>
      <c r="AC17" s="179">
        <f t="shared" si="4"/>
        <v>15.66746077403894</v>
      </c>
      <c r="AD17" s="106"/>
      <c r="AG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row>
    <row r="18" spans="1:96" ht="27.95" customHeight="1" x14ac:dyDescent="0.3">
      <c r="A18" s="62"/>
      <c r="B18" s="171" t="s">
        <v>12</v>
      </c>
      <c r="C18" s="171"/>
      <c r="D18" s="171"/>
      <c r="E18" s="171"/>
      <c r="F18" s="172">
        <f>+SUM(F19:F29)</f>
        <v>159.56968741</v>
      </c>
      <c r="G18" s="171"/>
      <c r="H18" s="173"/>
      <c r="I18" s="171"/>
      <c r="J18" s="174"/>
      <c r="K18" s="171"/>
      <c r="L18" s="171"/>
      <c r="M18" s="171"/>
      <c r="N18" s="171"/>
      <c r="O18" s="24"/>
      <c r="P18" s="181">
        <f t="shared" ref="P18:AC18" si="5">+SUM(P19:P29)</f>
        <v>0</v>
      </c>
      <c r="Q18" s="181">
        <f t="shared" si="5"/>
        <v>23.750657335857216</v>
      </c>
      <c r="R18" s="181">
        <f t="shared" si="5"/>
        <v>0</v>
      </c>
      <c r="S18" s="181">
        <f t="shared" si="5"/>
        <v>25.044962493200241</v>
      </c>
      <c r="T18" s="181">
        <f t="shared" si="5"/>
        <v>0</v>
      </c>
      <c r="U18" s="181">
        <f t="shared" si="5"/>
        <v>18.934707017986874</v>
      </c>
      <c r="V18" s="181">
        <f t="shared" si="5"/>
        <v>0</v>
      </c>
      <c r="W18" s="181">
        <f t="shared" si="5"/>
        <v>17.757820414169203</v>
      </c>
      <c r="X18" s="181">
        <f t="shared" si="5"/>
        <v>0</v>
      </c>
      <c r="Y18" s="181">
        <f t="shared" si="5"/>
        <v>16.586347220968257</v>
      </c>
      <c r="Z18" s="181">
        <f t="shared" si="5"/>
        <v>0</v>
      </c>
      <c r="AA18" s="181">
        <f t="shared" si="5"/>
        <v>15.327561948548045</v>
      </c>
      <c r="AB18" s="181">
        <f t="shared" si="5"/>
        <v>0</v>
      </c>
      <c r="AC18" s="181">
        <f t="shared" si="5"/>
        <v>12.831536037803426</v>
      </c>
      <c r="AD18" s="102"/>
      <c r="AG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row>
    <row r="19" spans="1:96" ht="27.95" customHeight="1" x14ac:dyDescent="0.3">
      <c r="A19" s="62"/>
      <c r="B19" s="9" t="s">
        <v>19</v>
      </c>
      <c r="C19" s="9" t="s">
        <v>20</v>
      </c>
      <c r="D19" s="9" t="s">
        <v>97</v>
      </c>
      <c r="E19" s="12">
        <v>39.388299629999999</v>
      </c>
      <c r="F19" s="12">
        <f t="shared" ref="F19:F29" si="6">+IF($D19="USD",$E19,$E19/$C$52)</f>
        <v>39.388299629999999</v>
      </c>
      <c r="G19" s="207"/>
      <c r="H19" s="28" t="s">
        <v>146</v>
      </c>
      <c r="I19" s="20">
        <v>42050</v>
      </c>
      <c r="J19" s="29" t="s">
        <v>155</v>
      </c>
      <c r="K19" s="21">
        <v>300</v>
      </c>
      <c r="L19" s="10" t="s">
        <v>153</v>
      </c>
      <c r="M19" s="20">
        <v>51181</v>
      </c>
      <c r="N19" s="10" t="s">
        <v>148</v>
      </c>
      <c r="O19" s="13"/>
      <c r="P19" s="68">
        <f t="shared" ref="P19:P29" si="7">+F72+F117</f>
        <v>0</v>
      </c>
      <c r="Q19" s="68">
        <f t="shared" ref="Q19:Q29" si="8">+G72+G117</f>
        <v>5.3422875805221874</v>
      </c>
      <c r="R19" s="68">
        <f t="shared" ref="R19:R29" si="9">+H72+H117</f>
        <v>0</v>
      </c>
      <c r="S19" s="68">
        <f t="shared" ref="S19:S29" si="10">+I72+I117</f>
        <v>4.7831436986923395</v>
      </c>
      <c r="T19" s="68">
        <f t="shared" ref="T19:T29" si="11">+J72+J117</f>
        <v>0</v>
      </c>
      <c r="U19" s="68">
        <f t="shared" ref="U19:U29" si="12">+K72+K117</f>
        <v>4.3990879004884702</v>
      </c>
      <c r="V19" s="68">
        <f t="shared" ref="V19:V29" si="13">+L72+L117</f>
        <v>0</v>
      </c>
      <c r="W19" s="68">
        <f t="shared" ref="W19:W29" si="14">+M72+M117</f>
        <v>4.1145536468848034</v>
      </c>
      <c r="X19" s="68">
        <f t="shared" ref="X19:X29" si="15">+N72+N117</f>
        <v>0</v>
      </c>
      <c r="Y19" s="68">
        <f t="shared" ref="Y19:Y29" si="16">+O72+O117</f>
        <v>3.8576340201723971</v>
      </c>
      <c r="Z19" s="68">
        <f t="shared" ref="Z19:Z29" si="17">+P72+P117</f>
        <v>0</v>
      </c>
      <c r="AA19" s="68">
        <f t="shared" ref="AA19:AA29" si="18">+Q72+Q117</f>
        <v>3.5117389572438689</v>
      </c>
      <c r="AB19" s="68">
        <f t="shared" ref="AB19:AB29" si="19">+R72+R117</f>
        <v>0</v>
      </c>
      <c r="AC19" s="68">
        <f t="shared" ref="AC19:AC29" si="20">+S72+S117</f>
        <v>2.8650195020256359</v>
      </c>
      <c r="AD19" s="101"/>
      <c r="AG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Q19" s="107"/>
      <c r="CR19" s="108"/>
    </row>
    <row r="20" spans="1:96" ht="27.95" customHeight="1" x14ac:dyDescent="0.3">
      <c r="A20" s="62"/>
      <c r="B20" s="9" t="s">
        <v>123</v>
      </c>
      <c r="C20" s="9" t="s">
        <v>124</v>
      </c>
      <c r="D20" s="9" t="s">
        <v>97</v>
      </c>
      <c r="E20" s="12">
        <v>34.451999999999998</v>
      </c>
      <c r="F20" s="12">
        <f t="shared" si="6"/>
        <v>34.451999999999998</v>
      </c>
      <c r="G20" s="9"/>
      <c r="H20" s="28" t="s">
        <v>146</v>
      </c>
      <c r="I20" s="20">
        <v>44313</v>
      </c>
      <c r="J20" s="29" t="s">
        <v>155</v>
      </c>
      <c r="K20" s="21">
        <v>283</v>
      </c>
      <c r="L20" s="10" t="s">
        <v>153</v>
      </c>
      <c r="M20" s="20">
        <v>52916</v>
      </c>
      <c r="N20" s="10" t="s">
        <v>148</v>
      </c>
      <c r="O20" s="13"/>
      <c r="P20" s="68">
        <f t="shared" si="7"/>
        <v>0</v>
      </c>
      <c r="Q20" s="68">
        <f t="shared" si="8"/>
        <v>1.8160750299999997</v>
      </c>
      <c r="R20" s="68">
        <f t="shared" si="9"/>
        <v>0</v>
      </c>
      <c r="S20" s="68">
        <f t="shared" si="10"/>
        <v>3.6131501963835619</v>
      </c>
      <c r="T20" s="68">
        <f t="shared" si="11"/>
        <v>0</v>
      </c>
      <c r="U20" s="68">
        <f t="shared" si="12"/>
        <v>3.3396909859726027</v>
      </c>
      <c r="V20" s="68">
        <f t="shared" si="13"/>
        <v>0</v>
      </c>
      <c r="W20" s="68">
        <f t="shared" si="14"/>
        <v>3.1234338941917805</v>
      </c>
      <c r="X20" s="68">
        <f t="shared" si="15"/>
        <v>0</v>
      </c>
      <c r="Y20" s="68">
        <f t="shared" si="16"/>
        <v>2.8799597224109585</v>
      </c>
      <c r="Z20" s="68">
        <f t="shared" si="17"/>
        <v>0</v>
      </c>
      <c r="AA20" s="68">
        <f t="shared" si="18"/>
        <v>2.6213441326027391</v>
      </c>
      <c r="AB20" s="68">
        <f t="shared" si="19"/>
        <v>0</v>
      </c>
      <c r="AC20" s="68">
        <f t="shared" si="20"/>
        <v>2.1619933198027392</v>
      </c>
      <c r="AD20" s="101"/>
      <c r="AG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Q20" s="107"/>
      <c r="CR20" s="108"/>
    </row>
    <row r="21" spans="1:96" ht="27.95" customHeight="1" x14ac:dyDescent="0.3">
      <c r="A21" s="62"/>
      <c r="B21" s="9" t="s">
        <v>13</v>
      </c>
      <c r="C21" s="9" t="s">
        <v>14</v>
      </c>
      <c r="D21" s="9" t="s">
        <v>97</v>
      </c>
      <c r="E21" s="12">
        <v>34.218385130000001</v>
      </c>
      <c r="F21" s="12">
        <f t="shared" si="6"/>
        <v>34.218385130000001</v>
      </c>
      <c r="G21" s="9"/>
      <c r="H21" s="28" t="s">
        <v>146</v>
      </c>
      <c r="I21" s="20">
        <v>39557</v>
      </c>
      <c r="J21" s="29" t="s">
        <v>155</v>
      </c>
      <c r="K21" s="21">
        <v>344</v>
      </c>
      <c r="L21" s="10" t="s">
        <v>153</v>
      </c>
      <c r="M21" s="20">
        <v>50028</v>
      </c>
      <c r="N21" s="10" t="s">
        <v>148</v>
      </c>
      <c r="O21" s="13"/>
      <c r="P21" s="68">
        <f t="shared" si="7"/>
        <v>0</v>
      </c>
      <c r="Q21" s="68">
        <f t="shared" si="8"/>
        <v>4.6286231312568553</v>
      </c>
      <c r="R21" s="68">
        <f t="shared" si="9"/>
        <v>0</v>
      </c>
      <c r="S21" s="68">
        <f t="shared" si="10"/>
        <v>4.6833871707782828</v>
      </c>
      <c r="T21" s="68">
        <f t="shared" si="11"/>
        <v>0</v>
      </c>
      <c r="U21" s="68">
        <f t="shared" si="12"/>
        <v>4.3743826531696568</v>
      </c>
      <c r="V21" s="68">
        <f t="shared" si="13"/>
        <v>0</v>
      </c>
      <c r="W21" s="68">
        <f t="shared" si="14"/>
        <v>4.1180428083766794</v>
      </c>
      <c r="X21" s="68">
        <f t="shared" si="15"/>
        <v>0</v>
      </c>
      <c r="Y21" s="68">
        <f t="shared" si="16"/>
        <v>3.8336970122090057</v>
      </c>
      <c r="Z21" s="68">
        <f t="shared" si="17"/>
        <v>0</v>
      </c>
      <c r="AA21" s="68">
        <f t="shared" si="18"/>
        <v>3.5803372137650245</v>
      </c>
      <c r="AB21" s="68">
        <f t="shared" si="19"/>
        <v>0</v>
      </c>
      <c r="AC21" s="68">
        <f t="shared" si="20"/>
        <v>3.2034959194947228</v>
      </c>
      <c r="AD21" s="101"/>
      <c r="AG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Q21" s="107"/>
      <c r="CR21" s="108"/>
    </row>
    <row r="22" spans="1:96" ht="27.95" customHeight="1" x14ac:dyDescent="0.3">
      <c r="A22" s="62"/>
      <c r="B22" s="9" t="s">
        <v>15</v>
      </c>
      <c r="C22" s="9" t="s">
        <v>16</v>
      </c>
      <c r="D22" s="9" t="s">
        <v>97</v>
      </c>
      <c r="E22" s="12">
        <v>24.581027089999999</v>
      </c>
      <c r="F22" s="12">
        <f t="shared" si="6"/>
        <v>24.581027089999999</v>
      </c>
      <c r="G22" s="9"/>
      <c r="H22" s="28" t="s">
        <v>146</v>
      </c>
      <c r="I22" s="20">
        <v>39555</v>
      </c>
      <c r="J22" s="29" t="s">
        <v>155</v>
      </c>
      <c r="K22" s="21">
        <v>300</v>
      </c>
      <c r="L22" s="10" t="s">
        <v>153</v>
      </c>
      <c r="M22" s="20">
        <v>48686</v>
      </c>
      <c r="N22" s="10" t="s">
        <v>148</v>
      </c>
      <c r="O22" s="13"/>
      <c r="P22" s="68">
        <f t="shared" si="7"/>
        <v>0</v>
      </c>
      <c r="Q22" s="68">
        <f t="shared" si="8"/>
        <v>3.6843667</v>
      </c>
      <c r="R22" s="68">
        <f t="shared" si="9"/>
        <v>0</v>
      </c>
      <c r="S22" s="68">
        <f t="shared" si="10"/>
        <v>4.4568392799999978</v>
      </c>
      <c r="T22" s="68">
        <f t="shared" si="11"/>
        <v>0</v>
      </c>
      <c r="U22" s="68">
        <f t="shared" si="12"/>
        <v>4.1410889599999976</v>
      </c>
      <c r="V22" s="68">
        <f t="shared" si="13"/>
        <v>0</v>
      </c>
      <c r="W22" s="68">
        <f t="shared" si="14"/>
        <v>3.889540869999998</v>
      </c>
      <c r="X22" s="68">
        <f t="shared" si="15"/>
        <v>0</v>
      </c>
      <c r="Y22" s="68">
        <f t="shared" si="16"/>
        <v>3.6522588899999979</v>
      </c>
      <c r="Z22" s="68">
        <f t="shared" si="17"/>
        <v>0</v>
      </c>
      <c r="AA22" s="68">
        <f t="shared" si="18"/>
        <v>3.412817109999998</v>
      </c>
      <c r="AB22" s="68">
        <f t="shared" si="19"/>
        <v>0</v>
      </c>
      <c r="AC22" s="68">
        <f t="shared" si="20"/>
        <v>2.7429950175732314</v>
      </c>
      <c r="AD22" s="101"/>
      <c r="AG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Q22" s="107"/>
      <c r="CR22" s="108"/>
    </row>
    <row r="23" spans="1:96" ht="27.95" customHeight="1" x14ac:dyDescent="0.3">
      <c r="A23" s="62"/>
      <c r="B23" s="9" t="s">
        <v>23</v>
      </c>
      <c r="C23" s="9" t="s">
        <v>24</v>
      </c>
      <c r="D23" s="9" t="s">
        <v>97</v>
      </c>
      <c r="E23" s="12">
        <v>13.391793910000001</v>
      </c>
      <c r="F23" s="12">
        <f t="shared" si="6"/>
        <v>13.391793910000001</v>
      </c>
      <c r="G23" s="9"/>
      <c r="H23" s="28" t="s">
        <v>146</v>
      </c>
      <c r="I23" s="20">
        <v>43084</v>
      </c>
      <c r="J23" s="29" t="s">
        <v>155</v>
      </c>
      <c r="K23" s="21">
        <v>292</v>
      </c>
      <c r="L23" s="10" t="s">
        <v>153</v>
      </c>
      <c r="M23" s="20">
        <v>51971</v>
      </c>
      <c r="N23" s="10" t="s">
        <v>148</v>
      </c>
      <c r="O23" s="13"/>
      <c r="P23" s="68">
        <f t="shared" si="7"/>
        <v>0</v>
      </c>
      <c r="Q23" s="68">
        <f t="shared" si="8"/>
        <v>1.6875991255811795</v>
      </c>
      <c r="R23" s="68">
        <f t="shared" si="9"/>
        <v>0</v>
      </c>
      <c r="S23" s="68">
        <f t="shared" si="10"/>
        <v>1.5113235377114018</v>
      </c>
      <c r="T23" s="68">
        <f t="shared" si="11"/>
        <v>0</v>
      </c>
      <c r="U23" s="68">
        <f t="shared" si="12"/>
        <v>1.393083484418417</v>
      </c>
      <c r="V23" s="68">
        <f t="shared" si="13"/>
        <v>0</v>
      </c>
      <c r="W23" s="68">
        <f t="shared" si="14"/>
        <v>1.3032361307805609</v>
      </c>
      <c r="X23" s="68">
        <f t="shared" si="15"/>
        <v>0</v>
      </c>
      <c r="Y23" s="68">
        <f t="shared" si="16"/>
        <v>1.2116325914409423</v>
      </c>
      <c r="Z23" s="68">
        <f t="shared" si="17"/>
        <v>0</v>
      </c>
      <c r="AA23" s="68">
        <f t="shared" si="18"/>
        <v>1.1027405868529456</v>
      </c>
      <c r="AB23" s="68">
        <f t="shared" si="19"/>
        <v>0</v>
      </c>
      <c r="AC23" s="68">
        <f t="shared" si="20"/>
        <v>0.89325265188239988</v>
      </c>
      <c r="AD23" s="101"/>
      <c r="AG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Q23" s="107"/>
      <c r="CR23" s="108"/>
    </row>
    <row r="24" spans="1:96" ht="27.95" customHeight="1" x14ac:dyDescent="0.3">
      <c r="A24" s="62"/>
      <c r="B24" s="9" t="s">
        <v>143</v>
      </c>
      <c r="C24" s="9" t="s">
        <v>214</v>
      </c>
      <c r="D24" s="9" t="s">
        <v>97</v>
      </c>
      <c r="E24" s="12">
        <v>5.0544665999999996</v>
      </c>
      <c r="F24" s="12">
        <f t="shared" si="6"/>
        <v>5.0544665999999996</v>
      </c>
      <c r="G24" s="210"/>
      <c r="H24" s="28" t="s">
        <v>146</v>
      </c>
      <c r="I24" s="20">
        <v>44774</v>
      </c>
      <c r="J24" s="29" t="s">
        <v>156</v>
      </c>
      <c r="K24" s="21">
        <v>173</v>
      </c>
      <c r="L24" s="10" t="s">
        <v>153</v>
      </c>
      <c r="M24" s="20">
        <v>50055</v>
      </c>
      <c r="N24" s="10" t="s">
        <v>148</v>
      </c>
      <c r="O24" s="13"/>
      <c r="P24" s="68">
        <f t="shared" si="7"/>
        <v>0</v>
      </c>
      <c r="Q24" s="68">
        <f t="shared" si="8"/>
        <v>0.30642318999999996</v>
      </c>
      <c r="R24" s="68">
        <f t="shared" si="9"/>
        <v>0</v>
      </c>
      <c r="S24" s="68">
        <f t="shared" si="10"/>
        <v>0.28966968048623043</v>
      </c>
      <c r="T24" s="68">
        <f t="shared" si="11"/>
        <v>0</v>
      </c>
      <c r="U24" s="68">
        <f t="shared" si="12"/>
        <v>0.70494655586788724</v>
      </c>
      <c r="V24" s="68">
        <f t="shared" si="13"/>
        <v>0</v>
      </c>
      <c r="W24" s="68">
        <f t="shared" si="14"/>
        <v>0.65967671263884187</v>
      </c>
      <c r="X24" s="68">
        <f t="shared" si="15"/>
        <v>0</v>
      </c>
      <c r="Y24" s="68">
        <f t="shared" si="16"/>
        <v>0.63367974632479207</v>
      </c>
      <c r="Z24" s="68">
        <f t="shared" si="17"/>
        <v>0</v>
      </c>
      <c r="AA24" s="68">
        <f t="shared" si="18"/>
        <v>0.61138454136520137</v>
      </c>
      <c r="AB24" s="68">
        <f t="shared" si="19"/>
        <v>0</v>
      </c>
      <c r="AC24" s="68">
        <f t="shared" si="20"/>
        <v>0.51365325740849088</v>
      </c>
      <c r="AD24" s="101"/>
      <c r="AG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Q24" s="107"/>
      <c r="CR24" s="108"/>
    </row>
    <row r="25" spans="1:96" ht="27.95" customHeight="1" x14ac:dyDescent="0.3">
      <c r="A25" s="62"/>
      <c r="B25" s="9" t="s">
        <v>17</v>
      </c>
      <c r="C25" s="9" t="s">
        <v>18</v>
      </c>
      <c r="D25" s="9" t="s">
        <v>97</v>
      </c>
      <c r="E25" s="12">
        <v>4.8708097700000001</v>
      </c>
      <c r="F25" s="12">
        <f t="shared" si="6"/>
        <v>4.8708097700000001</v>
      </c>
      <c r="G25" s="9"/>
      <c r="H25" s="28" t="s">
        <v>146</v>
      </c>
      <c r="I25" s="20">
        <v>38588</v>
      </c>
      <c r="J25" s="29" t="s">
        <v>155</v>
      </c>
      <c r="K25" s="21">
        <v>240</v>
      </c>
      <c r="L25" s="10" t="s">
        <v>153</v>
      </c>
      <c r="M25" s="20">
        <v>45893</v>
      </c>
      <c r="N25" s="10" t="s">
        <v>148</v>
      </c>
      <c r="O25" s="13"/>
      <c r="P25" s="68">
        <f t="shared" si="7"/>
        <v>0</v>
      </c>
      <c r="Q25" s="68">
        <f t="shared" si="8"/>
        <v>5.4484824392380711</v>
      </c>
      <c r="R25" s="68">
        <f t="shared" si="9"/>
        <v>0</v>
      </c>
      <c r="S25" s="68">
        <f t="shared" si="10"/>
        <v>5.0843654722484217</v>
      </c>
      <c r="T25" s="68">
        <f t="shared" si="11"/>
        <v>0</v>
      </c>
      <c r="U25" s="68">
        <f t="shared" si="12"/>
        <v>0</v>
      </c>
      <c r="V25" s="68">
        <f t="shared" si="13"/>
        <v>0</v>
      </c>
      <c r="W25" s="68">
        <f t="shared" si="14"/>
        <v>0</v>
      </c>
      <c r="X25" s="68">
        <f t="shared" si="15"/>
        <v>0</v>
      </c>
      <c r="Y25" s="68">
        <f t="shared" si="16"/>
        <v>0</v>
      </c>
      <c r="Z25" s="68">
        <f t="shared" si="17"/>
        <v>0</v>
      </c>
      <c r="AA25" s="68">
        <f t="shared" si="18"/>
        <v>0</v>
      </c>
      <c r="AB25" s="68">
        <f t="shared" si="19"/>
        <v>0</v>
      </c>
      <c r="AC25" s="68">
        <f t="shared" si="20"/>
        <v>0</v>
      </c>
      <c r="AD25" s="101"/>
      <c r="AG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Q25" s="107"/>
      <c r="CR25" s="108"/>
    </row>
    <row r="26" spans="1:96" ht="27.95" customHeight="1" x14ac:dyDescent="0.3">
      <c r="A26" s="62"/>
      <c r="B26" s="9" t="s">
        <v>21</v>
      </c>
      <c r="C26" s="9" t="s">
        <v>22</v>
      </c>
      <c r="D26" s="9" t="s">
        <v>97</v>
      </c>
      <c r="E26" s="12">
        <v>3.1505366499999998</v>
      </c>
      <c r="F26" s="12">
        <f t="shared" si="6"/>
        <v>3.1505366499999998</v>
      </c>
      <c r="G26" s="210"/>
      <c r="H26" s="28" t="s">
        <v>146</v>
      </c>
      <c r="I26" s="20">
        <v>40852</v>
      </c>
      <c r="J26" s="29" t="s">
        <v>155</v>
      </c>
      <c r="K26" s="21">
        <v>252</v>
      </c>
      <c r="L26" s="10" t="s">
        <v>153</v>
      </c>
      <c r="M26" s="20">
        <v>48523</v>
      </c>
      <c r="N26" s="10" t="s">
        <v>148</v>
      </c>
      <c r="O26" s="13"/>
      <c r="P26" s="68">
        <f t="shared" si="7"/>
        <v>0</v>
      </c>
      <c r="Q26" s="68">
        <f t="shared" si="8"/>
        <v>0.55555223200000003</v>
      </c>
      <c r="R26" s="68">
        <f t="shared" si="9"/>
        <v>0</v>
      </c>
      <c r="S26" s="68">
        <f t="shared" si="10"/>
        <v>0.59212059759237601</v>
      </c>
      <c r="T26" s="68">
        <f t="shared" si="11"/>
        <v>0</v>
      </c>
      <c r="U26" s="68">
        <f t="shared" si="12"/>
        <v>0.55146362343610311</v>
      </c>
      <c r="V26" s="68">
        <f t="shared" si="13"/>
        <v>0</v>
      </c>
      <c r="W26" s="68">
        <f t="shared" si="14"/>
        <v>0.51837349383814191</v>
      </c>
      <c r="X26" s="68">
        <f t="shared" si="15"/>
        <v>0</v>
      </c>
      <c r="Y26" s="68">
        <f t="shared" si="16"/>
        <v>0.4865223775150338</v>
      </c>
      <c r="Z26" s="68">
        <f t="shared" si="17"/>
        <v>0</v>
      </c>
      <c r="AA26" s="68">
        <f t="shared" si="18"/>
        <v>0.45623654922126622</v>
      </c>
      <c r="AB26" s="68">
        <f t="shared" si="19"/>
        <v>0</v>
      </c>
      <c r="AC26" s="68">
        <f t="shared" si="20"/>
        <v>0.42274375514455254</v>
      </c>
      <c r="AD26" s="101"/>
      <c r="AG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Q26" s="107"/>
      <c r="CR26" s="108"/>
    </row>
    <row r="27" spans="1:96" ht="27.95" customHeight="1" x14ac:dyDescent="0.3">
      <c r="A27" s="62"/>
      <c r="B27" s="9" t="s">
        <v>27</v>
      </c>
      <c r="C27" s="9" t="s">
        <v>28</v>
      </c>
      <c r="D27" s="9" t="s">
        <v>97</v>
      </c>
      <c r="E27" s="12">
        <v>0.39715329999999999</v>
      </c>
      <c r="F27" s="12">
        <f t="shared" si="6"/>
        <v>0.39715329999999999</v>
      </c>
      <c r="G27" s="210"/>
      <c r="H27" s="28" t="s">
        <v>146</v>
      </c>
      <c r="I27" s="20">
        <v>40360</v>
      </c>
      <c r="J27" s="29" t="s">
        <v>155</v>
      </c>
      <c r="K27" s="21">
        <v>290</v>
      </c>
      <c r="L27" s="10" t="s">
        <v>152</v>
      </c>
      <c r="M27" s="20">
        <v>49188</v>
      </c>
      <c r="N27" s="10" t="s">
        <v>148</v>
      </c>
      <c r="O27" s="13"/>
      <c r="P27" s="68">
        <f t="shared" si="7"/>
        <v>0</v>
      </c>
      <c r="Q27" s="68">
        <f t="shared" si="8"/>
        <v>3.0962857812724238E-2</v>
      </c>
      <c r="R27" s="68">
        <f t="shared" si="9"/>
        <v>0</v>
      </c>
      <c r="S27" s="68">
        <f t="shared" si="10"/>
        <v>3.0962859307629324E-2</v>
      </c>
      <c r="T27" s="68">
        <f t="shared" si="11"/>
        <v>0</v>
      </c>
      <c r="U27" s="68">
        <f t="shared" si="12"/>
        <v>3.0962854633739899E-2</v>
      </c>
      <c r="V27" s="68">
        <f t="shared" si="13"/>
        <v>0</v>
      </c>
      <c r="W27" s="68">
        <f t="shared" si="14"/>
        <v>3.0962857458399686E-2</v>
      </c>
      <c r="X27" s="68">
        <f t="shared" si="15"/>
        <v>0</v>
      </c>
      <c r="Y27" s="68">
        <f t="shared" si="16"/>
        <v>3.0962860895128431E-2</v>
      </c>
      <c r="Z27" s="68">
        <f t="shared" si="17"/>
        <v>0</v>
      </c>
      <c r="AA27" s="68">
        <f t="shared" si="18"/>
        <v>3.0962857497001992E-2</v>
      </c>
      <c r="AB27" s="68">
        <f t="shared" si="19"/>
        <v>0</v>
      </c>
      <c r="AC27" s="68">
        <f t="shared" si="20"/>
        <v>2.8382614471655798E-2</v>
      </c>
      <c r="AD27" s="101"/>
      <c r="AG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Q27" s="107"/>
      <c r="CR27" s="108"/>
    </row>
    <row r="28" spans="1:96" ht="27.95" customHeight="1" x14ac:dyDescent="0.3">
      <c r="A28" s="62"/>
      <c r="B28" s="9" t="s">
        <v>29</v>
      </c>
      <c r="C28" s="9" t="s">
        <v>30</v>
      </c>
      <c r="D28" s="9" t="s">
        <v>97</v>
      </c>
      <c r="E28" s="12">
        <v>6.5215330000000002E-2</v>
      </c>
      <c r="F28" s="12">
        <f t="shared" si="6"/>
        <v>6.5215330000000002E-2</v>
      </c>
      <c r="G28" s="210"/>
      <c r="H28" s="28" t="s">
        <v>146</v>
      </c>
      <c r="I28" s="20">
        <v>40360</v>
      </c>
      <c r="J28" s="29" t="s">
        <v>155</v>
      </c>
      <c r="K28" s="21">
        <v>158</v>
      </c>
      <c r="L28" s="10" t="s">
        <v>152</v>
      </c>
      <c r="M28" s="20">
        <v>45170</v>
      </c>
      <c r="N28" s="10" t="s">
        <v>148</v>
      </c>
      <c r="O28" s="13"/>
      <c r="P28" s="68">
        <f t="shared" si="7"/>
        <v>0</v>
      </c>
      <c r="Q28" s="68">
        <f t="shared" si="8"/>
        <v>0</v>
      </c>
      <c r="R28" s="68">
        <f t="shared" si="9"/>
        <v>0</v>
      </c>
      <c r="S28" s="68">
        <f t="shared" si="10"/>
        <v>0</v>
      </c>
      <c r="T28" s="68">
        <f t="shared" si="11"/>
        <v>0</v>
      </c>
      <c r="U28" s="68">
        <f t="shared" si="12"/>
        <v>0</v>
      </c>
      <c r="V28" s="68">
        <f t="shared" si="13"/>
        <v>0</v>
      </c>
      <c r="W28" s="68">
        <f t="shared" si="14"/>
        <v>0</v>
      </c>
      <c r="X28" s="68">
        <f t="shared" si="15"/>
        <v>0</v>
      </c>
      <c r="Y28" s="68">
        <f t="shared" si="16"/>
        <v>0</v>
      </c>
      <c r="Z28" s="68">
        <f t="shared" si="17"/>
        <v>0</v>
      </c>
      <c r="AA28" s="68">
        <f t="shared" si="18"/>
        <v>0</v>
      </c>
      <c r="AB28" s="68">
        <f t="shared" si="19"/>
        <v>0</v>
      </c>
      <c r="AC28" s="68">
        <f t="shared" si="20"/>
        <v>0</v>
      </c>
      <c r="AD28" s="101"/>
      <c r="AG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Q28" s="107"/>
      <c r="CR28" s="108"/>
    </row>
    <row r="29" spans="1:96" ht="27.95" customHeight="1" x14ac:dyDescent="0.3">
      <c r="A29" s="62"/>
      <c r="B29" s="9" t="s">
        <v>25</v>
      </c>
      <c r="C29" s="9" t="s">
        <v>26</v>
      </c>
      <c r="D29" s="9" t="s">
        <v>97</v>
      </c>
      <c r="E29" s="12">
        <v>0</v>
      </c>
      <c r="F29" s="12">
        <f t="shared" si="6"/>
        <v>0</v>
      </c>
      <c r="G29" s="210"/>
      <c r="H29" s="28" t="s">
        <v>146</v>
      </c>
      <c r="I29" s="20">
        <v>38643</v>
      </c>
      <c r="J29" s="29" t="s">
        <v>155</v>
      </c>
      <c r="K29" s="21">
        <v>228</v>
      </c>
      <c r="L29" s="10" t="s">
        <v>153</v>
      </c>
      <c r="M29" s="20">
        <v>45583</v>
      </c>
      <c r="N29" s="10" t="s">
        <v>148</v>
      </c>
      <c r="O29" s="13"/>
      <c r="P29" s="68">
        <f t="shared" si="7"/>
        <v>0</v>
      </c>
      <c r="Q29" s="68">
        <f t="shared" si="8"/>
        <v>0.25028504944620072</v>
      </c>
      <c r="R29" s="68">
        <f t="shared" si="9"/>
        <v>0</v>
      </c>
      <c r="S29" s="68">
        <f t="shared" si="10"/>
        <v>0</v>
      </c>
      <c r="T29" s="68">
        <f t="shared" si="11"/>
        <v>0</v>
      </c>
      <c r="U29" s="68">
        <f t="shared" si="12"/>
        <v>0</v>
      </c>
      <c r="V29" s="68">
        <f t="shared" si="13"/>
        <v>0</v>
      </c>
      <c r="W29" s="68">
        <f t="shared" si="14"/>
        <v>0</v>
      </c>
      <c r="X29" s="68">
        <f t="shared" si="15"/>
        <v>0</v>
      </c>
      <c r="Y29" s="68">
        <f t="shared" si="16"/>
        <v>0</v>
      </c>
      <c r="Z29" s="68">
        <f t="shared" si="17"/>
        <v>0</v>
      </c>
      <c r="AA29" s="68">
        <f t="shared" si="18"/>
        <v>0</v>
      </c>
      <c r="AB29" s="68">
        <f t="shared" si="19"/>
        <v>0</v>
      </c>
      <c r="AC29" s="68">
        <f t="shared" si="20"/>
        <v>0</v>
      </c>
      <c r="AD29" s="101"/>
      <c r="AG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Q29" s="107"/>
      <c r="CR29" s="108"/>
    </row>
    <row r="30" spans="1:96" ht="27.95" customHeight="1" x14ac:dyDescent="0.3">
      <c r="A30" s="62"/>
      <c r="B30" s="171" t="s">
        <v>31</v>
      </c>
      <c r="C30" s="171"/>
      <c r="D30" s="171"/>
      <c r="E30" s="171"/>
      <c r="F30" s="172">
        <f>+SUM(F31:F33)</f>
        <v>32.058347810000001</v>
      </c>
      <c r="G30" s="171"/>
      <c r="H30" s="173"/>
      <c r="I30" s="171"/>
      <c r="J30" s="174"/>
      <c r="K30" s="171"/>
      <c r="L30" s="171"/>
      <c r="M30" s="171"/>
      <c r="N30" s="171"/>
      <c r="O30" s="24"/>
      <c r="P30" s="181">
        <f t="shared" ref="P30:AC30" si="21">+SUM(P31:P33)</f>
        <v>0</v>
      </c>
      <c r="Q30" s="181">
        <f t="shared" si="21"/>
        <v>3.2151080408927761</v>
      </c>
      <c r="R30" s="181">
        <f t="shared" si="21"/>
        <v>0</v>
      </c>
      <c r="S30" s="181">
        <f t="shared" si="21"/>
        <v>4.1975030762748116</v>
      </c>
      <c r="T30" s="181">
        <f t="shared" si="21"/>
        <v>0</v>
      </c>
      <c r="U30" s="181">
        <f t="shared" si="21"/>
        <v>3.9439760007958009</v>
      </c>
      <c r="V30" s="181">
        <f t="shared" si="21"/>
        <v>0</v>
      </c>
      <c r="W30" s="181">
        <f t="shared" si="21"/>
        <v>3.695427442442766</v>
      </c>
      <c r="X30" s="181">
        <f t="shared" si="21"/>
        <v>0</v>
      </c>
      <c r="Y30" s="181">
        <f t="shared" si="21"/>
        <v>3.5586127660309859</v>
      </c>
      <c r="Z30" s="181">
        <f t="shared" si="21"/>
        <v>0</v>
      </c>
      <c r="AA30" s="181">
        <f t="shared" si="21"/>
        <v>3.4364448899338496</v>
      </c>
      <c r="AB30" s="181">
        <f t="shared" si="21"/>
        <v>0</v>
      </c>
      <c r="AC30" s="181">
        <f t="shared" si="21"/>
        <v>2.8359247362355129</v>
      </c>
      <c r="AD30" s="102"/>
      <c r="AG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Q30" s="107"/>
      <c r="CR30" s="108"/>
    </row>
    <row r="31" spans="1:96" ht="27.95" customHeight="1" x14ac:dyDescent="0.3">
      <c r="A31" s="62"/>
      <c r="B31" s="9" t="s">
        <v>32</v>
      </c>
      <c r="C31" s="9" t="s">
        <v>33</v>
      </c>
      <c r="D31" s="9" t="s">
        <v>97</v>
      </c>
      <c r="E31" s="12">
        <v>24.983807840000001</v>
      </c>
      <c r="F31" s="12">
        <f>+IF($D31="USD",$E31,$E31/$C$52)</f>
        <v>24.983807840000001</v>
      </c>
      <c r="G31" s="208"/>
      <c r="H31" s="28" t="s">
        <v>146</v>
      </c>
      <c r="I31" s="20">
        <v>39706</v>
      </c>
      <c r="J31" s="29" t="s">
        <v>155</v>
      </c>
      <c r="K31" s="21">
        <v>360</v>
      </c>
      <c r="L31" s="10" t="s">
        <v>153</v>
      </c>
      <c r="M31" s="20">
        <v>50663</v>
      </c>
      <c r="N31" s="10" t="s">
        <v>148</v>
      </c>
      <c r="O31" s="13"/>
      <c r="P31" s="68">
        <f t="shared" ref="P31:AC33" si="22">+F84+F129</f>
        <v>0</v>
      </c>
      <c r="Q31" s="68">
        <f t="shared" si="22"/>
        <v>2.7748136905100136</v>
      </c>
      <c r="R31" s="68">
        <f t="shared" si="22"/>
        <v>0</v>
      </c>
      <c r="S31" s="68">
        <f t="shared" si="22"/>
        <v>3.3471531166670618</v>
      </c>
      <c r="T31" s="68">
        <f t="shared" si="22"/>
        <v>0</v>
      </c>
      <c r="U31" s="68">
        <f t="shared" si="22"/>
        <v>3.0883581281653556</v>
      </c>
      <c r="V31" s="68">
        <f t="shared" si="22"/>
        <v>0</v>
      </c>
      <c r="W31" s="68">
        <f t="shared" si="22"/>
        <v>2.8960743122323951</v>
      </c>
      <c r="X31" s="68">
        <f t="shared" si="22"/>
        <v>0</v>
      </c>
      <c r="Y31" s="68">
        <f t="shared" si="22"/>
        <v>2.7922164794095616</v>
      </c>
      <c r="Z31" s="68">
        <f t="shared" si="22"/>
        <v>0</v>
      </c>
      <c r="AA31" s="68">
        <f t="shared" si="22"/>
        <v>2.6959074555194471</v>
      </c>
      <c r="AB31" s="68">
        <f t="shared" si="22"/>
        <v>0</v>
      </c>
      <c r="AC31" s="68">
        <f t="shared" si="22"/>
        <v>2.2287346933574406</v>
      </c>
      <c r="AD31" s="101"/>
      <c r="AG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Q31" s="107"/>
      <c r="CR31" s="108"/>
    </row>
    <row r="32" spans="1:96" ht="27.95" customHeight="1" x14ac:dyDescent="0.3">
      <c r="A32" s="62"/>
      <c r="B32" s="9" t="s">
        <v>246</v>
      </c>
      <c r="C32" s="9" t="s">
        <v>170</v>
      </c>
      <c r="D32" s="9" t="s">
        <v>97</v>
      </c>
      <c r="E32" s="12">
        <v>4.8012928400000003</v>
      </c>
      <c r="F32" s="12">
        <f>+IF($D32="USD",$E32,$E32/$C$52)</f>
        <v>4.8012928400000003</v>
      </c>
      <c r="G32" s="208"/>
      <c r="H32" s="28" t="s">
        <v>146</v>
      </c>
      <c r="I32" s="161">
        <v>43918</v>
      </c>
      <c r="J32" s="29" t="s">
        <v>156</v>
      </c>
      <c r="K32" s="21">
        <v>180</v>
      </c>
      <c r="L32" s="10" t="s">
        <v>153</v>
      </c>
      <c r="M32" s="161">
        <v>49396</v>
      </c>
      <c r="N32" s="10" t="s">
        <v>148</v>
      </c>
      <c r="O32" s="13"/>
      <c r="P32" s="222">
        <f t="shared" si="22"/>
        <v>0</v>
      </c>
      <c r="Q32" s="222">
        <f t="shared" si="22"/>
        <v>0.3371442703827629</v>
      </c>
      <c r="R32" s="222">
        <f t="shared" si="22"/>
        <v>0</v>
      </c>
      <c r="S32" s="222">
        <f t="shared" si="22"/>
        <v>0.7194341696077492</v>
      </c>
      <c r="T32" s="222">
        <f t="shared" si="22"/>
        <v>0</v>
      </c>
      <c r="U32" s="222">
        <f t="shared" si="22"/>
        <v>0.64984779081897337</v>
      </c>
      <c r="V32" s="222">
        <f t="shared" si="22"/>
        <v>0</v>
      </c>
      <c r="W32" s="222">
        <f t="shared" si="22"/>
        <v>0.60785777839889887</v>
      </c>
      <c r="X32" s="222">
        <f t="shared" si="22"/>
        <v>0</v>
      </c>
      <c r="Y32" s="222">
        <f t="shared" si="22"/>
        <v>0.58118496480995252</v>
      </c>
      <c r="Z32" s="222">
        <f t="shared" si="22"/>
        <v>0</v>
      </c>
      <c r="AA32" s="222">
        <f t="shared" si="22"/>
        <v>0.56003478260293049</v>
      </c>
      <c r="AB32" s="222">
        <f t="shared" si="22"/>
        <v>0</v>
      </c>
      <c r="AC32" s="222">
        <f t="shared" si="22"/>
        <v>0.47751837272419784</v>
      </c>
      <c r="AD32" s="101"/>
      <c r="AG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Q32" s="107"/>
      <c r="CR32" s="108"/>
    </row>
    <row r="33" spans="1:96" ht="27.95" customHeight="1" x14ac:dyDescent="0.3">
      <c r="A33" s="62"/>
      <c r="B33" s="9" t="s">
        <v>144</v>
      </c>
      <c r="C33" s="9" t="s">
        <v>145</v>
      </c>
      <c r="D33" s="9" t="s">
        <v>97</v>
      </c>
      <c r="E33" s="12">
        <v>2.2732471300000001</v>
      </c>
      <c r="F33" s="12">
        <f>+IF($D33="USD",$E33,$E33/$C$52)</f>
        <v>2.2732471300000001</v>
      </c>
      <c r="G33" s="208"/>
      <c r="H33" s="28" t="s">
        <v>146</v>
      </c>
      <c r="I33" s="20">
        <v>44837</v>
      </c>
      <c r="J33" s="29" t="s">
        <v>156</v>
      </c>
      <c r="K33" s="21">
        <v>327</v>
      </c>
      <c r="L33" s="10" t="s">
        <v>153</v>
      </c>
      <c r="M33" s="20">
        <v>54803</v>
      </c>
      <c r="N33" s="10" t="s">
        <v>148</v>
      </c>
      <c r="O33" s="13"/>
      <c r="P33" s="68">
        <f t="shared" si="22"/>
        <v>0</v>
      </c>
      <c r="Q33" s="68">
        <f t="shared" si="22"/>
        <v>0.10315008000000001</v>
      </c>
      <c r="R33" s="68">
        <f t="shared" si="22"/>
        <v>0</v>
      </c>
      <c r="S33" s="68">
        <f t="shared" si="22"/>
        <v>0.13091579</v>
      </c>
      <c r="T33" s="68">
        <f t="shared" si="22"/>
        <v>0</v>
      </c>
      <c r="U33" s="68">
        <f t="shared" si="22"/>
        <v>0.20577008181147205</v>
      </c>
      <c r="V33" s="68">
        <f t="shared" si="22"/>
        <v>0</v>
      </c>
      <c r="W33" s="68">
        <f t="shared" si="22"/>
        <v>0.19149535181147204</v>
      </c>
      <c r="X33" s="68">
        <f t="shared" si="22"/>
        <v>0</v>
      </c>
      <c r="Y33" s="68">
        <f t="shared" si="22"/>
        <v>0.18521132181147204</v>
      </c>
      <c r="Z33" s="68">
        <f t="shared" si="22"/>
        <v>0</v>
      </c>
      <c r="AA33" s="68">
        <f t="shared" si="22"/>
        <v>0.18050265181147204</v>
      </c>
      <c r="AB33" s="68">
        <f t="shared" si="22"/>
        <v>0</v>
      </c>
      <c r="AC33" s="68">
        <f t="shared" si="22"/>
        <v>0.1296716701538746</v>
      </c>
      <c r="AD33" s="101"/>
      <c r="AG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Q33" s="107"/>
      <c r="CR33" s="108"/>
    </row>
    <row r="34" spans="1:96" ht="27.95" customHeight="1" x14ac:dyDescent="0.3">
      <c r="A34" s="62"/>
      <c r="B34" s="166" t="s">
        <v>91</v>
      </c>
      <c r="C34" s="166"/>
      <c r="D34" s="166"/>
      <c r="E34" s="166"/>
      <c r="F34" s="167">
        <f>+SUM(F35:F43)</f>
        <v>421.7542263731138</v>
      </c>
      <c r="G34" s="168">
        <f>+F34/$F$45</f>
        <v>0.67509717244508505</v>
      </c>
      <c r="H34" s="169"/>
      <c r="I34" s="166"/>
      <c r="J34" s="170"/>
      <c r="K34" s="166"/>
      <c r="L34" s="166"/>
      <c r="M34" s="166"/>
      <c r="N34" s="166"/>
      <c r="O34" s="23"/>
      <c r="P34" s="179">
        <f t="shared" ref="P34:AC34" si="23">+SUM(P35:P43)</f>
        <v>39408.164237529709</v>
      </c>
      <c r="Q34" s="179">
        <f t="shared" si="23"/>
        <v>103.75362912999999</v>
      </c>
      <c r="R34" s="179">
        <f t="shared" si="23"/>
        <v>41725.420434818981</v>
      </c>
      <c r="S34" s="179">
        <f t="shared" si="23"/>
        <v>99.171135674615385</v>
      </c>
      <c r="T34" s="179">
        <f t="shared" si="23"/>
        <v>15261.433612136845</v>
      </c>
      <c r="U34" s="179">
        <f t="shared" si="23"/>
        <v>94.58864221153847</v>
      </c>
      <c r="V34" s="179">
        <f t="shared" si="23"/>
        <v>7978.8825595874277</v>
      </c>
      <c r="W34" s="179">
        <f t="shared" si="23"/>
        <v>90.006148750000008</v>
      </c>
      <c r="X34" s="179">
        <f t="shared" si="23"/>
        <v>925.15622266227319</v>
      </c>
      <c r="Y34" s="179">
        <f t="shared" si="23"/>
        <v>85.423655288461546</v>
      </c>
      <c r="Z34" s="179">
        <f t="shared" si="23"/>
        <v>887.55202403935482</v>
      </c>
      <c r="AA34" s="179">
        <f t="shared" si="23"/>
        <v>40.993392596153853</v>
      </c>
      <c r="AB34" s="179">
        <f t="shared" si="23"/>
        <v>0</v>
      </c>
      <c r="AC34" s="179">
        <f t="shared" si="23"/>
        <v>0</v>
      </c>
      <c r="AD34" s="106"/>
      <c r="AG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row>
    <row r="35" spans="1:96" ht="27.95" customHeight="1" x14ac:dyDescent="0.3">
      <c r="A35" s="62"/>
      <c r="B35" s="9" t="s">
        <v>241</v>
      </c>
      <c r="C35" s="9" t="s">
        <v>121</v>
      </c>
      <c r="D35" s="9" t="s">
        <v>97</v>
      </c>
      <c r="E35" s="12">
        <v>358.62992308000003</v>
      </c>
      <c r="F35" s="12">
        <f t="shared" ref="F35:F43" si="24">+IF($D35="USD",$E35,$E35/$C$52)</f>
        <v>358.62992308000003</v>
      </c>
      <c r="G35" s="212"/>
      <c r="H35" s="28" t="s">
        <v>157</v>
      </c>
      <c r="I35" s="20">
        <v>43970</v>
      </c>
      <c r="J35" s="29">
        <v>5.7500000000000002E-2</v>
      </c>
      <c r="K35" s="21">
        <v>106</v>
      </c>
      <c r="L35" s="10" t="s">
        <v>153</v>
      </c>
      <c r="M35" s="20">
        <v>47196</v>
      </c>
      <c r="N35" s="10" t="s">
        <v>131</v>
      </c>
      <c r="O35" s="13"/>
      <c r="P35" s="68">
        <f t="shared" ref="P35:P43" si="25">+F88+F133</f>
        <v>0</v>
      </c>
      <c r="Q35" s="68">
        <f t="shared" ref="Q35:Q43" si="26">+G88+G133</f>
        <v>103.75362912999999</v>
      </c>
      <c r="R35" s="68">
        <f t="shared" ref="R35:R43" si="27">+H88+H133</f>
        <v>0</v>
      </c>
      <c r="S35" s="68">
        <f t="shared" ref="S35:S43" si="28">+I88+I133</f>
        <v>99.171135674615385</v>
      </c>
      <c r="T35" s="68">
        <f t="shared" ref="T35:T43" si="29">+J88+J133</f>
        <v>0</v>
      </c>
      <c r="U35" s="68">
        <f t="shared" ref="U35:U43" si="30">+K88+K133</f>
        <v>94.58864221153847</v>
      </c>
      <c r="V35" s="68">
        <f t="shared" ref="V35:V43" si="31">+L88+L133</f>
        <v>0</v>
      </c>
      <c r="W35" s="68">
        <f t="shared" ref="W35:W43" si="32">+M88+M133</f>
        <v>90.006148750000008</v>
      </c>
      <c r="X35" s="68">
        <f t="shared" ref="X35:X43" si="33">+N88+N133</f>
        <v>0</v>
      </c>
      <c r="Y35" s="68">
        <f t="shared" ref="Y35:Y43" si="34">+O88+O133</f>
        <v>85.423655288461546</v>
      </c>
      <c r="Z35" s="68">
        <f t="shared" ref="Z35:Z43" si="35">+P88+P133</f>
        <v>0</v>
      </c>
      <c r="AA35" s="68">
        <f t="shared" ref="AA35:AA43" si="36">+Q88+Q133</f>
        <v>40.993392596153853</v>
      </c>
      <c r="AB35" s="68">
        <f t="shared" ref="AB35:AB43" si="37">+R88+R133</f>
        <v>0</v>
      </c>
      <c r="AC35" s="68">
        <f t="shared" ref="AC35:AC43" si="38">+S88+S133</f>
        <v>0</v>
      </c>
      <c r="AD35" s="101"/>
      <c r="AG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Q35" s="107"/>
      <c r="CR35" s="108"/>
    </row>
    <row r="36" spans="1:96" ht="27.95" customHeight="1" x14ac:dyDescent="0.3">
      <c r="A36" s="62"/>
      <c r="B36" s="9" t="s">
        <v>233</v>
      </c>
      <c r="C36" s="9" t="s">
        <v>235</v>
      </c>
      <c r="D36" s="9" t="s">
        <v>237</v>
      </c>
      <c r="E36" s="201">
        <v>37314.775999999998</v>
      </c>
      <c r="F36" s="12">
        <f t="shared" si="24"/>
        <v>36.140218886198546</v>
      </c>
      <c r="G36" s="212"/>
      <c r="H36" s="28" t="s">
        <v>146</v>
      </c>
      <c r="I36" s="161">
        <v>45363</v>
      </c>
      <c r="J36" s="29" t="s">
        <v>238</v>
      </c>
      <c r="K36" s="21">
        <v>21</v>
      </c>
      <c r="L36" s="10" t="s">
        <v>239</v>
      </c>
      <c r="M36" s="161">
        <v>46003</v>
      </c>
      <c r="N36" s="10" t="s">
        <v>131</v>
      </c>
      <c r="O36" s="13"/>
      <c r="P36" s="68">
        <f t="shared" si="25"/>
        <v>0</v>
      </c>
      <c r="Q36" s="68">
        <f t="shared" si="26"/>
        <v>0</v>
      </c>
      <c r="R36" s="68">
        <f t="shared" si="27"/>
        <v>37314.775999999998</v>
      </c>
      <c r="S36" s="68">
        <f t="shared" si="28"/>
        <v>0</v>
      </c>
      <c r="T36" s="68">
        <f t="shared" si="29"/>
        <v>0</v>
      </c>
      <c r="U36" s="68">
        <f t="shared" si="30"/>
        <v>0</v>
      </c>
      <c r="V36" s="68">
        <f t="shared" si="31"/>
        <v>0</v>
      </c>
      <c r="W36" s="68">
        <f t="shared" si="32"/>
        <v>0</v>
      </c>
      <c r="X36" s="68">
        <f t="shared" si="33"/>
        <v>0</v>
      </c>
      <c r="Y36" s="68">
        <f t="shared" si="34"/>
        <v>0</v>
      </c>
      <c r="Z36" s="68">
        <f t="shared" si="35"/>
        <v>0</v>
      </c>
      <c r="AA36" s="68">
        <f t="shared" si="36"/>
        <v>0</v>
      </c>
      <c r="AB36" s="68">
        <f t="shared" si="37"/>
        <v>0</v>
      </c>
      <c r="AC36" s="68">
        <f t="shared" si="38"/>
        <v>0</v>
      </c>
      <c r="AD36" s="101"/>
      <c r="AG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row>
    <row r="37" spans="1:96" ht="27.95" customHeight="1" x14ac:dyDescent="0.3">
      <c r="A37" s="62"/>
      <c r="B37" s="9" t="s">
        <v>234</v>
      </c>
      <c r="C37" s="9" t="s">
        <v>236</v>
      </c>
      <c r="D37" s="9" t="s">
        <v>237</v>
      </c>
      <c r="E37" s="201">
        <v>20554.007399999999</v>
      </c>
      <c r="F37" s="12">
        <f t="shared" si="24"/>
        <v>19.90702895883777</v>
      </c>
      <c r="G37" s="212"/>
      <c r="H37" s="28" t="s">
        <v>146</v>
      </c>
      <c r="I37" s="161">
        <v>45363</v>
      </c>
      <c r="J37" s="29" t="s">
        <v>238</v>
      </c>
      <c r="K37" s="21">
        <v>36</v>
      </c>
      <c r="L37" s="10" t="s">
        <v>239</v>
      </c>
      <c r="M37" s="161">
        <v>46458</v>
      </c>
      <c r="N37" s="10" t="s">
        <v>131</v>
      </c>
      <c r="O37" s="13"/>
      <c r="P37" s="68">
        <f t="shared" si="25"/>
        <v>0</v>
      </c>
      <c r="Q37" s="68">
        <f t="shared" si="26"/>
        <v>0</v>
      </c>
      <c r="R37" s="68">
        <f t="shared" si="27"/>
        <v>0</v>
      </c>
      <c r="S37" s="68">
        <f t="shared" si="28"/>
        <v>0</v>
      </c>
      <c r="T37" s="68">
        <f t="shared" si="29"/>
        <v>13701.301332839999</v>
      </c>
      <c r="U37" s="68">
        <f t="shared" si="30"/>
        <v>0</v>
      </c>
      <c r="V37" s="68">
        <f t="shared" si="31"/>
        <v>6852.7060671600002</v>
      </c>
      <c r="W37" s="68">
        <f t="shared" si="32"/>
        <v>0</v>
      </c>
      <c r="X37" s="68">
        <f t="shared" si="33"/>
        <v>0</v>
      </c>
      <c r="Y37" s="68">
        <f t="shared" si="34"/>
        <v>0</v>
      </c>
      <c r="Z37" s="68">
        <f t="shared" si="35"/>
        <v>0</v>
      </c>
      <c r="AA37" s="68">
        <f t="shared" si="36"/>
        <v>0</v>
      </c>
      <c r="AB37" s="68">
        <f t="shared" si="37"/>
        <v>0</v>
      </c>
      <c r="AC37" s="68">
        <f t="shared" si="38"/>
        <v>0</v>
      </c>
      <c r="AD37" s="101"/>
      <c r="AG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row>
    <row r="38" spans="1:96" ht="27.95" customHeight="1" x14ac:dyDescent="0.3">
      <c r="A38" s="62"/>
      <c r="B38" s="9" t="s">
        <v>134</v>
      </c>
      <c r="C38" s="9" t="s">
        <v>135</v>
      </c>
      <c r="D38" s="9" t="s">
        <v>2</v>
      </c>
      <c r="E38" s="201">
        <v>4878.6538609999998</v>
      </c>
      <c r="F38" s="12">
        <f t="shared" si="24"/>
        <v>4.7250884852300237</v>
      </c>
      <c r="G38" s="212"/>
      <c r="H38" s="28" t="s">
        <v>146</v>
      </c>
      <c r="I38" s="20">
        <v>44635</v>
      </c>
      <c r="J38" s="29" t="s">
        <v>159</v>
      </c>
      <c r="K38" s="21">
        <v>108</v>
      </c>
      <c r="L38" s="10" t="s">
        <v>152</v>
      </c>
      <c r="M38" s="20">
        <v>47922</v>
      </c>
      <c r="N38" s="10" t="s">
        <v>131</v>
      </c>
      <c r="O38" s="13"/>
      <c r="P38" s="68">
        <f t="shared" si="25"/>
        <v>3043.0643110657461</v>
      </c>
      <c r="Q38" s="68">
        <f t="shared" si="26"/>
        <v>0</v>
      </c>
      <c r="R38" s="68">
        <f t="shared" si="27"/>
        <v>1664.3476172425662</v>
      </c>
      <c r="S38" s="68">
        <f t="shared" si="28"/>
        <v>0</v>
      </c>
      <c r="T38" s="68">
        <f t="shared" si="29"/>
        <v>1560.1322792968454</v>
      </c>
      <c r="U38" s="68">
        <f t="shared" si="30"/>
        <v>0</v>
      </c>
      <c r="V38" s="68">
        <f t="shared" si="31"/>
        <v>1126.1764924274275</v>
      </c>
      <c r="W38" s="68">
        <f t="shared" si="32"/>
        <v>0</v>
      </c>
      <c r="X38" s="68">
        <f t="shared" si="33"/>
        <v>925.15622266227319</v>
      </c>
      <c r="Y38" s="68">
        <f t="shared" si="34"/>
        <v>0</v>
      </c>
      <c r="Z38" s="68">
        <f t="shared" si="35"/>
        <v>887.55202403935482</v>
      </c>
      <c r="AA38" s="68">
        <f t="shared" si="36"/>
        <v>0</v>
      </c>
      <c r="AB38" s="68">
        <f t="shared" si="37"/>
        <v>0</v>
      </c>
      <c r="AC38" s="68">
        <f t="shared" si="38"/>
        <v>0</v>
      </c>
      <c r="AD38" s="101"/>
      <c r="AG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row>
    <row r="39" spans="1:96" ht="27.95" customHeight="1" x14ac:dyDescent="0.3">
      <c r="A39" s="62"/>
      <c r="B39" s="9" t="s">
        <v>163</v>
      </c>
      <c r="C39" s="9" t="s">
        <v>165</v>
      </c>
      <c r="D39" s="9" t="s">
        <v>2</v>
      </c>
      <c r="E39" s="201">
        <v>2017.5</v>
      </c>
      <c r="F39" s="12">
        <f t="shared" si="24"/>
        <v>1.9539951573849879</v>
      </c>
      <c r="G39" s="212"/>
      <c r="H39" s="28" t="s">
        <v>146</v>
      </c>
      <c r="I39" s="20">
        <v>45098</v>
      </c>
      <c r="J39" s="29" t="s">
        <v>167</v>
      </c>
      <c r="K39" s="21">
        <v>24</v>
      </c>
      <c r="L39" s="10" t="s">
        <v>152</v>
      </c>
      <c r="M39" s="20">
        <v>45829</v>
      </c>
      <c r="N39" s="10" t="s">
        <v>131</v>
      </c>
      <c r="O39" s="13"/>
      <c r="P39" s="68">
        <f t="shared" si="25"/>
        <v>7364.9909313199996</v>
      </c>
      <c r="Q39" s="68">
        <f t="shared" si="26"/>
        <v>0</v>
      </c>
      <c r="R39" s="68">
        <f t="shared" si="27"/>
        <v>2280.99144798</v>
      </c>
      <c r="S39" s="68">
        <f t="shared" si="28"/>
        <v>0</v>
      </c>
      <c r="T39" s="68">
        <f t="shared" si="29"/>
        <v>0</v>
      </c>
      <c r="U39" s="68">
        <f t="shared" si="30"/>
        <v>0</v>
      </c>
      <c r="V39" s="68">
        <f t="shared" si="31"/>
        <v>0</v>
      </c>
      <c r="W39" s="68">
        <f t="shared" si="32"/>
        <v>0</v>
      </c>
      <c r="X39" s="68">
        <f t="shared" si="33"/>
        <v>0</v>
      </c>
      <c r="Y39" s="68">
        <f t="shared" si="34"/>
        <v>0</v>
      </c>
      <c r="Z39" s="68">
        <f t="shared" si="35"/>
        <v>0</v>
      </c>
      <c r="AA39" s="68">
        <f t="shared" si="36"/>
        <v>0</v>
      </c>
      <c r="AB39" s="68">
        <f t="shared" si="37"/>
        <v>0</v>
      </c>
      <c r="AC39" s="68">
        <f t="shared" si="38"/>
        <v>0</v>
      </c>
      <c r="AD39" s="101"/>
      <c r="AG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row>
    <row r="40" spans="1:96" ht="27.95" customHeight="1" x14ac:dyDescent="0.3">
      <c r="A40" s="62"/>
      <c r="B40" s="9" t="s">
        <v>126</v>
      </c>
      <c r="C40" s="9" t="s">
        <v>127</v>
      </c>
      <c r="D40" s="9" t="s">
        <v>2</v>
      </c>
      <c r="E40" s="201">
        <v>403.84615385000001</v>
      </c>
      <c r="F40" s="12">
        <f t="shared" si="24"/>
        <v>0.3911342894430993</v>
      </c>
      <c r="G40" s="212"/>
      <c r="H40" s="28" t="s">
        <v>146</v>
      </c>
      <c r="I40" s="20">
        <v>44385</v>
      </c>
      <c r="J40" s="29" t="s">
        <v>160</v>
      </c>
      <c r="K40" s="21">
        <v>48</v>
      </c>
      <c r="L40" s="10" t="s">
        <v>152</v>
      </c>
      <c r="M40" s="20">
        <v>45805</v>
      </c>
      <c r="N40" s="10" t="s">
        <v>131</v>
      </c>
      <c r="O40" s="13"/>
      <c r="P40" s="68">
        <f t="shared" si="25"/>
        <v>1523.9279136986306</v>
      </c>
      <c r="Q40" s="68">
        <f t="shared" si="26"/>
        <v>0</v>
      </c>
      <c r="R40" s="68">
        <f t="shared" si="27"/>
        <v>456.37322287185049</v>
      </c>
      <c r="S40" s="68">
        <f t="shared" si="28"/>
        <v>0</v>
      </c>
      <c r="T40" s="68">
        <f t="shared" si="29"/>
        <v>0</v>
      </c>
      <c r="U40" s="68">
        <f t="shared" si="30"/>
        <v>0</v>
      </c>
      <c r="V40" s="68">
        <f t="shared" si="31"/>
        <v>0</v>
      </c>
      <c r="W40" s="68">
        <f t="shared" si="32"/>
        <v>0</v>
      </c>
      <c r="X40" s="68">
        <f t="shared" si="33"/>
        <v>0</v>
      </c>
      <c r="Y40" s="68">
        <f t="shared" si="34"/>
        <v>0</v>
      </c>
      <c r="Z40" s="68">
        <f t="shared" si="35"/>
        <v>0</v>
      </c>
      <c r="AA40" s="68">
        <f t="shared" si="36"/>
        <v>0</v>
      </c>
      <c r="AB40" s="68">
        <f t="shared" si="37"/>
        <v>0</v>
      </c>
      <c r="AC40" s="68">
        <f t="shared" si="38"/>
        <v>0</v>
      </c>
      <c r="AD40" s="101"/>
      <c r="AG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row>
    <row r="41" spans="1:96" ht="27.95" customHeight="1" x14ac:dyDescent="0.3">
      <c r="A41" s="62"/>
      <c r="B41" s="9" t="s">
        <v>34</v>
      </c>
      <c r="C41" s="9" t="s">
        <v>35</v>
      </c>
      <c r="D41" s="9" t="s">
        <v>2</v>
      </c>
      <c r="E41" s="201">
        <v>7.0597352899999999</v>
      </c>
      <c r="F41" s="12">
        <f t="shared" si="24"/>
        <v>6.8375160193704602E-3</v>
      </c>
      <c r="G41" s="212"/>
      <c r="H41" s="28" t="s">
        <v>146</v>
      </c>
      <c r="I41" s="20">
        <v>43494</v>
      </c>
      <c r="J41" s="29" t="s">
        <v>161</v>
      </c>
      <c r="K41" s="21">
        <v>84</v>
      </c>
      <c r="L41" s="10" t="s">
        <v>153</v>
      </c>
      <c r="M41" s="20">
        <v>45870</v>
      </c>
      <c r="N41" s="10" t="s">
        <v>131</v>
      </c>
      <c r="O41" s="13"/>
      <c r="P41" s="68">
        <f t="shared" si="25"/>
        <v>19.838762014617405</v>
      </c>
      <c r="Q41" s="68">
        <f t="shared" si="26"/>
        <v>0</v>
      </c>
      <c r="R41" s="68">
        <f t="shared" si="27"/>
        <v>8.932146724569785</v>
      </c>
      <c r="S41" s="68">
        <f t="shared" si="28"/>
        <v>0</v>
      </c>
      <c r="T41" s="68">
        <f t="shared" si="29"/>
        <v>0</v>
      </c>
      <c r="U41" s="68">
        <f t="shared" si="30"/>
        <v>0</v>
      </c>
      <c r="V41" s="68">
        <f t="shared" si="31"/>
        <v>0</v>
      </c>
      <c r="W41" s="68">
        <f t="shared" si="32"/>
        <v>0</v>
      </c>
      <c r="X41" s="68">
        <f t="shared" si="33"/>
        <v>0</v>
      </c>
      <c r="Y41" s="68">
        <f t="shared" si="34"/>
        <v>0</v>
      </c>
      <c r="Z41" s="68">
        <f t="shared" si="35"/>
        <v>0</v>
      </c>
      <c r="AA41" s="68">
        <f t="shared" si="36"/>
        <v>0</v>
      </c>
      <c r="AB41" s="68">
        <f t="shared" si="37"/>
        <v>0</v>
      </c>
      <c r="AC41" s="68">
        <f t="shared" si="38"/>
        <v>0</v>
      </c>
      <c r="AD41" s="101"/>
      <c r="AG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row>
    <row r="42" spans="1:96" ht="27.95" customHeight="1" x14ac:dyDescent="0.3">
      <c r="A42" s="62"/>
      <c r="B42" s="9" t="s">
        <v>132</v>
      </c>
      <c r="C42" s="9" t="s">
        <v>133</v>
      </c>
      <c r="D42" s="9" t="s">
        <v>2</v>
      </c>
      <c r="E42" s="201">
        <v>0</v>
      </c>
      <c r="F42" s="12">
        <f t="shared" si="24"/>
        <v>0</v>
      </c>
      <c r="G42" s="212"/>
      <c r="H42" s="28" t="s">
        <v>146</v>
      </c>
      <c r="I42" s="20">
        <v>44547</v>
      </c>
      <c r="J42" s="29" t="s">
        <v>158</v>
      </c>
      <c r="K42" s="21">
        <v>36</v>
      </c>
      <c r="L42" s="10" t="s">
        <v>153</v>
      </c>
      <c r="M42" s="20">
        <v>45643</v>
      </c>
      <c r="N42" s="10" t="s">
        <v>131</v>
      </c>
      <c r="O42" s="13"/>
      <c r="P42" s="68">
        <f t="shared" si="25"/>
        <v>24839.673168402343</v>
      </c>
      <c r="Q42" s="68">
        <f t="shared" si="26"/>
        <v>0</v>
      </c>
      <c r="R42" s="68">
        <f t="shared" si="27"/>
        <v>0</v>
      </c>
      <c r="S42" s="68">
        <f t="shared" si="28"/>
        <v>0</v>
      </c>
      <c r="T42" s="68">
        <f t="shared" si="29"/>
        <v>0</v>
      </c>
      <c r="U42" s="68">
        <f t="shared" si="30"/>
        <v>0</v>
      </c>
      <c r="V42" s="68">
        <f t="shared" si="31"/>
        <v>0</v>
      </c>
      <c r="W42" s="68">
        <f t="shared" si="32"/>
        <v>0</v>
      </c>
      <c r="X42" s="68">
        <f t="shared" si="33"/>
        <v>0</v>
      </c>
      <c r="Y42" s="68">
        <f t="shared" si="34"/>
        <v>0</v>
      </c>
      <c r="Z42" s="68">
        <f t="shared" si="35"/>
        <v>0</v>
      </c>
      <c r="AA42" s="68">
        <f t="shared" si="36"/>
        <v>0</v>
      </c>
      <c r="AB42" s="68">
        <f t="shared" si="37"/>
        <v>0</v>
      </c>
      <c r="AC42" s="68">
        <f t="shared" si="38"/>
        <v>0</v>
      </c>
      <c r="AD42" s="101"/>
      <c r="AG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row>
    <row r="43" spans="1:96" ht="27.95" customHeight="1" x14ac:dyDescent="0.3">
      <c r="A43" s="62"/>
      <c r="B43" s="9" t="s">
        <v>243</v>
      </c>
      <c r="C43" s="9" t="s">
        <v>166</v>
      </c>
      <c r="D43" s="9" t="s">
        <v>2</v>
      </c>
      <c r="E43" s="201">
        <v>0</v>
      </c>
      <c r="F43" s="12">
        <f t="shared" si="24"/>
        <v>0</v>
      </c>
      <c r="G43" s="212"/>
      <c r="H43" s="28" t="s">
        <v>146</v>
      </c>
      <c r="I43" s="20">
        <v>45098</v>
      </c>
      <c r="J43" s="29" t="s">
        <v>168</v>
      </c>
      <c r="K43" s="21">
        <v>18</v>
      </c>
      <c r="L43" s="10" t="s">
        <v>152</v>
      </c>
      <c r="M43" s="20">
        <v>45647</v>
      </c>
      <c r="N43" s="10" t="s">
        <v>131</v>
      </c>
      <c r="O43" s="13"/>
      <c r="P43" s="68">
        <f t="shared" si="25"/>
        <v>2616.6691510283699</v>
      </c>
      <c r="Q43" s="68">
        <f t="shared" si="26"/>
        <v>0</v>
      </c>
      <c r="R43" s="68">
        <f t="shared" si="27"/>
        <v>0</v>
      </c>
      <c r="S43" s="68">
        <f t="shared" si="28"/>
        <v>0</v>
      </c>
      <c r="T43" s="68">
        <f t="shared" si="29"/>
        <v>0</v>
      </c>
      <c r="U43" s="68">
        <f t="shared" si="30"/>
        <v>0</v>
      </c>
      <c r="V43" s="68">
        <f t="shared" si="31"/>
        <v>0</v>
      </c>
      <c r="W43" s="68">
        <f t="shared" si="32"/>
        <v>0</v>
      </c>
      <c r="X43" s="68">
        <f t="shared" si="33"/>
        <v>0</v>
      </c>
      <c r="Y43" s="68">
        <f t="shared" si="34"/>
        <v>0</v>
      </c>
      <c r="Z43" s="68">
        <f t="shared" si="35"/>
        <v>0</v>
      </c>
      <c r="AA43" s="68">
        <f t="shared" si="36"/>
        <v>0</v>
      </c>
      <c r="AB43" s="68">
        <f t="shared" si="37"/>
        <v>0</v>
      </c>
      <c r="AC43" s="68">
        <f t="shared" si="38"/>
        <v>0</v>
      </c>
      <c r="AD43" s="101"/>
      <c r="AG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row>
    <row r="44" spans="1:96" ht="6.75" customHeight="1" x14ac:dyDescent="0.3">
      <c r="A44" s="62"/>
      <c r="B44" s="15"/>
      <c r="C44" s="13"/>
      <c r="D44" s="13"/>
      <c r="E44" s="13"/>
      <c r="F44" s="135"/>
      <c r="G44" s="13"/>
      <c r="H44" s="13"/>
      <c r="I44" s="13"/>
      <c r="J44" s="13"/>
      <c r="K44" s="13"/>
      <c r="L44" s="13"/>
      <c r="M44" s="13"/>
      <c r="N44" s="13"/>
      <c r="O44" s="13"/>
      <c r="P44" s="69"/>
      <c r="Q44" s="69"/>
      <c r="R44" s="69"/>
      <c r="S44" s="69"/>
      <c r="T44" s="69"/>
      <c r="U44" s="69"/>
      <c r="V44" s="70"/>
      <c r="W44" s="70"/>
      <c r="X44" s="70"/>
      <c r="Y44" s="70"/>
      <c r="Z44" s="70"/>
      <c r="AA44" s="70"/>
      <c r="AB44" s="70"/>
      <c r="AC44" s="70"/>
      <c r="AD44" s="70"/>
      <c r="AG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row>
    <row r="45" spans="1:96" ht="29.25" customHeight="1" x14ac:dyDescent="0.3">
      <c r="B45" s="296" t="s">
        <v>48</v>
      </c>
      <c r="C45" s="297"/>
      <c r="D45" s="297"/>
      <c r="E45" s="93"/>
      <c r="F45" s="26">
        <f>+SUM($F$9,$F$15,$F$17,$F$34)</f>
        <v>624.73114032694434</v>
      </c>
      <c r="G45" s="229"/>
      <c r="H45" s="27"/>
      <c r="I45" s="25"/>
      <c r="J45" s="25"/>
      <c r="K45" s="25"/>
      <c r="L45" s="25"/>
      <c r="M45" s="25"/>
      <c r="N45" s="25"/>
      <c r="O45" s="25"/>
      <c r="P45" s="180">
        <f t="shared" ref="P45:AC45" si="39">+P34+P17+P15+P9</f>
        <v>54826.867208328862</v>
      </c>
      <c r="Q45" s="180">
        <f t="shared" si="39"/>
        <v>130.71939450674998</v>
      </c>
      <c r="R45" s="180">
        <f t="shared" si="39"/>
        <v>49111.449585270821</v>
      </c>
      <c r="S45" s="180">
        <f t="shared" si="39"/>
        <v>128.41360124409044</v>
      </c>
      <c r="T45" s="180">
        <f t="shared" si="39"/>
        <v>20768.992790374483</v>
      </c>
      <c r="U45" s="180">
        <f t="shared" si="39"/>
        <v>117.46732523032114</v>
      </c>
      <c r="V45" s="180">
        <f t="shared" si="39"/>
        <v>10050.575689493326</v>
      </c>
      <c r="W45" s="180">
        <f t="shared" si="39"/>
        <v>111.45939660661197</v>
      </c>
      <c r="X45" s="180">
        <f t="shared" si="39"/>
        <v>1115.841157614283</v>
      </c>
      <c r="Y45" s="180">
        <f t="shared" si="39"/>
        <v>105.56861527546079</v>
      </c>
      <c r="Z45" s="180">
        <f t="shared" si="39"/>
        <v>1067.4506837197298</v>
      </c>
      <c r="AA45" s="180">
        <f t="shared" si="39"/>
        <v>59.757399434635744</v>
      </c>
      <c r="AB45" s="180">
        <f t="shared" si="39"/>
        <v>145.87210498622275</v>
      </c>
      <c r="AC45" s="180">
        <f t="shared" si="39"/>
        <v>15.66746077403894</v>
      </c>
      <c r="AD45" s="103"/>
      <c r="AG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row>
    <row r="46" spans="1:96" x14ac:dyDescent="0.3">
      <c r="B46" s="27"/>
      <c r="C46" s="27"/>
      <c r="D46" s="27"/>
      <c r="E46" s="16"/>
      <c r="F46" s="112"/>
      <c r="G46" s="206"/>
      <c r="H46" s="27"/>
      <c r="I46" s="27"/>
      <c r="J46" s="27"/>
      <c r="K46" s="27"/>
      <c r="L46" s="27"/>
      <c r="M46" s="27"/>
      <c r="N46" s="27"/>
      <c r="O46" s="86"/>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row>
    <row r="47" spans="1:96" x14ac:dyDescent="0.3">
      <c r="B47" s="15"/>
      <c r="C47" s="13"/>
      <c r="D47" s="13"/>
      <c r="E47" s="16"/>
      <c r="F47" s="112"/>
      <c r="G47" s="27"/>
      <c r="H47" s="27"/>
      <c r="I47" s="27"/>
      <c r="J47" s="27"/>
      <c r="K47" s="27"/>
      <c r="L47" s="27"/>
      <c r="M47" s="27"/>
      <c r="N47" s="27"/>
      <c r="O47" s="27"/>
      <c r="P47" s="110"/>
      <c r="Q47" s="110"/>
      <c r="R47" s="110"/>
      <c r="S47" s="110"/>
      <c r="T47" s="110"/>
      <c r="U47" s="110"/>
      <c r="V47" s="110"/>
      <c r="W47" s="110"/>
      <c r="X47" s="110"/>
      <c r="Y47" s="110"/>
      <c r="Z47" s="110"/>
      <c r="AA47" s="110"/>
      <c r="AB47" s="110"/>
      <c r="AC47" s="110"/>
      <c r="AD47" s="110"/>
      <c r="AE47" s="110"/>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row>
    <row r="48" spans="1:96" x14ac:dyDescent="0.3">
      <c r="B48" s="302" t="s">
        <v>242</v>
      </c>
      <c r="C48" s="302"/>
      <c r="D48" s="302"/>
      <c r="E48" s="302"/>
      <c r="F48" s="302"/>
      <c r="G48" s="302"/>
      <c r="H48" s="302"/>
      <c r="I48" s="302"/>
      <c r="J48" s="302"/>
      <c r="K48" s="302"/>
      <c r="L48" s="302"/>
      <c r="M48" s="302"/>
      <c r="N48" s="302"/>
      <c r="O48" s="27"/>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row>
    <row r="49" spans="1:96" x14ac:dyDescent="0.3">
      <c r="B49" s="302" t="s">
        <v>244</v>
      </c>
      <c r="C49" s="302"/>
      <c r="D49" s="302"/>
      <c r="E49" s="302"/>
      <c r="F49" s="302"/>
      <c r="G49" s="302"/>
      <c r="H49" s="302"/>
      <c r="I49" s="302"/>
      <c r="J49" s="302"/>
      <c r="K49" s="302"/>
      <c r="L49" s="302"/>
      <c r="M49" s="302"/>
      <c r="N49" s="302"/>
      <c r="O49" s="27"/>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row>
    <row r="50" spans="1:96" x14ac:dyDescent="0.3">
      <c r="B50" s="302" t="s">
        <v>245</v>
      </c>
      <c r="C50" s="302"/>
      <c r="D50" s="302"/>
      <c r="E50" s="302"/>
      <c r="F50" s="302"/>
      <c r="G50" s="302"/>
      <c r="H50" s="302"/>
      <c r="I50" s="302"/>
      <c r="J50" s="302"/>
      <c r="K50" s="302"/>
      <c r="L50" s="302"/>
      <c r="M50" s="302"/>
      <c r="N50" s="302"/>
      <c r="O50" s="27"/>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row>
    <row r="51" spans="1:96" x14ac:dyDescent="0.3">
      <c r="B51" s="27"/>
      <c r="C51" s="27"/>
      <c r="D51" s="27"/>
      <c r="E51" s="27"/>
      <c r="F51" s="112"/>
      <c r="G51" s="27"/>
      <c r="H51" s="27"/>
      <c r="I51" s="27"/>
      <c r="J51" s="27"/>
      <c r="K51" s="27"/>
      <c r="L51" s="27"/>
      <c r="M51" s="27"/>
      <c r="N51" s="27"/>
      <c r="O51" s="27"/>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row>
    <row r="52" spans="1:96" x14ac:dyDescent="0.3">
      <c r="B52" s="175" t="s">
        <v>50</v>
      </c>
      <c r="C52" s="203">
        <v>1032.5</v>
      </c>
      <c r="D52" s="27"/>
      <c r="E52" s="27"/>
      <c r="F52" s="112"/>
      <c r="G52" s="27"/>
      <c r="H52" s="27"/>
      <c r="I52" s="27"/>
      <c r="J52" s="27"/>
      <c r="K52" s="27"/>
      <c r="L52" s="27"/>
      <c r="M52" s="27"/>
      <c r="N52" s="27"/>
      <c r="O52" s="27"/>
      <c r="P52" s="27"/>
      <c r="Q52" s="27"/>
      <c r="R52" s="27"/>
      <c r="S52" s="27"/>
      <c r="T52" s="27"/>
      <c r="U52" s="27"/>
      <c r="V52" s="27"/>
      <c r="W52" s="27"/>
      <c r="X52" s="27"/>
      <c r="Y52" s="27"/>
      <c r="Z52" s="27"/>
    </row>
    <row r="53" spans="1:96" x14ac:dyDescent="0.3">
      <c r="B53" s="175" t="s">
        <v>49</v>
      </c>
      <c r="C53" s="204">
        <v>0.31937500000000002</v>
      </c>
      <c r="D53" s="27"/>
      <c r="E53" s="57"/>
      <c r="F53" s="112"/>
      <c r="G53" s="27"/>
      <c r="H53" s="27"/>
      <c r="I53" s="27"/>
      <c r="J53" s="27"/>
      <c r="K53" s="27"/>
      <c r="L53" s="27"/>
      <c r="M53" s="27"/>
      <c r="N53" s="27"/>
      <c r="O53" s="27"/>
      <c r="P53" s="27"/>
      <c r="Q53" s="27"/>
      <c r="R53" s="27"/>
      <c r="S53" s="27"/>
      <c r="T53" s="27"/>
      <c r="U53" s="27"/>
      <c r="V53" s="27"/>
      <c r="W53" s="27"/>
      <c r="X53" s="27"/>
      <c r="Y53" s="27"/>
      <c r="Z53" s="27"/>
    </row>
    <row r="54" spans="1:96" x14ac:dyDescent="0.3">
      <c r="B54" s="175" t="s">
        <v>188</v>
      </c>
      <c r="C54" s="256">
        <v>515.12190137603056</v>
      </c>
      <c r="D54" s="27"/>
      <c r="E54" s="27"/>
      <c r="G54" s="27"/>
      <c r="H54" s="27"/>
      <c r="I54" s="27"/>
      <c r="J54" s="27"/>
      <c r="K54" s="27"/>
      <c r="L54" s="27"/>
      <c r="M54" s="27"/>
      <c r="N54" s="27"/>
      <c r="O54" s="27"/>
      <c r="P54" s="27"/>
      <c r="Q54" s="27"/>
      <c r="R54" s="27"/>
      <c r="S54" s="27"/>
      <c r="T54" s="27"/>
      <c r="U54" s="27"/>
      <c r="V54" s="27"/>
      <c r="W54" s="27"/>
      <c r="X54" s="27"/>
      <c r="Y54" s="27"/>
      <c r="Z54" s="27"/>
    </row>
    <row r="55" spans="1:96" x14ac:dyDescent="0.3">
      <c r="D55" s="27"/>
      <c r="Q55" s="19"/>
      <c r="R55" s="19"/>
      <c r="S55" s="19"/>
      <c r="T55" s="19"/>
      <c r="U55" s="19"/>
      <c r="V55" s="19"/>
      <c r="W55" s="19"/>
      <c r="X55" s="19"/>
      <c r="Y55" s="19"/>
      <c r="Z55" s="19"/>
      <c r="AA55" s="19"/>
      <c r="AB55" s="19"/>
      <c r="AC55" s="19"/>
      <c r="AD55" s="19"/>
      <c r="AE55" s="19"/>
      <c r="AF55" s="19"/>
      <c r="AG55" s="19"/>
      <c r="AH55" s="19"/>
      <c r="AI55" s="19"/>
      <c r="AJ55" s="19"/>
      <c r="AK55" s="19"/>
    </row>
    <row r="57" spans="1:96" ht="20.25" x14ac:dyDescent="0.3">
      <c r="B57" s="286" t="s">
        <v>42</v>
      </c>
      <c r="C57" s="286"/>
      <c r="D57" s="286"/>
      <c r="E57" s="286"/>
      <c r="F57" s="286"/>
      <c r="G57" s="286"/>
      <c r="H57" s="286"/>
      <c r="I57" s="286"/>
      <c r="J57" s="286"/>
      <c r="K57" s="286"/>
      <c r="L57" s="286"/>
      <c r="M57" s="286"/>
      <c r="N57" s="286"/>
      <c r="O57" s="286"/>
      <c r="P57" s="286"/>
      <c r="Q57" s="286"/>
      <c r="R57" s="286"/>
      <c r="S57" s="286"/>
      <c r="T57" s="286"/>
      <c r="U57" s="286"/>
    </row>
    <row r="58" spans="1:96" ht="17.25" x14ac:dyDescent="0.3">
      <c r="B58" s="162" t="s">
        <v>46</v>
      </c>
      <c r="C58" s="2"/>
      <c r="D58" s="2"/>
      <c r="E58" s="2"/>
      <c r="F58" s="134"/>
      <c r="G58" s="2"/>
      <c r="H58" s="2"/>
      <c r="I58" s="2"/>
      <c r="J58" s="2"/>
      <c r="K58" s="2"/>
      <c r="L58" s="2"/>
      <c r="M58" s="2"/>
      <c r="N58" s="2"/>
      <c r="O58" s="2"/>
      <c r="P58" s="2"/>
      <c r="Q58" s="2"/>
      <c r="R58" s="2"/>
      <c r="S58" s="2"/>
      <c r="T58" s="2"/>
      <c r="U58" s="2"/>
    </row>
    <row r="59" spans="1:96" x14ac:dyDescent="0.3">
      <c r="G59" s="136"/>
      <c r="H59" s="136"/>
      <c r="I59" s="136"/>
      <c r="J59" s="136"/>
      <c r="K59" s="136"/>
      <c r="L59" s="136"/>
      <c r="M59" s="136"/>
      <c r="N59" s="136"/>
      <c r="O59" s="136"/>
      <c r="P59" s="136"/>
      <c r="Q59" s="136"/>
      <c r="R59" s="136"/>
      <c r="S59" s="136"/>
    </row>
    <row r="60" spans="1:96" ht="32.25" customHeight="1" x14ac:dyDescent="0.3">
      <c r="F60" s="176">
        <v>2024</v>
      </c>
      <c r="G60" s="176">
        <v>2024</v>
      </c>
      <c r="H60" s="176">
        <v>2025</v>
      </c>
      <c r="I60" s="176">
        <v>2025</v>
      </c>
      <c r="J60" s="176">
        <v>2026</v>
      </c>
      <c r="K60" s="176">
        <v>2026</v>
      </c>
      <c r="L60" s="176">
        <v>2027</v>
      </c>
      <c r="M60" s="176">
        <v>2027</v>
      </c>
      <c r="N60" s="176">
        <v>2028</v>
      </c>
      <c r="O60" s="176">
        <v>2028</v>
      </c>
      <c r="P60" s="176">
        <v>2029</v>
      </c>
      <c r="Q60" s="176">
        <v>2029</v>
      </c>
      <c r="R60" s="177" t="s">
        <v>171</v>
      </c>
      <c r="S60" s="177" t="s">
        <v>171</v>
      </c>
      <c r="T60" s="104"/>
      <c r="AA60" s="105"/>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row>
    <row r="61" spans="1:96" ht="33.75" customHeight="1" x14ac:dyDescent="0.3">
      <c r="B61" s="163" t="s">
        <v>0</v>
      </c>
      <c r="C61" s="163" t="s">
        <v>1</v>
      </c>
      <c r="D61" s="164" t="s">
        <v>130</v>
      </c>
      <c r="E61" s="164" t="s">
        <v>93</v>
      </c>
      <c r="F61" s="163" t="s">
        <v>2</v>
      </c>
      <c r="G61" s="178" t="s">
        <v>97</v>
      </c>
      <c r="H61" s="163" t="s">
        <v>2</v>
      </c>
      <c r="I61" s="178" t="s">
        <v>97</v>
      </c>
      <c r="J61" s="163" t="s">
        <v>2</v>
      </c>
      <c r="K61" s="178" t="s">
        <v>97</v>
      </c>
      <c r="L61" s="163" t="s">
        <v>2</v>
      </c>
      <c r="M61" s="178" t="s">
        <v>97</v>
      </c>
      <c r="N61" s="163" t="s">
        <v>2</v>
      </c>
      <c r="O61" s="178" t="s">
        <v>97</v>
      </c>
      <c r="P61" s="163" t="s">
        <v>2</v>
      </c>
      <c r="Q61" s="178" t="s">
        <v>97</v>
      </c>
      <c r="R61" s="163" t="s">
        <v>2</v>
      </c>
      <c r="S61" s="163" t="s">
        <v>97</v>
      </c>
      <c r="T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row>
    <row r="62" spans="1:96" ht="27.95" customHeight="1" x14ac:dyDescent="0.3">
      <c r="B62" s="166" t="s">
        <v>87</v>
      </c>
      <c r="C62" s="166"/>
      <c r="D62" s="166"/>
      <c r="E62" s="166"/>
      <c r="F62" s="179">
        <f t="shared" ref="F62:S62" si="40">+SUM(F63:F67)</f>
        <v>1584.9648893973915</v>
      </c>
      <c r="G62" s="179">
        <f t="shared" si="40"/>
        <v>0</v>
      </c>
      <c r="H62" s="179">
        <f t="shared" si="40"/>
        <v>331.97944558950837</v>
      </c>
      <c r="I62" s="179">
        <f t="shared" si="40"/>
        <v>0</v>
      </c>
      <c r="J62" s="179">
        <f t="shared" si="40"/>
        <v>182.71567258355927</v>
      </c>
      <c r="K62" s="179">
        <f t="shared" si="40"/>
        <v>0</v>
      </c>
      <c r="L62" s="179">
        <f t="shared" si="40"/>
        <v>135.97040516404445</v>
      </c>
      <c r="M62" s="179">
        <f t="shared" si="40"/>
        <v>0</v>
      </c>
      <c r="N62" s="179">
        <f t="shared" si="40"/>
        <v>135.97040516404445</v>
      </c>
      <c r="O62" s="179">
        <f t="shared" si="40"/>
        <v>0</v>
      </c>
      <c r="P62" s="179">
        <f t="shared" si="40"/>
        <v>135.97040516404445</v>
      </c>
      <c r="Q62" s="179">
        <f t="shared" si="40"/>
        <v>0</v>
      </c>
      <c r="R62" s="179">
        <f t="shared" si="40"/>
        <v>127.47225484129167</v>
      </c>
      <c r="S62" s="179">
        <f t="shared" si="40"/>
        <v>0</v>
      </c>
      <c r="T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row>
    <row r="63" spans="1:96" ht="27.95" customHeight="1" x14ac:dyDescent="0.3">
      <c r="A63" s="62"/>
      <c r="B63" s="154" t="s">
        <v>189</v>
      </c>
      <c r="C63" s="154" t="s">
        <v>240</v>
      </c>
      <c r="D63" s="154" t="str">
        <f>+VLOOKUP($C63,$C$10:$D$43,2,FALSE)</f>
        <v>Pesos</v>
      </c>
      <c r="E63" s="154" t="s">
        <v>87</v>
      </c>
      <c r="F63" s="200">
        <v>28.735105787524173</v>
      </c>
      <c r="G63" s="200">
        <v>0</v>
      </c>
      <c r="H63" s="200">
        <v>135.4638767040299</v>
      </c>
      <c r="I63" s="200">
        <v>0</v>
      </c>
      <c r="J63" s="200">
        <v>135.97040516404445</v>
      </c>
      <c r="K63" s="200">
        <v>0</v>
      </c>
      <c r="L63" s="200">
        <v>135.97040516404445</v>
      </c>
      <c r="M63" s="200">
        <v>0</v>
      </c>
      <c r="N63" s="200">
        <v>135.97040516404445</v>
      </c>
      <c r="O63" s="200">
        <v>0</v>
      </c>
      <c r="P63" s="200">
        <v>135.97040516404445</v>
      </c>
      <c r="Q63" s="200">
        <v>0</v>
      </c>
      <c r="R63" s="200">
        <v>127.47225484129167</v>
      </c>
      <c r="S63" s="200">
        <v>0</v>
      </c>
      <c r="U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row>
    <row r="64" spans="1:96" ht="27.95" customHeight="1" x14ac:dyDescent="0.3">
      <c r="A64" s="62"/>
      <c r="B64" s="154" t="s">
        <v>5</v>
      </c>
      <c r="C64" s="154" t="s">
        <v>6</v>
      </c>
      <c r="D64" s="154" t="str">
        <f>+VLOOKUP($C64,$C$10:$D$43,2,FALSE)</f>
        <v>Pesos</v>
      </c>
      <c r="E64" s="154" t="s">
        <v>87</v>
      </c>
      <c r="F64" s="200">
        <v>141.27839653366024</v>
      </c>
      <c r="G64" s="200">
        <v>0</v>
      </c>
      <c r="H64" s="200">
        <v>155.51720659000003</v>
      </c>
      <c r="I64" s="200">
        <v>0</v>
      </c>
      <c r="J64" s="200">
        <v>25.947641350000001</v>
      </c>
      <c r="K64" s="200">
        <v>0</v>
      </c>
      <c r="L64" s="200">
        <v>0</v>
      </c>
      <c r="M64" s="200">
        <v>0</v>
      </c>
      <c r="N64" s="200">
        <v>0</v>
      </c>
      <c r="O64" s="200">
        <v>0</v>
      </c>
      <c r="P64" s="200">
        <v>0</v>
      </c>
      <c r="Q64" s="200">
        <v>0</v>
      </c>
      <c r="R64" s="200">
        <v>0</v>
      </c>
      <c r="S64" s="200">
        <v>0</v>
      </c>
      <c r="U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row>
    <row r="65" spans="1:72" ht="27.95" customHeight="1" x14ac:dyDescent="0.3">
      <c r="A65" s="62"/>
      <c r="B65" s="154" t="s">
        <v>7</v>
      </c>
      <c r="C65" s="154" t="s">
        <v>8</v>
      </c>
      <c r="D65" s="154" t="str">
        <f>+VLOOKUP($C65,$C$10:$D$43,2,FALSE)</f>
        <v>Pesos</v>
      </c>
      <c r="E65" s="154" t="s">
        <v>87</v>
      </c>
      <c r="F65" s="200">
        <v>22.07745753</v>
      </c>
      <c r="G65" s="200">
        <v>0</v>
      </c>
      <c r="H65" s="200">
        <v>24.199206670000002</v>
      </c>
      <c r="I65" s="200">
        <v>0</v>
      </c>
      <c r="J65" s="200">
        <v>19.39617823</v>
      </c>
      <c r="K65" s="200">
        <v>0</v>
      </c>
      <c r="L65" s="200">
        <v>0</v>
      </c>
      <c r="M65" s="200">
        <v>0</v>
      </c>
      <c r="N65" s="200">
        <v>0</v>
      </c>
      <c r="O65" s="200">
        <v>0</v>
      </c>
      <c r="P65" s="200">
        <v>0</v>
      </c>
      <c r="Q65" s="200">
        <v>0</v>
      </c>
      <c r="R65" s="200">
        <v>0</v>
      </c>
      <c r="S65" s="200">
        <v>0</v>
      </c>
      <c r="U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row>
    <row r="66" spans="1:72" ht="27.95" customHeight="1" x14ac:dyDescent="0.3">
      <c r="A66" s="62"/>
      <c r="B66" s="154" t="s">
        <v>9</v>
      </c>
      <c r="C66" s="154" t="s">
        <v>10</v>
      </c>
      <c r="D66" s="154" t="str">
        <f>+VLOOKUP($C66,$C$10:$D$43,2,FALSE)</f>
        <v>Pesos</v>
      </c>
      <c r="E66" s="154" t="s">
        <v>87</v>
      </c>
      <c r="F66" s="200">
        <v>15.26106229345044</v>
      </c>
      <c r="G66" s="200">
        <v>0</v>
      </c>
      <c r="H66" s="200">
        <v>16.799155625478416</v>
      </c>
      <c r="I66" s="200">
        <v>0</v>
      </c>
      <c r="J66" s="200">
        <v>1.4014478395148204</v>
      </c>
      <c r="K66" s="200">
        <v>0</v>
      </c>
      <c r="L66" s="200">
        <v>0</v>
      </c>
      <c r="M66" s="200">
        <v>0</v>
      </c>
      <c r="N66" s="200">
        <v>0</v>
      </c>
      <c r="O66" s="200">
        <v>0</v>
      </c>
      <c r="P66" s="200">
        <v>0</v>
      </c>
      <c r="Q66" s="200">
        <v>0</v>
      </c>
      <c r="R66" s="200">
        <v>0</v>
      </c>
      <c r="S66" s="200">
        <v>0</v>
      </c>
      <c r="U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row>
    <row r="67" spans="1:72" ht="27.95" customHeight="1" x14ac:dyDescent="0.3">
      <c r="A67" s="62"/>
      <c r="B67" s="154" t="s">
        <v>3</v>
      </c>
      <c r="C67" s="154" t="s">
        <v>4</v>
      </c>
      <c r="D67" s="154" t="s">
        <v>2</v>
      </c>
      <c r="E67" s="154" t="s">
        <v>87</v>
      </c>
      <c r="F67" s="200">
        <v>1377.6128672527566</v>
      </c>
      <c r="G67" s="200">
        <v>0</v>
      </c>
      <c r="H67" s="200">
        <v>0</v>
      </c>
      <c r="I67" s="200">
        <v>0</v>
      </c>
      <c r="J67" s="200">
        <v>0</v>
      </c>
      <c r="K67" s="200">
        <v>0</v>
      </c>
      <c r="L67" s="200">
        <v>0</v>
      </c>
      <c r="M67" s="200">
        <v>0</v>
      </c>
      <c r="N67" s="200">
        <v>0</v>
      </c>
      <c r="O67" s="200">
        <v>0</v>
      </c>
      <c r="P67" s="200">
        <v>0</v>
      </c>
      <c r="Q67" s="200">
        <v>0</v>
      </c>
      <c r="R67" s="200">
        <v>0</v>
      </c>
      <c r="S67" s="200">
        <v>0</v>
      </c>
      <c r="U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row>
    <row r="68" spans="1:72" ht="27.95" customHeight="1" x14ac:dyDescent="0.3">
      <c r="A68" s="62"/>
      <c r="B68" s="166" t="s">
        <v>88</v>
      </c>
      <c r="C68" s="166"/>
      <c r="D68" s="166"/>
      <c r="E68" s="166"/>
      <c r="F68" s="179">
        <f t="shared" ref="F68:S68" si="41">+F69</f>
        <v>4306.9815159600003</v>
      </c>
      <c r="G68" s="179">
        <f t="shared" si="41"/>
        <v>0</v>
      </c>
      <c r="H68" s="179">
        <f t="shared" si="41"/>
        <v>4306.9815159600003</v>
      </c>
      <c r="I68" s="179">
        <f t="shared" si="41"/>
        <v>0</v>
      </c>
      <c r="J68" s="179">
        <f t="shared" si="41"/>
        <v>4306.9815159600003</v>
      </c>
      <c r="K68" s="179">
        <f t="shared" si="41"/>
        <v>0</v>
      </c>
      <c r="L68" s="179">
        <f t="shared" si="41"/>
        <v>1794.5758208599998</v>
      </c>
      <c r="M68" s="179">
        <f t="shared" si="41"/>
        <v>0</v>
      </c>
      <c r="N68" s="179">
        <f t="shared" si="41"/>
        <v>0</v>
      </c>
      <c r="O68" s="179">
        <f t="shared" si="41"/>
        <v>0</v>
      </c>
      <c r="P68" s="179">
        <f t="shared" si="41"/>
        <v>0</v>
      </c>
      <c r="Q68" s="179">
        <f t="shared" si="41"/>
        <v>0</v>
      </c>
      <c r="R68" s="179">
        <f t="shared" si="41"/>
        <v>0</v>
      </c>
      <c r="S68" s="179">
        <f t="shared" si="41"/>
        <v>0</v>
      </c>
      <c r="T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row>
    <row r="69" spans="1:72" ht="27.95" customHeight="1" x14ac:dyDescent="0.3">
      <c r="A69" s="62"/>
      <c r="B69" s="154" t="s">
        <v>140</v>
      </c>
      <c r="C69" s="154" t="s">
        <v>141</v>
      </c>
      <c r="D69" s="154" t="str">
        <f>+VLOOKUP($C69,$C$10:$D$43,2,FALSE)</f>
        <v>Pesos</v>
      </c>
      <c r="E69" s="154" t="s">
        <v>88</v>
      </c>
      <c r="F69" s="200">
        <v>4306.9815159600003</v>
      </c>
      <c r="G69" s="200">
        <v>0</v>
      </c>
      <c r="H69" s="200">
        <v>4306.9815159600003</v>
      </c>
      <c r="I69" s="200">
        <v>0</v>
      </c>
      <c r="J69" s="200">
        <v>4306.9815159600003</v>
      </c>
      <c r="K69" s="200">
        <v>0</v>
      </c>
      <c r="L69" s="200">
        <v>1794.5758208599998</v>
      </c>
      <c r="M69" s="200">
        <v>0</v>
      </c>
      <c r="N69" s="200">
        <v>0</v>
      </c>
      <c r="O69" s="200">
        <v>0</v>
      </c>
      <c r="P69" s="200">
        <v>0</v>
      </c>
      <c r="Q69" s="200">
        <v>0</v>
      </c>
      <c r="R69" s="200">
        <v>0</v>
      </c>
      <c r="S69" s="200">
        <v>0</v>
      </c>
      <c r="U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row>
    <row r="70" spans="1:72" ht="27.95" customHeight="1" x14ac:dyDescent="0.3">
      <c r="A70" s="62"/>
      <c r="B70" s="166" t="s">
        <v>11</v>
      </c>
      <c r="C70" s="166"/>
      <c r="D70" s="166"/>
      <c r="E70" s="166"/>
      <c r="F70" s="179">
        <f t="shared" ref="F70:S70" si="42">+SUM(F71,F83)</f>
        <v>0</v>
      </c>
      <c r="G70" s="179">
        <f t="shared" si="42"/>
        <v>16.366668401358602</v>
      </c>
      <c r="H70" s="179">
        <f t="shared" si="42"/>
        <v>0</v>
      </c>
      <c r="I70" s="179">
        <f t="shared" si="42"/>
        <v>18.249189243219959</v>
      </c>
      <c r="J70" s="179">
        <f t="shared" si="42"/>
        <v>0</v>
      </c>
      <c r="K70" s="179">
        <f t="shared" si="42"/>
        <v>13.885994574186082</v>
      </c>
      <c r="L70" s="179">
        <f t="shared" si="42"/>
        <v>0</v>
      </c>
      <c r="M70" s="179">
        <f t="shared" si="42"/>
        <v>13.886326654186082</v>
      </c>
      <c r="N70" s="179">
        <f t="shared" si="42"/>
        <v>0</v>
      </c>
      <c r="O70" s="179">
        <f t="shared" si="42"/>
        <v>13.886662704186081</v>
      </c>
      <c r="P70" s="179">
        <f t="shared" si="42"/>
        <v>0</v>
      </c>
      <c r="Q70" s="179">
        <f t="shared" si="42"/>
        <v>13.887002764186082</v>
      </c>
      <c r="R70" s="179">
        <f t="shared" si="42"/>
        <v>0</v>
      </c>
      <c r="S70" s="179">
        <f t="shared" si="42"/>
        <v>13.377211630056365</v>
      </c>
      <c r="T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row>
    <row r="71" spans="1:72" ht="27.95" customHeight="1" x14ac:dyDescent="0.3">
      <c r="A71" s="62"/>
      <c r="B71" s="171" t="s">
        <v>12</v>
      </c>
      <c r="C71" s="171"/>
      <c r="D71" s="171"/>
      <c r="E71" s="171"/>
      <c r="F71" s="182">
        <f t="shared" ref="F71:S71" si="43">+SUM(F72:F82)</f>
        <v>0</v>
      </c>
      <c r="G71" s="182">
        <f t="shared" si="43"/>
        <v>14.582110698501459</v>
      </c>
      <c r="H71" s="182">
        <f t="shared" si="43"/>
        <v>0</v>
      </c>
      <c r="I71" s="182">
        <f t="shared" si="43"/>
        <v>16.064523803966996</v>
      </c>
      <c r="J71" s="182">
        <f t="shared" si="43"/>
        <v>0</v>
      </c>
      <c r="K71" s="182">
        <f t="shared" si="43"/>
        <v>11.615247653121646</v>
      </c>
      <c r="L71" s="182">
        <f t="shared" si="43"/>
        <v>0</v>
      </c>
      <c r="M71" s="182">
        <f t="shared" si="43"/>
        <v>11.615579733121645</v>
      </c>
      <c r="N71" s="182">
        <f t="shared" si="43"/>
        <v>0</v>
      </c>
      <c r="O71" s="182">
        <f t="shared" si="43"/>
        <v>11.615915783121645</v>
      </c>
      <c r="P71" s="182">
        <f t="shared" si="43"/>
        <v>0</v>
      </c>
      <c r="Q71" s="182">
        <f t="shared" si="43"/>
        <v>11.616255843121646</v>
      </c>
      <c r="R71" s="182">
        <f t="shared" si="43"/>
        <v>0</v>
      </c>
      <c r="S71" s="182">
        <f t="shared" si="43"/>
        <v>11.108474080649525</v>
      </c>
      <c r="T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row>
    <row r="72" spans="1:72" ht="27.95" customHeight="1" x14ac:dyDescent="0.3">
      <c r="A72" s="62"/>
      <c r="B72" s="154" t="s">
        <v>19</v>
      </c>
      <c r="C72" s="154" t="s">
        <v>20</v>
      </c>
      <c r="D72" s="154" t="str">
        <f>+VLOOKUP($C72,$C$10:$D$43,2,FALSE)</f>
        <v>USD</v>
      </c>
      <c r="E72" s="154" t="s">
        <v>90</v>
      </c>
      <c r="F72" s="200">
        <v>0</v>
      </c>
      <c r="G72" s="200">
        <v>2.5411806205221881</v>
      </c>
      <c r="H72" s="200">
        <v>0</v>
      </c>
      <c r="I72" s="200">
        <v>2.5411806205221881</v>
      </c>
      <c r="J72" s="200">
        <v>0</v>
      </c>
      <c r="K72" s="200">
        <v>2.5411806210443753</v>
      </c>
      <c r="L72" s="200">
        <v>0</v>
      </c>
      <c r="M72" s="200">
        <v>2.5411806210443753</v>
      </c>
      <c r="N72" s="200">
        <v>0</v>
      </c>
      <c r="O72" s="200">
        <v>2.5411806210443748</v>
      </c>
      <c r="P72" s="200">
        <v>0</v>
      </c>
      <c r="Q72" s="200">
        <v>2.5411806210443748</v>
      </c>
      <c r="R72" s="200">
        <v>0</v>
      </c>
      <c r="S72" s="200">
        <v>2.4256724109969032</v>
      </c>
      <c r="U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row>
    <row r="73" spans="1:72" ht="27.95" customHeight="1" x14ac:dyDescent="0.3">
      <c r="A73" s="62"/>
      <c r="B73" s="154" t="s">
        <v>123</v>
      </c>
      <c r="C73" s="154" t="s">
        <v>124</v>
      </c>
      <c r="D73" s="154" t="str">
        <f>+VLOOKUP($C73,$C$10:$D$43,2,FALSE)</f>
        <v>USD</v>
      </c>
      <c r="E73" s="154" t="s">
        <v>90</v>
      </c>
      <c r="F73" s="200">
        <v>0</v>
      </c>
      <c r="G73" s="200">
        <v>0</v>
      </c>
      <c r="H73" s="200">
        <v>0</v>
      </c>
      <c r="I73" s="200">
        <v>1.7225999999999999</v>
      </c>
      <c r="J73" s="200">
        <v>0</v>
      </c>
      <c r="K73" s="200">
        <v>1.7225999999999999</v>
      </c>
      <c r="L73" s="200">
        <v>0</v>
      </c>
      <c r="M73" s="200">
        <v>1.7225999999999999</v>
      </c>
      <c r="N73" s="200">
        <v>0</v>
      </c>
      <c r="O73" s="200">
        <v>1.7225999999999999</v>
      </c>
      <c r="P73" s="200">
        <v>0</v>
      </c>
      <c r="Q73" s="200">
        <v>1.7225999999999999</v>
      </c>
      <c r="R73" s="200">
        <v>0</v>
      </c>
      <c r="S73" s="200">
        <v>1.7225999999999999</v>
      </c>
      <c r="U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row>
    <row r="74" spans="1:72" ht="27.95" customHeight="1" x14ac:dyDescent="0.3">
      <c r="A74" s="62"/>
      <c r="B74" s="154" t="s">
        <v>13</v>
      </c>
      <c r="C74" s="154" t="s">
        <v>14</v>
      </c>
      <c r="D74" s="154" t="str">
        <f>+VLOOKUP($C74,$C$10:$D$43,2,FALSE)</f>
        <v>USD</v>
      </c>
      <c r="E74" s="154" t="s">
        <v>90</v>
      </c>
      <c r="F74" s="200">
        <v>0</v>
      </c>
      <c r="G74" s="200">
        <v>2.8515320971664431</v>
      </c>
      <c r="H74" s="200">
        <v>0</v>
      </c>
      <c r="I74" s="200">
        <v>2.8515320943328861</v>
      </c>
      <c r="J74" s="200">
        <v>0</v>
      </c>
      <c r="K74" s="200">
        <v>2.8515320943328861</v>
      </c>
      <c r="L74" s="200">
        <v>0</v>
      </c>
      <c r="M74" s="200">
        <v>2.8515320943328861</v>
      </c>
      <c r="N74" s="200">
        <v>0</v>
      </c>
      <c r="O74" s="200">
        <v>2.8515320943328861</v>
      </c>
      <c r="P74" s="200">
        <v>0</v>
      </c>
      <c r="Q74" s="200">
        <v>2.8515320943328861</v>
      </c>
      <c r="R74" s="200">
        <v>0</v>
      </c>
      <c r="S74" s="200">
        <v>2.8515320943328857</v>
      </c>
      <c r="T74" s="70"/>
      <c r="U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row>
    <row r="75" spans="1:72" ht="27.95" customHeight="1" x14ac:dyDescent="0.3">
      <c r="A75" s="62"/>
      <c r="B75" s="154" t="s">
        <v>15</v>
      </c>
      <c r="C75" s="154" t="s">
        <v>16</v>
      </c>
      <c r="D75" s="154" t="str">
        <f>+VLOOKUP($C75,$C$10:$D$43,2,FALSE)</f>
        <v>USD</v>
      </c>
      <c r="E75" s="154" t="s">
        <v>90</v>
      </c>
      <c r="F75" s="200">
        <v>0</v>
      </c>
      <c r="G75" s="200">
        <v>2.8918855400000001</v>
      </c>
      <c r="H75" s="200">
        <v>0</v>
      </c>
      <c r="I75" s="200">
        <v>2.891885519999998</v>
      </c>
      <c r="J75" s="200">
        <v>0</v>
      </c>
      <c r="K75" s="200">
        <v>2.891885519999998</v>
      </c>
      <c r="L75" s="200">
        <v>0</v>
      </c>
      <c r="M75" s="200">
        <v>2.891885519999998</v>
      </c>
      <c r="N75" s="200">
        <v>0</v>
      </c>
      <c r="O75" s="200">
        <v>2.891885519999998</v>
      </c>
      <c r="P75" s="200">
        <v>0</v>
      </c>
      <c r="Q75" s="200">
        <v>2.891885519999998</v>
      </c>
      <c r="R75" s="200">
        <v>0</v>
      </c>
      <c r="S75" s="200">
        <v>2.5303998299999986</v>
      </c>
      <c r="T75" s="70"/>
      <c r="U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row>
    <row r="76" spans="1:72" ht="27.95" customHeight="1" x14ac:dyDescent="0.3">
      <c r="A76" s="62"/>
      <c r="B76" s="154" t="s">
        <v>23</v>
      </c>
      <c r="C76" s="154" t="s">
        <v>24</v>
      </c>
      <c r="D76" s="154" t="str">
        <f>+VLOOKUP($C76,$C$10:$D$43,2,FALSE)</f>
        <v>USD</v>
      </c>
      <c r="E76" s="154" t="s">
        <v>90</v>
      </c>
      <c r="F76" s="200">
        <v>0</v>
      </c>
      <c r="G76" s="200">
        <v>0.76524536309854385</v>
      </c>
      <c r="H76" s="200">
        <v>0</v>
      </c>
      <c r="I76" s="200">
        <v>0.76524536637414708</v>
      </c>
      <c r="J76" s="200">
        <v>0</v>
      </c>
      <c r="K76" s="200">
        <v>0.76524536637414708</v>
      </c>
      <c r="L76" s="200">
        <v>0</v>
      </c>
      <c r="M76" s="200">
        <v>0.76524536637414708</v>
      </c>
      <c r="N76" s="200">
        <v>0</v>
      </c>
      <c r="O76" s="200">
        <v>0.76524536637414708</v>
      </c>
      <c r="P76" s="200">
        <v>0</v>
      </c>
      <c r="Q76" s="200">
        <v>0.76524536637414697</v>
      </c>
      <c r="R76" s="200">
        <v>0</v>
      </c>
      <c r="S76" s="200">
        <v>0.73581285228283333</v>
      </c>
      <c r="T76" s="70"/>
      <c r="U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row>
    <row r="77" spans="1:72" ht="27.95" customHeight="1" x14ac:dyDescent="0.3">
      <c r="A77" s="62"/>
      <c r="B77" s="154" t="s">
        <v>143</v>
      </c>
      <c r="C77" s="154" t="s">
        <v>214</v>
      </c>
      <c r="D77" s="154" t="s">
        <v>97</v>
      </c>
      <c r="E77" s="154" t="s">
        <v>90</v>
      </c>
      <c r="F77" s="200">
        <v>0</v>
      </c>
      <c r="G77" s="200">
        <v>0</v>
      </c>
      <c r="H77" s="200">
        <v>0</v>
      </c>
      <c r="I77" s="200">
        <v>0</v>
      </c>
      <c r="J77" s="200">
        <v>0</v>
      </c>
      <c r="K77" s="200">
        <v>0.42120555006102905</v>
      </c>
      <c r="L77" s="200">
        <v>0</v>
      </c>
      <c r="M77" s="200">
        <v>0.42120555006102905</v>
      </c>
      <c r="N77" s="200">
        <v>0</v>
      </c>
      <c r="O77" s="200">
        <v>0.42120555006102905</v>
      </c>
      <c r="P77" s="200">
        <v>0</v>
      </c>
      <c r="Q77" s="200">
        <v>0.42120555006102905</v>
      </c>
      <c r="R77" s="200">
        <v>0</v>
      </c>
      <c r="S77" s="200">
        <v>0.421205550061029</v>
      </c>
      <c r="T77" s="70"/>
      <c r="U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row>
    <row r="78" spans="1:72" ht="27.95" customHeight="1" x14ac:dyDescent="0.3">
      <c r="A78" s="62"/>
      <c r="B78" s="154" t="s">
        <v>17</v>
      </c>
      <c r="C78" s="154" t="s">
        <v>18</v>
      </c>
      <c r="D78" s="154" t="s">
        <v>97</v>
      </c>
      <c r="E78" s="154" t="s">
        <v>90</v>
      </c>
      <c r="F78" s="200">
        <v>0</v>
      </c>
      <c r="G78" s="200">
        <v>4.8708098557142856</v>
      </c>
      <c r="H78" s="200">
        <v>0</v>
      </c>
      <c r="I78" s="200">
        <v>4.8708098514285698</v>
      </c>
      <c r="J78" s="200">
        <v>0</v>
      </c>
      <c r="K78" s="200">
        <v>0</v>
      </c>
      <c r="L78" s="200">
        <v>0</v>
      </c>
      <c r="M78" s="200">
        <v>0</v>
      </c>
      <c r="N78" s="200">
        <v>0</v>
      </c>
      <c r="O78" s="200">
        <v>0</v>
      </c>
      <c r="P78" s="200">
        <v>0</v>
      </c>
      <c r="Q78" s="200">
        <v>0</v>
      </c>
      <c r="R78" s="200">
        <v>0</v>
      </c>
      <c r="S78" s="200">
        <v>0</v>
      </c>
      <c r="T78" s="70"/>
      <c r="U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row>
    <row r="79" spans="1:72" ht="27.95" customHeight="1" x14ac:dyDescent="0.3">
      <c r="A79" s="62"/>
      <c r="B79" s="154" t="s">
        <v>21</v>
      </c>
      <c r="C79" s="154" t="s">
        <v>22</v>
      </c>
      <c r="D79" s="154" t="s">
        <v>97</v>
      </c>
      <c r="E79" s="154" t="s">
        <v>90</v>
      </c>
      <c r="F79" s="200">
        <v>0</v>
      </c>
      <c r="G79" s="200">
        <v>0.39381706200000005</v>
      </c>
      <c r="H79" s="200">
        <v>0</v>
      </c>
      <c r="I79" s="200">
        <v>0.39381708130921017</v>
      </c>
      <c r="J79" s="200">
        <v>0</v>
      </c>
      <c r="K79" s="200">
        <v>0.39381708130921017</v>
      </c>
      <c r="L79" s="200">
        <v>0</v>
      </c>
      <c r="M79" s="200">
        <v>0.39381708130921028</v>
      </c>
      <c r="N79" s="200">
        <v>0</v>
      </c>
      <c r="O79" s="200">
        <v>0.39381708130921028</v>
      </c>
      <c r="P79" s="200">
        <v>0</v>
      </c>
      <c r="Q79" s="200">
        <v>0.39381708130921028</v>
      </c>
      <c r="R79" s="200">
        <v>0</v>
      </c>
      <c r="S79" s="200">
        <v>0.39381708130921028</v>
      </c>
      <c r="T79" s="70"/>
      <c r="U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row>
    <row r="80" spans="1:72" ht="27.95" customHeight="1" x14ac:dyDescent="0.3">
      <c r="A80" s="62"/>
      <c r="B80" s="154" t="s">
        <v>27</v>
      </c>
      <c r="C80" s="154" t="s">
        <v>28</v>
      </c>
      <c r="D80" s="154" t="str">
        <f>+VLOOKUP($C80,$C$10:$D$43,2,FALSE)</f>
        <v>USD</v>
      </c>
      <c r="E80" s="154" t="s">
        <v>90</v>
      </c>
      <c r="F80" s="200">
        <v>0</v>
      </c>
      <c r="G80" s="200">
        <v>2.7128990000000002E-2</v>
      </c>
      <c r="H80" s="200">
        <v>0</v>
      </c>
      <c r="I80" s="200">
        <v>2.7453270000000002E-2</v>
      </c>
      <c r="J80" s="200">
        <v>0</v>
      </c>
      <c r="K80" s="200">
        <v>2.7781419999999998E-2</v>
      </c>
      <c r="L80" s="200">
        <v>0</v>
      </c>
      <c r="M80" s="200">
        <v>2.81135E-2</v>
      </c>
      <c r="N80" s="200">
        <v>0</v>
      </c>
      <c r="O80" s="200">
        <v>2.8449550000000004E-2</v>
      </c>
      <c r="P80" s="200">
        <v>0</v>
      </c>
      <c r="Q80" s="200">
        <v>2.878961E-2</v>
      </c>
      <c r="R80" s="200">
        <v>0</v>
      </c>
      <c r="S80" s="200">
        <v>2.7434261666666668E-2</v>
      </c>
      <c r="T80" s="70"/>
      <c r="U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row>
    <row r="81" spans="1:72" ht="27.95" customHeight="1" x14ac:dyDescent="0.3">
      <c r="A81" s="62"/>
      <c r="B81" s="154" t="s">
        <v>29</v>
      </c>
      <c r="C81" s="154" t="s">
        <v>30</v>
      </c>
      <c r="D81" s="154" t="str">
        <f>+VLOOKUP($C81,$C$10:$D$43,2,FALSE)</f>
        <v>USD</v>
      </c>
      <c r="E81" s="154" t="s">
        <v>90</v>
      </c>
      <c r="F81" s="200">
        <v>0</v>
      </c>
      <c r="G81" s="200">
        <v>0</v>
      </c>
      <c r="H81" s="200">
        <v>0</v>
      </c>
      <c r="I81" s="200">
        <v>0</v>
      </c>
      <c r="J81" s="200">
        <v>0</v>
      </c>
      <c r="K81" s="200">
        <v>0</v>
      </c>
      <c r="L81" s="200">
        <v>0</v>
      </c>
      <c r="M81" s="200">
        <v>0</v>
      </c>
      <c r="N81" s="200">
        <v>0</v>
      </c>
      <c r="O81" s="200">
        <v>0</v>
      </c>
      <c r="P81" s="200">
        <v>0</v>
      </c>
      <c r="Q81" s="200">
        <v>0</v>
      </c>
      <c r="R81" s="200">
        <v>0</v>
      </c>
      <c r="S81" s="200">
        <v>0</v>
      </c>
      <c r="T81" s="70"/>
      <c r="U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row>
    <row r="82" spans="1:72" ht="27.95" customHeight="1" x14ac:dyDescent="0.3">
      <c r="A82" s="62"/>
      <c r="B82" s="154" t="s">
        <v>25</v>
      </c>
      <c r="C82" s="154" t="s">
        <v>26</v>
      </c>
      <c r="D82" s="154" t="str">
        <f>+VLOOKUP($C82,$C$10:$D$43,2,FALSE)</f>
        <v>USD</v>
      </c>
      <c r="E82" s="154" t="s">
        <v>90</v>
      </c>
      <c r="F82" s="200">
        <v>0</v>
      </c>
      <c r="G82" s="200">
        <v>0.24051117</v>
      </c>
      <c r="H82" s="200">
        <v>0</v>
      </c>
      <c r="I82" s="200">
        <v>0</v>
      </c>
      <c r="J82" s="200">
        <v>0</v>
      </c>
      <c r="K82" s="200">
        <v>0</v>
      </c>
      <c r="L82" s="200">
        <v>0</v>
      </c>
      <c r="M82" s="200">
        <v>0</v>
      </c>
      <c r="N82" s="200">
        <v>0</v>
      </c>
      <c r="O82" s="200">
        <v>0</v>
      </c>
      <c r="P82" s="200">
        <v>0</v>
      </c>
      <c r="Q82" s="200">
        <v>0</v>
      </c>
      <c r="R82" s="200">
        <v>0</v>
      </c>
      <c r="S82" s="200">
        <v>0</v>
      </c>
      <c r="T82" s="70"/>
      <c r="U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row>
    <row r="83" spans="1:72" ht="27.95" customHeight="1" x14ac:dyDescent="0.3">
      <c r="A83" s="62"/>
      <c r="B83" s="171" t="s">
        <v>31</v>
      </c>
      <c r="C83" s="171"/>
      <c r="D83" s="171"/>
      <c r="E83" s="171"/>
      <c r="F83" s="182">
        <f t="shared" ref="F83:S83" si="44">+SUM(F84:F86)</f>
        <v>0</v>
      </c>
      <c r="G83" s="182">
        <f t="shared" si="44"/>
        <v>1.7845577028571411</v>
      </c>
      <c r="H83" s="182">
        <f t="shared" si="44"/>
        <v>0</v>
      </c>
      <c r="I83" s="182">
        <f t="shared" si="44"/>
        <v>2.1846654392529645</v>
      </c>
      <c r="J83" s="182">
        <f t="shared" si="44"/>
        <v>0</v>
      </c>
      <c r="K83" s="182">
        <f t="shared" si="44"/>
        <v>2.2707469210644367</v>
      </c>
      <c r="L83" s="182">
        <f t="shared" si="44"/>
        <v>0</v>
      </c>
      <c r="M83" s="182">
        <f t="shared" si="44"/>
        <v>2.2707469210644367</v>
      </c>
      <c r="N83" s="182">
        <f t="shared" si="44"/>
        <v>0</v>
      </c>
      <c r="O83" s="182">
        <f t="shared" si="44"/>
        <v>2.2707469210644367</v>
      </c>
      <c r="P83" s="182">
        <f t="shared" si="44"/>
        <v>0</v>
      </c>
      <c r="Q83" s="182">
        <f t="shared" si="44"/>
        <v>2.2707469210644367</v>
      </c>
      <c r="R83" s="182">
        <f t="shared" si="44"/>
        <v>0</v>
      </c>
      <c r="S83" s="182">
        <f t="shared" si="44"/>
        <v>2.2687375494068389</v>
      </c>
      <c r="T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row>
    <row r="84" spans="1:72" ht="27.95" customHeight="1" x14ac:dyDescent="0.3">
      <c r="A84" s="62"/>
      <c r="B84" s="154" t="s">
        <v>32</v>
      </c>
      <c r="C84" s="154" t="s">
        <v>33</v>
      </c>
      <c r="D84" s="154" t="str">
        <f>+VLOOKUP($C84,$C$10:$D$43,2,FALSE)</f>
        <v>USD</v>
      </c>
      <c r="E84" s="154" t="s">
        <v>90</v>
      </c>
      <c r="F84" s="200">
        <v>0</v>
      </c>
      <c r="G84" s="200">
        <v>1.7845577028571411</v>
      </c>
      <c r="H84" s="200">
        <v>0</v>
      </c>
      <c r="I84" s="200">
        <v>1.7845577028571411</v>
      </c>
      <c r="J84" s="200">
        <v>0</v>
      </c>
      <c r="K84" s="200">
        <v>1.7845577028571411</v>
      </c>
      <c r="L84" s="200">
        <v>0</v>
      </c>
      <c r="M84" s="200">
        <v>1.7845577028571411</v>
      </c>
      <c r="N84" s="200">
        <v>0</v>
      </c>
      <c r="O84" s="200">
        <v>1.7845577028571411</v>
      </c>
      <c r="P84" s="200">
        <v>0</v>
      </c>
      <c r="Q84" s="200">
        <v>1.7845577028571411</v>
      </c>
      <c r="R84" s="200">
        <v>0</v>
      </c>
      <c r="S84" s="200">
        <v>1.7845577028571407</v>
      </c>
      <c r="U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row>
    <row r="85" spans="1:72" ht="27.95" customHeight="1" x14ac:dyDescent="0.3">
      <c r="A85" s="62"/>
      <c r="B85" s="154" t="s">
        <v>169</v>
      </c>
      <c r="C85" s="154" t="s">
        <v>170</v>
      </c>
      <c r="D85" s="154" t="s">
        <v>97</v>
      </c>
      <c r="E85" s="154" t="s">
        <v>90</v>
      </c>
      <c r="F85" s="200">
        <v>0</v>
      </c>
      <c r="G85" s="200">
        <v>0</v>
      </c>
      <c r="H85" s="200">
        <v>0</v>
      </c>
      <c r="I85" s="200">
        <v>0.40010773639582331</v>
      </c>
      <c r="J85" s="200">
        <v>0</v>
      </c>
      <c r="K85" s="200">
        <v>0.40010773639582331</v>
      </c>
      <c r="L85" s="200">
        <v>0</v>
      </c>
      <c r="M85" s="200">
        <v>0.40010773639582331</v>
      </c>
      <c r="N85" s="200">
        <v>0</v>
      </c>
      <c r="O85" s="200">
        <v>0.40010773639582331</v>
      </c>
      <c r="P85" s="200">
        <v>0</v>
      </c>
      <c r="Q85" s="200">
        <v>0.40010773639582331</v>
      </c>
      <c r="R85" s="200">
        <v>0</v>
      </c>
      <c r="S85" s="200">
        <v>0.40010773639582331</v>
      </c>
      <c r="U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row>
    <row r="86" spans="1:72" ht="27.95" customHeight="1" x14ac:dyDescent="0.3">
      <c r="A86" s="62"/>
      <c r="B86" s="154" t="s">
        <v>144</v>
      </c>
      <c r="C86" s="154" t="s">
        <v>145</v>
      </c>
      <c r="D86" s="154" t="s">
        <v>97</v>
      </c>
      <c r="E86" s="154" t="s">
        <v>90</v>
      </c>
      <c r="F86" s="200">
        <v>0</v>
      </c>
      <c r="G86" s="200">
        <v>0</v>
      </c>
      <c r="H86" s="200">
        <v>0</v>
      </c>
      <c r="I86" s="200">
        <v>0</v>
      </c>
      <c r="J86" s="200">
        <v>0</v>
      </c>
      <c r="K86" s="200">
        <v>8.608148181147203E-2</v>
      </c>
      <c r="L86" s="200">
        <v>0</v>
      </c>
      <c r="M86" s="200">
        <v>8.608148181147203E-2</v>
      </c>
      <c r="N86" s="200">
        <v>0</v>
      </c>
      <c r="O86" s="200">
        <v>8.608148181147203E-2</v>
      </c>
      <c r="P86" s="200">
        <v>0</v>
      </c>
      <c r="Q86" s="200">
        <v>8.608148181147203E-2</v>
      </c>
      <c r="R86" s="200">
        <v>0</v>
      </c>
      <c r="S86" s="200">
        <v>8.4072110153874613E-2</v>
      </c>
      <c r="U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row>
    <row r="87" spans="1:72" ht="27.95" customHeight="1" x14ac:dyDescent="0.3">
      <c r="A87" s="62"/>
      <c r="B87" s="166" t="s">
        <v>91</v>
      </c>
      <c r="C87" s="166"/>
      <c r="D87" s="166"/>
      <c r="E87" s="166"/>
      <c r="F87" s="179">
        <f t="shared" ref="F87:S87" si="45">+SUM(F88:F96)</f>
        <v>30706.331846206787</v>
      </c>
      <c r="G87" s="179">
        <f t="shared" si="45"/>
        <v>79.695538459999995</v>
      </c>
      <c r="H87" s="179">
        <f t="shared" si="45"/>
        <v>40149.73637755082</v>
      </c>
      <c r="I87" s="179">
        <f t="shared" si="45"/>
        <v>79.695538461538462</v>
      </c>
      <c r="J87" s="179">
        <f t="shared" si="45"/>
        <v>14514.410309673332</v>
      </c>
      <c r="K87" s="179">
        <f t="shared" si="45"/>
        <v>79.695538461538462</v>
      </c>
      <c r="L87" s="179">
        <f t="shared" si="45"/>
        <v>7665.8150439933333</v>
      </c>
      <c r="M87" s="179">
        <f t="shared" si="45"/>
        <v>79.695538461538462</v>
      </c>
      <c r="N87" s="179">
        <f t="shared" si="45"/>
        <v>813.10897683333326</v>
      </c>
      <c r="O87" s="179">
        <f t="shared" si="45"/>
        <v>79.695538461538462</v>
      </c>
      <c r="P87" s="179">
        <f t="shared" si="45"/>
        <v>813.10897683333326</v>
      </c>
      <c r="Q87" s="179">
        <f t="shared" si="45"/>
        <v>39.847769230769231</v>
      </c>
      <c r="R87" s="179">
        <f t="shared" si="45"/>
        <v>0</v>
      </c>
      <c r="S87" s="179">
        <f t="shared" si="45"/>
        <v>0</v>
      </c>
      <c r="T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row>
    <row r="88" spans="1:72" ht="27.95" customHeight="1" x14ac:dyDescent="0.3">
      <c r="A88" s="62"/>
      <c r="B88" s="154" t="s">
        <v>122</v>
      </c>
      <c r="C88" s="154" t="s">
        <v>121</v>
      </c>
      <c r="D88" s="154" t="str">
        <f>+VLOOKUP($C88,$C$10:$D$43,2,FALSE)</f>
        <v>USD</v>
      </c>
      <c r="E88" s="154" t="s">
        <v>91</v>
      </c>
      <c r="F88" s="200">
        <v>0</v>
      </c>
      <c r="G88" s="200">
        <v>79.695538459999995</v>
      </c>
      <c r="H88" s="200">
        <v>0</v>
      </c>
      <c r="I88" s="200">
        <v>79.695538461538462</v>
      </c>
      <c r="J88" s="200">
        <v>0</v>
      </c>
      <c r="K88" s="200">
        <v>79.695538461538462</v>
      </c>
      <c r="L88" s="200">
        <v>0</v>
      </c>
      <c r="M88" s="200">
        <v>79.695538461538462</v>
      </c>
      <c r="N88" s="200">
        <v>0</v>
      </c>
      <c r="O88" s="200">
        <v>79.695538461538462</v>
      </c>
      <c r="P88" s="200">
        <v>0</v>
      </c>
      <c r="Q88" s="200">
        <v>39.847769230769231</v>
      </c>
      <c r="R88" s="200">
        <v>0</v>
      </c>
      <c r="S88" s="200">
        <v>0</v>
      </c>
      <c r="U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row>
    <row r="89" spans="1:72" ht="27.95" customHeight="1" x14ac:dyDescent="0.3">
      <c r="A89" s="62"/>
      <c r="B89" s="154" t="s">
        <v>233</v>
      </c>
      <c r="C89" s="154" t="s">
        <v>235</v>
      </c>
      <c r="D89" s="154" t="s">
        <v>237</v>
      </c>
      <c r="E89" s="154" t="s">
        <v>91</v>
      </c>
      <c r="F89" s="200">
        <v>0</v>
      </c>
      <c r="G89" s="200">
        <v>0</v>
      </c>
      <c r="H89" s="200">
        <v>37314.775999999998</v>
      </c>
      <c r="I89" s="200">
        <v>0</v>
      </c>
      <c r="J89" s="200">
        <v>0</v>
      </c>
      <c r="K89" s="200">
        <v>0</v>
      </c>
      <c r="L89" s="200">
        <v>0</v>
      </c>
      <c r="M89" s="200">
        <v>0</v>
      </c>
      <c r="N89" s="200">
        <v>0</v>
      </c>
      <c r="O89" s="200">
        <v>0</v>
      </c>
      <c r="P89" s="200">
        <v>0</v>
      </c>
      <c r="Q89" s="200">
        <v>0</v>
      </c>
      <c r="R89" s="200">
        <v>0</v>
      </c>
      <c r="S89" s="200">
        <v>0</v>
      </c>
      <c r="T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row>
    <row r="90" spans="1:72" ht="27.95" customHeight="1" x14ac:dyDescent="0.3">
      <c r="A90" s="62"/>
      <c r="B90" s="154" t="s">
        <v>234</v>
      </c>
      <c r="C90" s="154" t="s">
        <v>236</v>
      </c>
      <c r="D90" s="154" t="s">
        <v>237</v>
      </c>
      <c r="E90" s="154" t="s">
        <v>91</v>
      </c>
      <c r="F90" s="200">
        <v>0</v>
      </c>
      <c r="G90" s="200">
        <v>0</v>
      </c>
      <c r="H90" s="200">
        <v>0</v>
      </c>
      <c r="I90" s="200">
        <v>0</v>
      </c>
      <c r="J90" s="200">
        <v>13701.301332839999</v>
      </c>
      <c r="K90" s="200">
        <v>0</v>
      </c>
      <c r="L90" s="200">
        <v>6852.7060671600002</v>
      </c>
      <c r="M90" s="200">
        <v>0</v>
      </c>
      <c r="N90" s="200">
        <v>0</v>
      </c>
      <c r="O90" s="200">
        <v>0</v>
      </c>
      <c r="P90" s="200">
        <v>0</v>
      </c>
      <c r="Q90" s="200">
        <v>0</v>
      </c>
      <c r="R90" s="200">
        <v>0</v>
      </c>
      <c r="S90" s="200">
        <v>0</v>
      </c>
      <c r="T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row>
    <row r="91" spans="1:72" ht="27.95" customHeight="1" x14ac:dyDescent="0.3">
      <c r="A91" s="62"/>
      <c r="B91" s="154" t="s">
        <v>134</v>
      </c>
      <c r="C91" s="154" t="s">
        <v>135</v>
      </c>
      <c r="D91" s="154" t="s">
        <v>2</v>
      </c>
      <c r="E91" s="154" t="s">
        <v>91</v>
      </c>
      <c r="F91" s="200">
        <v>0</v>
      </c>
      <c r="G91" s="200">
        <v>0</v>
      </c>
      <c r="H91" s="200">
        <v>406.55448841666663</v>
      </c>
      <c r="I91" s="200">
        <v>0</v>
      </c>
      <c r="J91" s="200">
        <v>813.10897683333326</v>
      </c>
      <c r="K91" s="200">
        <v>0</v>
      </c>
      <c r="L91" s="200">
        <v>813.10897683333326</v>
      </c>
      <c r="M91" s="200">
        <v>0</v>
      </c>
      <c r="N91" s="200">
        <v>813.10897683333326</v>
      </c>
      <c r="O91" s="200">
        <v>0</v>
      </c>
      <c r="P91" s="200">
        <v>813.10897683333326</v>
      </c>
      <c r="Q91" s="200">
        <v>0</v>
      </c>
      <c r="R91" s="200">
        <v>0</v>
      </c>
      <c r="S91" s="200">
        <v>0</v>
      </c>
      <c r="T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row>
    <row r="92" spans="1:72" ht="27.95" customHeight="1" x14ac:dyDescent="0.3">
      <c r="A92" s="62"/>
      <c r="B92" s="154" t="s">
        <v>163</v>
      </c>
      <c r="C92" s="154" t="s">
        <v>165</v>
      </c>
      <c r="D92" s="154" t="s">
        <v>2</v>
      </c>
      <c r="E92" s="154" t="s">
        <v>91</v>
      </c>
      <c r="F92" s="200">
        <v>4035</v>
      </c>
      <c r="G92" s="200">
        <v>0</v>
      </c>
      <c r="H92" s="200">
        <v>2017.5</v>
      </c>
      <c r="I92" s="200">
        <v>0</v>
      </c>
      <c r="J92" s="200">
        <v>0</v>
      </c>
      <c r="K92" s="200">
        <v>0</v>
      </c>
      <c r="L92" s="200">
        <v>0</v>
      </c>
      <c r="M92" s="200">
        <v>0</v>
      </c>
      <c r="N92" s="200">
        <v>0</v>
      </c>
      <c r="O92" s="200">
        <v>0</v>
      </c>
      <c r="P92" s="200">
        <v>0</v>
      </c>
      <c r="Q92" s="200">
        <v>0</v>
      </c>
      <c r="R92" s="200">
        <v>0</v>
      </c>
      <c r="S92" s="200">
        <v>0</v>
      </c>
      <c r="T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row>
    <row r="93" spans="1:72" ht="27.95" customHeight="1" x14ac:dyDescent="0.3">
      <c r="A93" s="62"/>
      <c r="B93" s="154" t="s">
        <v>126</v>
      </c>
      <c r="C93" s="154" t="s">
        <v>127</v>
      </c>
      <c r="D93" s="154" t="s">
        <v>2</v>
      </c>
      <c r="E93" s="154" t="s">
        <v>91</v>
      </c>
      <c r="F93" s="200">
        <v>807.69230769230774</v>
      </c>
      <c r="G93" s="200">
        <v>0</v>
      </c>
      <c r="H93" s="200">
        <v>403.84615384615387</v>
      </c>
      <c r="I93" s="200">
        <v>0</v>
      </c>
      <c r="J93" s="200">
        <v>0</v>
      </c>
      <c r="K93" s="200">
        <v>0</v>
      </c>
      <c r="L93" s="200">
        <v>0</v>
      </c>
      <c r="M93" s="200">
        <v>0</v>
      </c>
      <c r="N93" s="200">
        <v>0</v>
      </c>
      <c r="O93" s="200">
        <v>0</v>
      </c>
      <c r="P93" s="200">
        <v>0</v>
      </c>
      <c r="Q93" s="200">
        <v>0</v>
      </c>
      <c r="R93" s="200">
        <v>0</v>
      </c>
      <c r="S93" s="200">
        <v>0</v>
      </c>
      <c r="T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row>
    <row r="94" spans="1:72" ht="27.95" customHeight="1" x14ac:dyDescent="0.3">
      <c r="A94" s="62"/>
      <c r="B94" s="154" t="s">
        <v>34</v>
      </c>
      <c r="C94" s="154" t="s">
        <v>35</v>
      </c>
      <c r="D94" s="154" t="s">
        <v>2</v>
      </c>
      <c r="E94" s="154" t="s">
        <v>91</v>
      </c>
      <c r="F94" s="200">
        <v>7.0428257423999998</v>
      </c>
      <c r="G94" s="200">
        <v>0</v>
      </c>
      <c r="H94" s="200">
        <v>7.0597352879999997</v>
      </c>
      <c r="I94" s="200">
        <v>0</v>
      </c>
      <c r="J94" s="200">
        <v>0</v>
      </c>
      <c r="K94" s="200">
        <v>0</v>
      </c>
      <c r="L94" s="200">
        <v>0</v>
      </c>
      <c r="M94" s="200">
        <v>0</v>
      </c>
      <c r="N94" s="200">
        <v>0</v>
      </c>
      <c r="O94" s="200">
        <v>0</v>
      </c>
      <c r="P94" s="200">
        <v>0</v>
      </c>
      <c r="Q94" s="200">
        <v>0</v>
      </c>
      <c r="R94" s="200">
        <v>0</v>
      </c>
      <c r="S94" s="200">
        <v>0</v>
      </c>
      <c r="T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row>
    <row r="95" spans="1:72" ht="27.95" customHeight="1" x14ac:dyDescent="0.3">
      <c r="A95" s="62"/>
      <c r="B95" s="154" t="s">
        <v>132</v>
      </c>
      <c r="C95" s="154" t="s">
        <v>133</v>
      </c>
      <c r="D95" s="154" t="str">
        <f>+VLOOKUP($C95,$C$10:$D$43,2,FALSE)</f>
        <v>Pesos</v>
      </c>
      <c r="E95" s="154" t="s">
        <v>91</v>
      </c>
      <c r="F95" s="200">
        <v>24101.18303877208</v>
      </c>
      <c r="G95" s="200">
        <v>0</v>
      </c>
      <c r="H95" s="200">
        <v>0</v>
      </c>
      <c r="I95" s="200">
        <v>0</v>
      </c>
      <c r="J95" s="200">
        <v>0</v>
      </c>
      <c r="K95" s="200">
        <v>0</v>
      </c>
      <c r="L95" s="200">
        <v>0</v>
      </c>
      <c r="M95" s="200">
        <v>0</v>
      </c>
      <c r="N95" s="200">
        <v>0</v>
      </c>
      <c r="O95" s="200">
        <v>0</v>
      </c>
      <c r="P95" s="200">
        <v>0</v>
      </c>
      <c r="Q95" s="200">
        <v>0</v>
      </c>
      <c r="R95" s="200">
        <v>0</v>
      </c>
      <c r="S95" s="200">
        <v>0</v>
      </c>
      <c r="T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row>
    <row r="96" spans="1:72" ht="27.95" customHeight="1" x14ac:dyDescent="0.3">
      <c r="A96" s="62"/>
      <c r="B96" s="154" t="s">
        <v>164</v>
      </c>
      <c r="C96" s="154" t="s">
        <v>166</v>
      </c>
      <c r="D96" s="154" t="s">
        <v>2</v>
      </c>
      <c r="E96" s="154" t="s">
        <v>91</v>
      </c>
      <c r="F96" s="200">
        <v>1755.4136739999999</v>
      </c>
      <c r="G96" s="200">
        <v>0</v>
      </c>
      <c r="H96" s="200">
        <v>0</v>
      </c>
      <c r="I96" s="200">
        <v>0</v>
      </c>
      <c r="J96" s="200">
        <v>0</v>
      </c>
      <c r="K96" s="200">
        <v>0</v>
      </c>
      <c r="L96" s="200">
        <v>0</v>
      </c>
      <c r="M96" s="200">
        <v>0</v>
      </c>
      <c r="N96" s="200">
        <v>0</v>
      </c>
      <c r="O96" s="200">
        <v>0</v>
      </c>
      <c r="P96" s="200">
        <v>0</v>
      </c>
      <c r="Q96" s="200">
        <v>0</v>
      </c>
      <c r="R96" s="200">
        <v>0</v>
      </c>
      <c r="S96" s="200">
        <v>0</v>
      </c>
      <c r="T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row>
    <row r="97" spans="1:86" ht="6.75" customHeight="1" x14ac:dyDescent="0.3">
      <c r="B97" s="15"/>
      <c r="C97" s="13"/>
      <c r="D97" s="13"/>
      <c r="E97" s="30"/>
      <c r="F97" s="30"/>
      <c r="G97" s="30"/>
      <c r="H97" s="30"/>
      <c r="I97" s="30"/>
      <c r="J97" s="30"/>
      <c r="K97" s="30"/>
      <c r="L97" s="30"/>
      <c r="M97" s="30"/>
      <c r="N97" s="30"/>
      <c r="O97" s="30"/>
      <c r="P97" s="30"/>
      <c r="Q97" s="30"/>
      <c r="R97" s="30"/>
      <c r="S97" s="30"/>
      <c r="T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row>
    <row r="98" spans="1:86" ht="29.25" customHeight="1" x14ac:dyDescent="0.3">
      <c r="B98" s="296" t="s">
        <v>36</v>
      </c>
      <c r="C98" s="297"/>
      <c r="D98" s="297"/>
      <c r="E98" s="298"/>
      <c r="F98" s="179">
        <f t="shared" ref="F98:S98" si="46">+F87+F70+F68+F62</f>
        <v>36598.278251564181</v>
      </c>
      <c r="G98" s="179">
        <f t="shared" si="46"/>
        <v>96.06220686135859</v>
      </c>
      <c r="H98" s="179">
        <f t="shared" si="46"/>
        <v>44788.697339100334</v>
      </c>
      <c r="I98" s="179">
        <f t="shared" si="46"/>
        <v>97.944727704758421</v>
      </c>
      <c r="J98" s="179">
        <f t="shared" si="46"/>
        <v>19004.107498216894</v>
      </c>
      <c r="K98" s="179">
        <f t="shared" si="46"/>
        <v>93.581533035724547</v>
      </c>
      <c r="L98" s="179">
        <f t="shared" si="46"/>
        <v>9596.3612700173762</v>
      </c>
      <c r="M98" s="179">
        <f t="shared" si="46"/>
        <v>93.58186511572454</v>
      </c>
      <c r="N98" s="179">
        <f t="shared" si="46"/>
        <v>949.07938199737771</v>
      </c>
      <c r="O98" s="179">
        <f t="shared" si="46"/>
        <v>93.582201165724541</v>
      </c>
      <c r="P98" s="179">
        <f t="shared" si="46"/>
        <v>949.07938199737771</v>
      </c>
      <c r="Q98" s="179">
        <f t="shared" si="46"/>
        <v>53.73477199495531</v>
      </c>
      <c r="R98" s="179">
        <f t="shared" si="46"/>
        <v>127.47225484129167</v>
      </c>
      <c r="S98" s="179">
        <f t="shared" si="46"/>
        <v>13.377211630056365</v>
      </c>
      <c r="T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row>
    <row r="99" spans="1:86" x14ac:dyDescent="0.3">
      <c r="B99" s="35"/>
      <c r="C99" s="35"/>
      <c r="D99" s="35"/>
      <c r="E99" s="86"/>
      <c r="F99" s="259"/>
      <c r="G99" s="259"/>
      <c r="H99" s="259"/>
      <c r="I99" s="259"/>
      <c r="J99" s="259"/>
      <c r="K99" s="259"/>
      <c r="L99" s="259"/>
      <c r="M99" s="259"/>
      <c r="N99" s="259"/>
      <c r="O99" s="259"/>
      <c r="P99" s="259"/>
      <c r="Q99" s="259"/>
      <c r="R99" s="259"/>
      <c r="S99" s="259"/>
      <c r="T99" s="260"/>
      <c r="U99" s="26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row>
    <row r="100" spans="1:86" x14ac:dyDescent="0.3">
      <c r="B100" s="36"/>
      <c r="C100" s="36"/>
      <c r="D100" s="36"/>
      <c r="E100" s="36"/>
      <c r="F100" s="261"/>
      <c r="G100" s="261"/>
      <c r="H100" s="261"/>
      <c r="I100" s="261"/>
      <c r="J100" s="261"/>
      <c r="K100" s="261"/>
      <c r="L100" s="261"/>
      <c r="M100" s="261"/>
      <c r="N100" s="261"/>
      <c r="O100" s="261"/>
      <c r="P100" s="261"/>
      <c r="Q100" s="261"/>
      <c r="R100" s="261"/>
      <c r="S100" s="261"/>
      <c r="T100" s="262"/>
      <c r="U100" s="262"/>
      <c r="V100" s="36"/>
      <c r="W100" s="36"/>
      <c r="X100" s="36"/>
      <c r="Y100" s="36"/>
      <c r="Z100" s="36"/>
    </row>
    <row r="101" spans="1:86" x14ac:dyDescent="0.3">
      <c r="B101" s="36"/>
      <c r="C101" s="36"/>
      <c r="D101" s="36"/>
      <c r="E101" s="36"/>
      <c r="F101" s="138"/>
      <c r="G101" s="36"/>
      <c r="H101" s="36"/>
      <c r="I101" s="36"/>
      <c r="J101" s="36"/>
      <c r="K101" s="36"/>
      <c r="L101" s="36"/>
      <c r="M101" s="36"/>
      <c r="N101" s="36"/>
      <c r="O101" s="36"/>
      <c r="P101" s="36"/>
      <c r="Q101" s="36"/>
      <c r="R101" s="36"/>
      <c r="S101" s="36"/>
      <c r="T101" s="36"/>
      <c r="U101" s="36"/>
      <c r="V101" s="36"/>
      <c r="W101" s="36"/>
      <c r="X101" s="36"/>
      <c r="Y101" s="36"/>
      <c r="Z101" s="36"/>
    </row>
    <row r="102" spans="1:86" ht="20.25" x14ac:dyDescent="0.3">
      <c r="B102" s="286" t="s">
        <v>43</v>
      </c>
      <c r="C102" s="286"/>
      <c r="D102" s="286"/>
      <c r="E102" s="286"/>
      <c r="F102" s="286"/>
      <c r="G102" s="286"/>
      <c r="H102" s="286"/>
      <c r="I102" s="286"/>
      <c r="J102" s="286"/>
      <c r="K102" s="286"/>
      <c r="L102" s="286"/>
      <c r="M102" s="286"/>
      <c r="N102" s="286"/>
      <c r="O102" s="286"/>
      <c r="P102" s="286"/>
      <c r="Q102" s="286"/>
      <c r="R102" s="286"/>
      <c r="S102" s="286"/>
      <c r="T102" s="286"/>
      <c r="U102" s="286"/>
    </row>
    <row r="103" spans="1:86" ht="17.25" x14ac:dyDescent="0.3">
      <c r="B103" s="162" t="s">
        <v>46</v>
      </c>
      <c r="C103" s="2"/>
      <c r="D103" s="2"/>
      <c r="E103" s="2"/>
      <c r="F103" s="134"/>
      <c r="G103" s="2"/>
      <c r="H103" s="2"/>
      <c r="I103" s="2"/>
      <c r="J103" s="2"/>
      <c r="K103" s="2"/>
      <c r="L103" s="2"/>
      <c r="M103" s="2"/>
      <c r="N103" s="2"/>
      <c r="O103" s="2"/>
      <c r="P103" s="2"/>
      <c r="Q103" s="2"/>
      <c r="R103" s="1"/>
    </row>
    <row r="104" spans="1:86" x14ac:dyDescent="0.3">
      <c r="G104" s="136"/>
      <c r="H104" s="136"/>
      <c r="I104" s="136"/>
      <c r="J104" s="136"/>
      <c r="K104" s="136"/>
      <c r="L104" s="136"/>
      <c r="M104" s="136"/>
      <c r="N104" s="136"/>
      <c r="O104" s="136"/>
      <c r="P104" s="136"/>
      <c r="Q104" s="136"/>
      <c r="R104" s="136"/>
      <c r="S104" s="136"/>
    </row>
    <row r="105" spans="1:86" ht="32.25" customHeight="1" x14ac:dyDescent="0.3">
      <c r="F105" s="176">
        <v>2024</v>
      </c>
      <c r="G105" s="176">
        <v>2024</v>
      </c>
      <c r="H105" s="176">
        <v>2025</v>
      </c>
      <c r="I105" s="176">
        <v>2025</v>
      </c>
      <c r="J105" s="176">
        <v>2026</v>
      </c>
      <c r="K105" s="176">
        <v>2026</v>
      </c>
      <c r="L105" s="176">
        <v>2027</v>
      </c>
      <c r="M105" s="176">
        <v>2027</v>
      </c>
      <c r="N105" s="176">
        <v>2028</v>
      </c>
      <c r="O105" s="176">
        <v>2028</v>
      </c>
      <c r="P105" s="176">
        <v>2029</v>
      </c>
      <c r="Q105" s="176">
        <v>2029</v>
      </c>
      <c r="R105" s="177" t="s">
        <v>171</v>
      </c>
      <c r="S105" s="177" t="s">
        <v>171</v>
      </c>
      <c r="U105" s="104"/>
      <c r="AA105" s="105"/>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c r="BT105" s="104"/>
    </row>
    <row r="106" spans="1:86" ht="33.75" customHeight="1" x14ac:dyDescent="0.3">
      <c r="B106" s="163" t="s">
        <v>0</v>
      </c>
      <c r="C106" s="163" t="s">
        <v>1</v>
      </c>
      <c r="D106" s="164" t="s">
        <v>130</v>
      </c>
      <c r="E106" s="164" t="s">
        <v>93</v>
      </c>
      <c r="F106" s="163" t="s">
        <v>2</v>
      </c>
      <c r="G106" s="178" t="s">
        <v>97</v>
      </c>
      <c r="H106" s="163" t="s">
        <v>2</v>
      </c>
      <c r="I106" s="178" t="s">
        <v>97</v>
      </c>
      <c r="J106" s="163" t="s">
        <v>2</v>
      </c>
      <c r="K106" s="178" t="s">
        <v>97</v>
      </c>
      <c r="L106" s="163" t="s">
        <v>2</v>
      </c>
      <c r="M106" s="178" t="s">
        <v>97</v>
      </c>
      <c r="N106" s="163" t="s">
        <v>2</v>
      </c>
      <c r="O106" s="178" t="s">
        <v>97</v>
      </c>
      <c r="P106" s="163" t="s">
        <v>2</v>
      </c>
      <c r="Q106" s="178" t="s">
        <v>97</v>
      </c>
      <c r="R106" s="163" t="s">
        <v>2</v>
      </c>
      <c r="S106" s="178" t="s">
        <v>97</v>
      </c>
      <c r="U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row>
    <row r="107" spans="1:86" ht="27.95" customHeight="1" x14ac:dyDescent="0.3">
      <c r="B107" s="166" t="s">
        <v>87</v>
      </c>
      <c r="C107" s="166"/>
      <c r="D107" s="166"/>
      <c r="E107" s="166"/>
      <c r="F107" s="179">
        <f t="shared" ref="F107:S107" si="47">+SUM(F108:F112)</f>
        <v>186.59453558165853</v>
      </c>
      <c r="G107" s="179">
        <f t="shared" si="47"/>
        <v>0</v>
      </c>
      <c r="H107" s="179">
        <f t="shared" si="47"/>
        <v>119.24866525680105</v>
      </c>
      <c r="I107" s="179">
        <f t="shared" si="47"/>
        <v>0</v>
      </c>
      <c r="J107" s="179">
        <f t="shared" si="47"/>
        <v>83.444637760925403</v>
      </c>
      <c r="K107" s="179">
        <f t="shared" si="47"/>
        <v>0</v>
      </c>
      <c r="L107" s="179">
        <f t="shared" si="47"/>
        <v>66.209401396932805</v>
      </c>
      <c r="M107" s="179">
        <f t="shared" si="47"/>
        <v>0</v>
      </c>
      <c r="N107" s="179">
        <f t="shared" si="47"/>
        <v>54.714529787965418</v>
      </c>
      <c r="O107" s="179">
        <f t="shared" si="47"/>
        <v>0</v>
      </c>
      <c r="P107" s="179">
        <f t="shared" si="47"/>
        <v>43.928254516330448</v>
      </c>
      <c r="Q107" s="179">
        <f t="shared" si="47"/>
        <v>0</v>
      </c>
      <c r="R107" s="179">
        <f t="shared" si="47"/>
        <v>18.399850144931076</v>
      </c>
      <c r="S107" s="179">
        <f t="shared" si="47"/>
        <v>0</v>
      </c>
      <c r="U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row>
    <row r="108" spans="1:86" ht="27.95" customHeight="1" x14ac:dyDescent="0.3">
      <c r="A108" s="62"/>
      <c r="B108" s="154" t="s">
        <v>189</v>
      </c>
      <c r="C108" s="154" t="s">
        <v>240</v>
      </c>
      <c r="D108" s="154" t="str">
        <f>+VLOOKUP($C108,$C$10:$D$43,2,FALSE)</f>
        <v>Pesos</v>
      </c>
      <c r="E108" s="154" t="s">
        <v>87</v>
      </c>
      <c r="F108" s="200">
        <v>66.326524204727775</v>
      </c>
      <c r="G108" s="200">
        <v>0</v>
      </c>
      <c r="H108" s="200">
        <v>98.984737907082575</v>
      </c>
      <c r="I108" s="200">
        <v>0</v>
      </c>
      <c r="J108" s="200">
        <v>80.802300951576086</v>
      </c>
      <c r="K108" s="200">
        <v>0</v>
      </c>
      <c r="L108" s="200">
        <v>66.209401396932805</v>
      </c>
      <c r="M108" s="200">
        <v>0</v>
      </c>
      <c r="N108" s="200">
        <v>54.714529787965418</v>
      </c>
      <c r="O108" s="200">
        <v>0</v>
      </c>
      <c r="P108" s="200">
        <v>43.928254516330448</v>
      </c>
      <c r="Q108" s="200">
        <v>0</v>
      </c>
      <c r="R108" s="200">
        <v>18.399850144931076</v>
      </c>
      <c r="S108" s="200">
        <v>0</v>
      </c>
      <c r="U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row>
    <row r="109" spans="1:86" ht="27.95" customHeight="1" x14ac:dyDescent="0.3">
      <c r="A109" s="62"/>
      <c r="B109" s="154" t="s">
        <v>5</v>
      </c>
      <c r="C109" s="154" t="s">
        <v>6</v>
      </c>
      <c r="D109" s="154" t="str">
        <f>+VLOOKUP($C109,$C$10:$D$43,2,FALSE)</f>
        <v>Pesos</v>
      </c>
      <c r="E109" s="154" t="s">
        <v>87</v>
      </c>
      <c r="F109" s="200">
        <v>18.753481180000001</v>
      </c>
      <c r="G109" s="200">
        <v>0</v>
      </c>
      <c r="H109" s="200">
        <v>9.4135764028677098</v>
      </c>
      <c r="I109" s="200">
        <v>0</v>
      </c>
      <c r="J109" s="200">
        <v>0.27550985</v>
      </c>
      <c r="K109" s="200">
        <v>0</v>
      </c>
      <c r="L109" s="200">
        <v>0</v>
      </c>
      <c r="M109" s="200">
        <v>0</v>
      </c>
      <c r="N109" s="200">
        <v>0</v>
      </c>
      <c r="O109" s="200">
        <v>0</v>
      </c>
      <c r="P109" s="200">
        <v>0</v>
      </c>
      <c r="Q109" s="200">
        <v>0</v>
      </c>
      <c r="R109" s="200">
        <v>0</v>
      </c>
      <c r="S109" s="200">
        <v>0</v>
      </c>
      <c r="U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c r="BN109" s="71"/>
      <c r="BO109" s="71"/>
      <c r="BP109" s="71"/>
      <c r="BQ109" s="71"/>
      <c r="BR109" s="71"/>
      <c r="BS109" s="71"/>
      <c r="BT109" s="71"/>
    </row>
    <row r="110" spans="1:86" ht="27.95" customHeight="1" x14ac:dyDescent="0.3">
      <c r="A110" s="62"/>
      <c r="B110" s="154" t="s">
        <v>7</v>
      </c>
      <c r="C110" s="154" t="s">
        <v>8</v>
      </c>
      <c r="D110" s="154" t="str">
        <f>+VLOOKUP($C110,$C$10:$D$43,2,FALSE)</f>
        <v>Pesos</v>
      </c>
      <c r="E110" s="154" t="s">
        <v>87</v>
      </c>
      <c r="F110" s="200">
        <v>54.83928714999999</v>
      </c>
      <c r="G110" s="200">
        <v>0</v>
      </c>
      <c r="H110" s="200">
        <v>9.9605842799999991</v>
      </c>
      <c r="I110" s="200">
        <v>0</v>
      </c>
      <c r="J110" s="200">
        <v>2.3568159999999998</v>
      </c>
      <c r="K110" s="200">
        <v>0</v>
      </c>
      <c r="L110" s="200">
        <v>0</v>
      </c>
      <c r="M110" s="200">
        <v>0</v>
      </c>
      <c r="N110" s="200">
        <v>0</v>
      </c>
      <c r="O110" s="200">
        <v>0</v>
      </c>
      <c r="P110" s="200">
        <v>0</v>
      </c>
      <c r="Q110" s="200">
        <v>0</v>
      </c>
      <c r="R110" s="200">
        <v>0</v>
      </c>
      <c r="S110" s="200">
        <v>0</v>
      </c>
      <c r="U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row>
    <row r="111" spans="1:86" ht="27.95" customHeight="1" x14ac:dyDescent="0.3">
      <c r="A111" s="62"/>
      <c r="B111" s="154" t="s">
        <v>9</v>
      </c>
      <c r="C111" s="154" t="s">
        <v>10</v>
      </c>
      <c r="D111" s="154" t="str">
        <f>+VLOOKUP($C111,$C$10:$D$43,2,FALSE)</f>
        <v>Pesos</v>
      </c>
      <c r="E111" s="154" t="s">
        <v>87</v>
      </c>
      <c r="F111" s="200">
        <v>1.9822750369308</v>
      </c>
      <c r="G111" s="200">
        <v>0</v>
      </c>
      <c r="H111" s="200">
        <v>0.88976666685075867</v>
      </c>
      <c r="I111" s="200">
        <v>0</v>
      </c>
      <c r="J111" s="200">
        <v>1.0010959349320413E-2</v>
      </c>
      <c r="K111" s="200">
        <v>0</v>
      </c>
      <c r="L111" s="200">
        <v>0</v>
      </c>
      <c r="M111" s="200">
        <v>0</v>
      </c>
      <c r="N111" s="200">
        <v>0</v>
      </c>
      <c r="O111" s="200">
        <v>0</v>
      </c>
      <c r="P111" s="200">
        <v>0</v>
      </c>
      <c r="Q111" s="200">
        <v>0</v>
      </c>
      <c r="R111" s="200">
        <v>0</v>
      </c>
      <c r="S111" s="200">
        <v>0</v>
      </c>
      <c r="U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row>
    <row r="112" spans="1:86" ht="27.95" customHeight="1" x14ac:dyDescent="0.3">
      <c r="A112" s="62"/>
      <c r="B112" s="154" t="s">
        <v>3</v>
      </c>
      <c r="C112" s="154" t="s">
        <v>4</v>
      </c>
      <c r="D112" s="154" t="str">
        <f>+VLOOKUP($C112,$C$10:$D$43,2,FALSE)</f>
        <v>Pesos</v>
      </c>
      <c r="E112" s="154" t="s">
        <v>87</v>
      </c>
      <c r="F112" s="200">
        <v>44.692968010000001</v>
      </c>
      <c r="G112" s="200">
        <v>0</v>
      </c>
      <c r="H112" s="200">
        <v>0</v>
      </c>
      <c r="I112" s="200">
        <v>0</v>
      </c>
      <c r="J112" s="200">
        <v>0</v>
      </c>
      <c r="K112" s="200">
        <v>0</v>
      </c>
      <c r="L112" s="200">
        <v>0</v>
      </c>
      <c r="M112" s="200">
        <v>0</v>
      </c>
      <c r="N112" s="200">
        <v>0</v>
      </c>
      <c r="O112" s="200">
        <v>0</v>
      </c>
      <c r="P112" s="200">
        <v>0</v>
      </c>
      <c r="Q112" s="200">
        <v>0</v>
      </c>
      <c r="R112" s="200">
        <v>0</v>
      </c>
      <c r="S112" s="200">
        <v>0</v>
      </c>
      <c r="U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row>
    <row r="113" spans="1:72" ht="27.95" customHeight="1" x14ac:dyDescent="0.3">
      <c r="A113" s="62"/>
      <c r="B113" s="166" t="s">
        <v>88</v>
      </c>
      <c r="C113" s="166"/>
      <c r="D113" s="166"/>
      <c r="E113" s="166"/>
      <c r="F113" s="179">
        <f t="shared" ref="F113:S113" si="48">+F114</f>
        <v>9340.1620298601028</v>
      </c>
      <c r="G113" s="179">
        <f t="shared" si="48"/>
        <v>0</v>
      </c>
      <c r="H113" s="179">
        <f t="shared" si="48"/>
        <v>2627.8195236455285</v>
      </c>
      <c r="I113" s="179">
        <f t="shared" si="48"/>
        <v>0</v>
      </c>
      <c r="J113" s="179">
        <f t="shared" si="48"/>
        <v>934.41735193315537</v>
      </c>
      <c r="K113" s="179">
        <f t="shared" si="48"/>
        <v>0</v>
      </c>
      <c r="L113" s="179">
        <f t="shared" si="48"/>
        <v>74.937502484920799</v>
      </c>
      <c r="M113" s="179">
        <f t="shared" si="48"/>
        <v>0</v>
      </c>
      <c r="N113" s="179">
        <f t="shared" si="48"/>
        <v>0</v>
      </c>
      <c r="O113" s="179">
        <f t="shared" si="48"/>
        <v>0</v>
      </c>
      <c r="P113" s="179">
        <f t="shared" si="48"/>
        <v>0</v>
      </c>
      <c r="Q113" s="179">
        <f t="shared" si="48"/>
        <v>0</v>
      </c>
      <c r="R113" s="179">
        <f t="shared" si="48"/>
        <v>0</v>
      </c>
      <c r="S113" s="179">
        <f t="shared" si="48"/>
        <v>0</v>
      </c>
      <c r="U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row>
    <row r="114" spans="1:72" ht="27.95" customHeight="1" x14ac:dyDescent="0.3">
      <c r="A114" s="62"/>
      <c r="B114" s="154" t="s">
        <v>140</v>
      </c>
      <c r="C114" s="154" t="s">
        <v>141</v>
      </c>
      <c r="D114" s="154" t="str">
        <f>+VLOOKUP($C114,$C$10:$D$43,2,FALSE)</f>
        <v>Pesos</v>
      </c>
      <c r="E114" s="154" t="s">
        <v>88</v>
      </c>
      <c r="F114" s="200">
        <v>9340.1620298601028</v>
      </c>
      <c r="G114" s="200">
        <v>0</v>
      </c>
      <c r="H114" s="200">
        <v>2627.8195236455285</v>
      </c>
      <c r="I114" s="200">
        <v>0</v>
      </c>
      <c r="J114" s="200">
        <v>934.41735193315537</v>
      </c>
      <c r="K114" s="200">
        <v>0</v>
      </c>
      <c r="L114" s="200">
        <v>74.937502484920799</v>
      </c>
      <c r="M114" s="200">
        <v>0</v>
      </c>
      <c r="N114" s="200">
        <v>0</v>
      </c>
      <c r="O114" s="200">
        <v>0</v>
      </c>
      <c r="P114" s="200">
        <v>0</v>
      </c>
      <c r="Q114" s="200">
        <v>0</v>
      </c>
      <c r="R114" s="200">
        <v>0</v>
      </c>
      <c r="S114" s="200">
        <v>0</v>
      </c>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c r="BN114" s="71"/>
      <c r="BO114" s="71"/>
      <c r="BP114" s="71"/>
      <c r="BQ114" s="71"/>
      <c r="BR114" s="71"/>
      <c r="BS114" s="71"/>
      <c r="BT114" s="71"/>
    </row>
    <row r="115" spans="1:72" ht="27.95" customHeight="1" x14ac:dyDescent="0.3">
      <c r="A115" s="62"/>
      <c r="B115" s="166" t="s">
        <v>11</v>
      </c>
      <c r="C115" s="166"/>
      <c r="D115" s="166"/>
      <c r="E115" s="166"/>
      <c r="F115" s="179">
        <f t="shared" ref="F115:S115" si="49">+F116+F128</f>
        <v>0</v>
      </c>
      <c r="G115" s="179">
        <f t="shared" si="49"/>
        <v>10.599096975391394</v>
      </c>
      <c r="H115" s="179">
        <f t="shared" si="49"/>
        <v>0</v>
      </c>
      <c r="I115" s="179">
        <f t="shared" si="49"/>
        <v>10.99327632625509</v>
      </c>
      <c r="J115" s="179">
        <f t="shared" si="49"/>
        <v>0</v>
      </c>
      <c r="K115" s="179">
        <f t="shared" si="49"/>
        <v>8.9926884445965953</v>
      </c>
      <c r="L115" s="179">
        <f t="shared" si="49"/>
        <v>0</v>
      </c>
      <c r="M115" s="179">
        <f t="shared" si="49"/>
        <v>7.5669212024258918</v>
      </c>
      <c r="N115" s="179">
        <f t="shared" si="49"/>
        <v>0</v>
      </c>
      <c r="O115" s="179">
        <f t="shared" si="49"/>
        <v>6.2582972828131611</v>
      </c>
      <c r="P115" s="179">
        <f t="shared" si="49"/>
        <v>0</v>
      </c>
      <c r="Q115" s="179">
        <f t="shared" si="49"/>
        <v>4.8770040742958143</v>
      </c>
      <c r="R115" s="179">
        <f t="shared" si="49"/>
        <v>0</v>
      </c>
      <c r="S115" s="179">
        <f t="shared" si="49"/>
        <v>2.2902491439825763</v>
      </c>
      <c r="U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row>
    <row r="116" spans="1:72" ht="27.95" customHeight="1" x14ac:dyDescent="0.3">
      <c r="A116" s="62"/>
      <c r="B116" s="171" t="s">
        <v>12</v>
      </c>
      <c r="C116" s="171"/>
      <c r="D116" s="171"/>
      <c r="E116" s="171"/>
      <c r="F116" s="182">
        <f t="shared" ref="F116:R116" si="50">+SUM(F117:F127)</f>
        <v>0</v>
      </c>
      <c r="G116" s="182">
        <f t="shared" si="50"/>
        <v>9.1685466373557585</v>
      </c>
      <c r="H116" s="182">
        <f t="shared" si="50"/>
        <v>0</v>
      </c>
      <c r="I116" s="182">
        <f t="shared" si="50"/>
        <v>8.9804386892332442</v>
      </c>
      <c r="J116" s="182">
        <f t="shared" si="50"/>
        <v>0</v>
      </c>
      <c r="K116" s="182">
        <f t="shared" si="50"/>
        <v>7.3194593648652306</v>
      </c>
      <c r="L116" s="182">
        <f t="shared" si="50"/>
        <v>0</v>
      </c>
      <c r="M116" s="182">
        <f t="shared" si="50"/>
        <v>6.1422406810475616</v>
      </c>
      <c r="N116" s="182">
        <f t="shared" si="50"/>
        <v>0</v>
      </c>
      <c r="O116" s="182">
        <f t="shared" si="50"/>
        <v>4.9704314378466119</v>
      </c>
      <c r="P116" s="182">
        <f t="shared" si="50"/>
        <v>0</v>
      </c>
      <c r="Q116" s="182">
        <f t="shared" si="50"/>
        <v>3.7113061054264009</v>
      </c>
      <c r="R116" s="182">
        <f t="shared" si="50"/>
        <v>0</v>
      </c>
      <c r="S116" s="182">
        <f>+SUM(S117:S127)</f>
        <v>1.7230619571539016</v>
      </c>
      <c r="U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09"/>
      <c r="BQ116" s="109"/>
      <c r="BR116" s="109"/>
      <c r="BS116" s="109"/>
      <c r="BT116" s="109"/>
    </row>
    <row r="117" spans="1:72" ht="27.95" customHeight="1" x14ac:dyDescent="0.3">
      <c r="A117" s="62"/>
      <c r="B117" s="154" t="s">
        <v>19</v>
      </c>
      <c r="C117" s="154" t="s">
        <v>20</v>
      </c>
      <c r="D117" s="154" t="str">
        <f>+VLOOKUP($C117,$C$10:$D$43,2,FALSE)</f>
        <v>USD</v>
      </c>
      <c r="E117" s="154" t="s">
        <v>90</v>
      </c>
      <c r="F117" s="200">
        <v>0</v>
      </c>
      <c r="G117" s="200">
        <v>2.8011069599999998</v>
      </c>
      <c r="H117" s="200">
        <v>0</v>
      </c>
      <c r="I117" s="200">
        <v>2.2419630781701514</v>
      </c>
      <c r="J117" s="200">
        <v>0</v>
      </c>
      <c r="K117" s="200">
        <v>1.8579072794440947</v>
      </c>
      <c r="L117" s="200">
        <v>0</v>
      </c>
      <c r="M117" s="200">
        <v>1.5733730258404282</v>
      </c>
      <c r="N117" s="200">
        <v>0</v>
      </c>
      <c r="O117" s="200">
        <v>1.3164533991280225</v>
      </c>
      <c r="P117" s="200">
        <v>0</v>
      </c>
      <c r="Q117" s="200">
        <v>0.97055833619949405</v>
      </c>
      <c r="R117" s="200">
        <v>0</v>
      </c>
      <c r="S117" s="200">
        <v>0.43934709102873276</v>
      </c>
      <c r="U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c r="BL117" s="71"/>
      <c r="BM117" s="71"/>
      <c r="BN117" s="71"/>
      <c r="BO117" s="71"/>
      <c r="BP117" s="71"/>
      <c r="BQ117" s="71"/>
      <c r="BR117" s="71"/>
      <c r="BS117" s="71"/>
      <c r="BT117" s="71"/>
    </row>
    <row r="118" spans="1:72" ht="27.95" customHeight="1" x14ac:dyDescent="0.3">
      <c r="A118" s="62"/>
      <c r="B118" s="154" t="s">
        <v>123</v>
      </c>
      <c r="C118" s="154" t="s">
        <v>124</v>
      </c>
      <c r="D118" s="154" t="str">
        <f>+VLOOKUP($C118,$C$10:$D$43,2,FALSE)</f>
        <v>USD</v>
      </c>
      <c r="E118" s="154" t="s">
        <v>90</v>
      </c>
      <c r="F118" s="200">
        <v>0</v>
      </c>
      <c r="G118" s="200">
        <v>1.8160750299999997</v>
      </c>
      <c r="H118" s="200">
        <v>0</v>
      </c>
      <c r="I118" s="200">
        <v>1.890550196383562</v>
      </c>
      <c r="J118" s="200">
        <v>0</v>
      </c>
      <c r="K118" s="200">
        <v>1.6170909859726028</v>
      </c>
      <c r="L118" s="200">
        <v>0</v>
      </c>
      <c r="M118" s="200">
        <v>1.4008338941917806</v>
      </c>
      <c r="N118" s="200">
        <v>0</v>
      </c>
      <c r="O118" s="200">
        <v>1.1573597224109586</v>
      </c>
      <c r="P118" s="200">
        <v>0</v>
      </c>
      <c r="Q118" s="200">
        <v>0.89874413260273933</v>
      </c>
      <c r="R118" s="200">
        <v>0</v>
      </c>
      <c r="S118" s="200">
        <v>0.43939331980273938</v>
      </c>
      <c r="U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c r="BL118" s="71"/>
      <c r="BM118" s="71"/>
      <c r="BN118" s="71"/>
      <c r="BO118" s="71"/>
      <c r="BP118" s="71"/>
      <c r="BQ118" s="71"/>
      <c r="BR118" s="71"/>
      <c r="BS118" s="71"/>
      <c r="BT118" s="71"/>
    </row>
    <row r="119" spans="1:72" ht="27.95" customHeight="1" x14ac:dyDescent="0.3">
      <c r="A119" s="62"/>
      <c r="B119" s="154" t="s">
        <v>13</v>
      </c>
      <c r="C119" s="154" t="s">
        <v>14</v>
      </c>
      <c r="D119" s="154" t="str">
        <f>+VLOOKUP($C119,$C$10:$D$43,2,FALSE)</f>
        <v>USD</v>
      </c>
      <c r="E119" s="154" t="s">
        <v>90</v>
      </c>
      <c r="F119" s="200">
        <v>0</v>
      </c>
      <c r="G119" s="200">
        <v>1.7770910340904118</v>
      </c>
      <c r="H119" s="200">
        <v>0</v>
      </c>
      <c r="I119" s="200">
        <v>1.8318550764453965</v>
      </c>
      <c r="J119" s="200">
        <v>0</v>
      </c>
      <c r="K119" s="200">
        <v>1.5228505588367705</v>
      </c>
      <c r="L119" s="200">
        <v>0</v>
      </c>
      <c r="M119" s="200">
        <v>1.2665107140437935</v>
      </c>
      <c r="N119" s="200">
        <v>0</v>
      </c>
      <c r="O119" s="200">
        <v>0.98216491787611948</v>
      </c>
      <c r="P119" s="200">
        <v>0</v>
      </c>
      <c r="Q119" s="200">
        <v>0.72880511943213833</v>
      </c>
      <c r="R119" s="200">
        <v>0</v>
      </c>
      <c r="S119" s="200">
        <v>0.35196382516183694</v>
      </c>
      <c r="U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c r="BN119" s="71"/>
      <c r="BO119" s="71"/>
      <c r="BP119" s="71"/>
      <c r="BQ119" s="71"/>
      <c r="BR119" s="71"/>
      <c r="BS119" s="71"/>
      <c r="BT119" s="71"/>
    </row>
    <row r="120" spans="1:72" ht="27.95" customHeight="1" x14ac:dyDescent="0.3">
      <c r="A120" s="62"/>
      <c r="B120" s="154" t="s">
        <v>15</v>
      </c>
      <c r="C120" s="154" t="s">
        <v>16</v>
      </c>
      <c r="D120" s="154" t="str">
        <f>+VLOOKUP($C120,$C$10:$D$43,2,FALSE)</f>
        <v>USD</v>
      </c>
      <c r="E120" s="154" t="s">
        <v>90</v>
      </c>
      <c r="F120" s="200">
        <v>0</v>
      </c>
      <c r="G120" s="200">
        <v>0.79248115999999991</v>
      </c>
      <c r="H120" s="200">
        <v>0</v>
      </c>
      <c r="I120" s="200">
        <v>1.5649537600000001</v>
      </c>
      <c r="J120" s="200">
        <v>0</v>
      </c>
      <c r="K120" s="200">
        <v>1.2492034400000001</v>
      </c>
      <c r="L120" s="200">
        <v>0</v>
      </c>
      <c r="M120" s="200">
        <v>0.99765535000000005</v>
      </c>
      <c r="N120" s="200">
        <v>0</v>
      </c>
      <c r="O120" s="200">
        <v>0.76037337000000005</v>
      </c>
      <c r="P120" s="200">
        <v>0</v>
      </c>
      <c r="Q120" s="200">
        <v>0.52093159</v>
      </c>
      <c r="R120" s="200">
        <v>0</v>
      </c>
      <c r="S120" s="200">
        <v>0.21259518757323287</v>
      </c>
      <c r="U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71"/>
      <c r="BN120" s="71"/>
      <c r="BO120" s="71"/>
      <c r="BP120" s="71"/>
      <c r="BQ120" s="71"/>
      <c r="BR120" s="71"/>
      <c r="BS120" s="71"/>
      <c r="BT120" s="71"/>
    </row>
    <row r="121" spans="1:72" ht="27.95" customHeight="1" x14ac:dyDescent="0.3">
      <c r="A121" s="62"/>
      <c r="B121" s="154" t="s">
        <v>23</v>
      </c>
      <c r="C121" s="154" t="s">
        <v>24</v>
      </c>
      <c r="D121" s="154" t="str">
        <f>+VLOOKUP($C121,$C$10:$D$43,2,FALSE)</f>
        <v>USD</v>
      </c>
      <c r="E121" s="154" t="s">
        <v>90</v>
      </c>
      <c r="F121" s="200">
        <v>0</v>
      </c>
      <c r="G121" s="200">
        <v>0.92235376248263568</v>
      </c>
      <c r="H121" s="200">
        <v>0</v>
      </c>
      <c r="I121" s="200">
        <v>0.74607817133725474</v>
      </c>
      <c r="J121" s="200">
        <v>0</v>
      </c>
      <c r="K121" s="200">
        <v>0.62783811804426992</v>
      </c>
      <c r="L121" s="200">
        <v>0</v>
      </c>
      <c r="M121" s="200">
        <v>0.5379907644064138</v>
      </c>
      <c r="N121" s="200">
        <v>0</v>
      </c>
      <c r="O121" s="200">
        <v>0.44638722506679512</v>
      </c>
      <c r="P121" s="200">
        <v>0</v>
      </c>
      <c r="Q121" s="200">
        <v>0.33749522047879871</v>
      </c>
      <c r="R121" s="200">
        <v>0</v>
      </c>
      <c r="S121" s="200">
        <v>0.15743979959956653</v>
      </c>
      <c r="U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c r="BN121" s="71"/>
      <c r="BO121" s="71"/>
      <c r="BP121" s="71"/>
      <c r="BQ121" s="71"/>
      <c r="BR121" s="71"/>
      <c r="BS121" s="71"/>
      <c r="BT121" s="71"/>
    </row>
    <row r="122" spans="1:72" ht="27.95" customHeight="1" x14ac:dyDescent="0.3">
      <c r="A122" s="62"/>
      <c r="B122" s="154" t="s">
        <v>143</v>
      </c>
      <c r="C122" s="154" t="s">
        <v>214</v>
      </c>
      <c r="D122" s="154" t="s">
        <v>97</v>
      </c>
      <c r="E122" s="154" t="s">
        <v>90</v>
      </c>
      <c r="F122" s="200">
        <v>0</v>
      </c>
      <c r="G122" s="200">
        <v>0.30642318999999996</v>
      </c>
      <c r="H122" s="200">
        <v>0</v>
      </c>
      <c r="I122" s="200">
        <v>0.28966968048623043</v>
      </c>
      <c r="J122" s="200">
        <v>0</v>
      </c>
      <c r="K122" s="200">
        <v>0.28374100580685818</v>
      </c>
      <c r="L122" s="200">
        <v>0</v>
      </c>
      <c r="M122" s="200">
        <v>0.23847116257781278</v>
      </c>
      <c r="N122" s="200">
        <v>0</v>
      </c>
      <c r="O122" s="200">
        <v>0.21247419626376302</v>
      </c>
      <c r="P122" s="200">
        <v>0</v>
      </c>
      <c r="Q122" s="200">
        <v>0.19017899130417232</v>
      </c>
      <c r="R122" s="200">
        <v>0</v>
      </c>
      <c r="S122" s="200">
        <v>9.2447707347461841E-2</v>
      </c>
      <c r="U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c r="BM122" s="71"/>
      <c r="BN122" s="71"/>
      <c r="BO122" s="71"/>
      <c r="BP122" s="71"/>
      <c r="BQ122" s="71"/>
      <c r="BR122" s="71"/>
      <c r="BS122" s="71"/>
      <c r="BT122" s="71"/>
    </row>
    <row r="123" spans="1:72" ht="27.95" customHeight="1" x14ac:dyDescent="0.3">
      <c r="A123" s="62"/>
      <c r="B123" s="154" t="s">
        <v>17</v>
      </c>
      <c r="C123" s="154" t="s">
        <v>18</v>
      </c>
      <c r="D123" s="154" t="s">
        <v>97</v>
      </c>
      <c r="E123" s="154" t="s">
        <v>90</v>
      </c>
      <c r="F123" s="200">
        <v>0</v>
      </c>
      <c r="G123" s="200">
        <v>0.5776725835237857</v>
      </c>
      <c r="H123" s="200">
        <v>0</v>
      </c>
      <c r="I123" s="200">
        <v>0.21355562081985205</v>
      </c>
      <c r="J123" s="200">
        <v>0</v>
      </c>
      <c r="K123" s="200">
        <v>0</v>
      </c>
      <c r="L123" s="200">
        <v>0</v>
      </c>
      <c r="M123" s="200">
        <v>0</v>
      </c>
      <c r="N123" s="200">
        <v>0</v>
      </c>
      <c r="O123" s="200">
        <v>0</v>
      </c>
      <c r="P123" s="200">
        <v>0</v>
      </c>
      <c r="Q123" s="200">
        <v>0</v>
      </c>
      <c r="R123" s="200">
        <v>0</v>
      </c>
      <c r="S123" s="200">
        <v>0</v>
      </c>
      <c r="U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row>
    <row r="124" spans="1:72" ht="27.95" customHeight="1" x14ac:dyDescent="0.3">
      <c r="A124" s="62"/>
      <c r="B124" s="154" t="s">
        <v>21</v>
      </c>
      <c r="C124" s="154" t="s">
        <v>22</v>
      </c>
      <c r="D124" s="154" t="s">
        <v>97</v>
      </c>
      <c r="E124" s="154" t="s">
        <v>90</v>
      </c>
      <c r="F124" s="200">
        <v>0</v>
      </c>
      <c r="G124" s="200">
        <v>0.16173516999999998</v>
      </c>
      <c r="H124" s="200">
        <v>0</v>
      </c>
      <c r="I124" s="200">
        <v>0.19830351628316586</v>
      </c>
      <c r="J124" s="200">
        <v>0</v>
      </c>
      <c r="K124" s="200">
        <v>0.15764654212689297</v>
      </c>
      <c r="L124" s="200">
        <v>0</v>
      </c>
      <c r="M124" s="200">
        <v>0.12455641252893163</v>
      </c>
      <c r="N124" s="200">
        <v>0</v>
      </c>
      <c r="O124" s="200">
        <v>9.270529620582349E-2</v>
      </c>
      <c r="P124" s="200">
        <v>0</v>
      </c>
      <c r="Q124" s="200">
        <v>6.2419467912055965E-2</v>
      </c>
      <c r="R124" s="200">
        <v>0</v>
      </c>
      <c r="S124" s="200">
        <v>2.8926673835342264E-2</v>
      </c>
      <c r="U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1"/>
      <c r="BR124" s="71"/>
      <c r="BS124" s="71"/>
      <c r="BT124" s="71"/>
    </row>
    <row r="125" spans="1:72" ht="27.95" customHeight="1" x14ac:dyDescent="0.3">
      <c r="A125" s="62"/>
      <c r="B125" s="154" t="s">
        <v>27</v>
      </c>
      <c r="C125" s="154" t="s">
        <v>28</v>
      </c>
      <c r="D125" s="154" t="str">
        <f>+VLOOKUP($C125,$C$10:$D$43,2,FALSE)</f>
        <v>USD</v>
      </c>
      <c r="E125" s="154" t="s">
        <v>90</v>
      </c>
      <c r="F125" s="200">
        <v>0</v>
      </c>
      <c r="G125" s="200">
        <v>3.8338678127242355E-3</v>
      </c>
      <c r="H125" s="200">
        <v>0</v>
      </c>
      <c r="I125" s="200">
        <v>3.5095893076293205E-3</v>
      </c>
      <c r="J125" s="200">
        <v>0</v>
      </c>
      <c r="K125" s="200">
        <v>3.181434633739902E-3</v>
      </c>
      <c r="L125" s="200">
        <v>0</v>
      </c>
      <c r="M125" s="200">
        <v>2.8493574583996852E-3</v>
      </c>
      <c r="N125" s="200">
        <v>0</v>
      </c>
      <c r="O125" s="200">
        <v>2.5133108951284266E-3</v>
      </c>
      <c r="P125" s="200">
        <v>0</v>
      </c>
      <c r="Q125" s="200">
        <v>2.1732474970019913E-3</v>
      </c>
      <c r="R125" s="200">
        <v>0</v>
      </c>
      <c r="S125" s="200">
        <v>9.4835280498913076E-4</v>
      </c>
      <c r="U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c r="BN125" s="71"/>
      <c r="BO125" s="71"/>
      <c r="BP125" s="71"/>
      <c r="BQ125" s="71"/>
      <c r="BR125" s="71"/>
      <c r="BS125" s="71"/>
      <c r="BT125" s="71"/>
    </row>
    <row r="126" spans="1:72" ht="27.95" customHeight="1" x14ac:dyDescent="0.3">
      <c r="A126" s="62"/>
      <c r="B126" s="154" t="s">
        <v>29</v>
      </c>
      <c r="C126" s="154" t="s">
        <v>30</v>
      </c>
      <c r="D126" s="154" t="str">
        <f>+VLOOKUP($C126,$C$10:$D$43,2,FALSE)</f>
        <v>USD</v>
      </c>
      <c r="E126" s="154" t="s">
        <v>90</v>
      </c>
      <c r="F126" s="200">
        <v>0</v>
      </c>
      <c r="G126" s="200">
        <v>0</v>
      </c>
      <c r="H126" s="200">
        <v>0</v>
      </c>
      <c r="I126" s="200">
        <v>0</v>
      </c>
      <c r="J126" s="200">
        <v>0</v>
      </c>
      <c r="K126" s="200">
        <v>0</v>
      </c>
      <c r="L126" s="200">
        <v>0</v>
      </c>
      <c r="M126" s="200">
        <v>0</v>
      </c>
      <c r="N126" s="200">
        <v>0</v>
      </c>
      <c r="O126" s="200">
        <v>0</v>
      </c>
      <c r="P126" s="200">
        <v>0</v>
      </c>
      <c r="Q126" s="200">
        <v>0</v>
      </c>
      <c r="R126" s="200">
        <v>0</v>
      </c>
      <c r="S126" s="200">
        <v>0</v>
      </c>
      <c r="U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c r="BM126" s="71"/>
      <c r="BN126" s="71"/>
      <c r="BO126" s="71"/>
      <c r="BP126" s="71"/>
      <c r="BQ126" s="71"/>
      <c r="BR126" s="71"/>
      <c r="BS126" s="71"/>
      <c r="BT126" s="71"/>
    </row>
    <row r="127" spans="1:72" ht="27.95" customHeight="1" x14ac:dyDescent="0.3">
      <c r="A127" s="62"/>
      <c r="B127" s="154" t="s">
        <v>25</v>
      </c>
      <c r="C127" s="154" t="s">
        <v>26</v>
      </c>
      <c r="D127" s="154" t="str">
        <f>+VLOOKUP($C127,$C$10:$D$43,2,FALSE)</f>
        <v>USD</v>
      </c>
      <c r="E127" s="154" t="s">
        <v>90</v>
      </c>
      <c r="F127" s="200">
        <v>0</v>
      </c>
      <c r="G127" s="200">
        <v>9.7738794462007075E-3</v>
      </c>
      <c r="H127" s="200">
        <v>0</v>
      </c>
      <c r="I127" s="200">
        <v>0</v>
      </c>
      <c r="J127" s="200">
        <v>0</v>
      </c>
      <c r="K127" s="200">
        <v>0</v>
      </c>
      <c r="L127" s="200">
        <v>0</v>
      </c>
      <c r="M127" s="200">
        <v>0</v>
      </c>
      <c r="N127" s="200">
        <v>0</v>
      </c>
      <c r="O127" s="200">
        <v>0</v>
      </c>
      <c r="P127" s="200">
        <v>0</v>
      </c>
      <c r="Q127" s="200">
        <v>0</v>
      </c>
      <c r="R127" s="200">
        <v>0</v>
      </c>
      <c r="S127" s="200">
        <v>0</v>
      </c>
      <c r="U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c r="BN127" s="71"/>
      <c r="BO127" s="71"/>
      <c r="BP127" s="71"/>
      <c r="BQ127" s="71"/>
      <c r="BR127" s="71"/>
      <c r="BS127" s="71"/>
      <c r="BT127" s="71"/>
    </row>
    <row r="128" spans="1:72" ht="27.95" customHeight="1" x14ac:dyDescent="0.3">
      <c r="A128" s="62"/>
      <c r="B128" s="171" t="s">
        <v>31</v>
      </c>
      <c r="C128" s="171"/>
      <c r="D128" s="171"/>
      <c r="E128" s="171"/>
      <c r="F128" s="182">
        <f t="shared" ref="F128:R128" si="51">+SUM(F129:F131)</f>
        <v>0</v>
      </c>
      <c r="G128" s="182">
        <f t="shared" si="51"/>
        <v>1.4305503380356355</v>
      </c>
      <c r="H128" s="182">
        <f t="shared" si="51"/>
        <v>0</v>
      </c>
      <c r="I128" s="182">
        <f t="shared" si="51"/>
        <v>2.0128376370218466</v>
      </c>
      <c r="J128" s="182">
        <f t="shared" si="51"/>
        <v>0</v>
      </c>
      <c r="K128" s="182">
        <f t="shared" si="51"/>
        <v>1.6732290797313645</v>
      </c>
      <c r="L128" s="182">
        <f t="shared" si="51"/>
        <v>0</v>
      </c>
      <c r="M128" s="182">
        <f t="shared" si="51"/>
        <v>1.4246805213783298</v>
      </c>
      <c r="N128" s="182">
        <f t="shared" si="51"/>
        <v>0</v>
      </c>
      <c r="O128" s="182">
        <f t="shared" si="51"/>
        <v>1.2878658449665494</v>
      </c>
      <c r="P128" s="182">
        <f t="shared" si="51"/>
        <v>0</v>
      </c>
      <c r="Q128" s="182">
        <f t="shared" si="51"/>
        <v>1.1656979688694131</v>
      </c>
      <c r="R128" s="182">
        <f t="shared" si="51"/>
        <v>0</v>
      </c>
      <c r="S128" s="182">
        <f>+SUM(S129:S131)</f>
        <v>0.56718718682867464</v>
      </c>
      <c r="T128" s="109"/>
      <c r="U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c r="BG128" s="109"/>
      <c r="BH128" s="109"/>
      <c r="BI128" s="109"/>
      <c r="BJ128" s="109"/>
      <c r="BK128" s="109"/>
      <c r="BL128" s="109"/>
      <c r="BM128" s="109"/>
      <c r="BN128" s="109"/>
      <c r="BO128" s="109"/>
      <c r="BP128" s="109"/>
      <c r="BQ128" s="109"/>
      <c r="BR128" s="109"/>
      <c r="BS128" s="109"/>
      <c r="BT128" s="109"/>
    </row>
    <row r="129" spans="1:86" ht="27.95" customHeight="1" x14ac:dyDescent="0.3">
      <c r="A129" s="62"/>
      <c r="B129" s="154" t="s">
        <v>32</v>
      </c>
      <c r="C129" s="154" t="s">
        <v>33</v>
      </c>
      <c r="D129" s="154" t="str">
        <f>+VLOOKUP($C129,$C$10:$D$43,2,FALSE)</f>
        <v>USD</v>
      </c>
      <c r="E129" s="154" t="s">
        <v>90</v>
      </c>
      <c r="F129" s="200">
        <v>0</v>
      </c>
      <c r="G129" s="200">
        <v>0.99025598765287248</v>
      </c>
      <c r="H129" s="200">
        <v>0</v>
      </c>
      <c r="I129" s="200">
        <v>1.5625954138099207</v>
      </c>
      <c r="J129" s="200">
        <v>0</v>
      </c>
      <c r="K129" s="200">
        <v>1.3038004253082145</v>
      </c>
      <c r="L129" s="200">
        <v>0</v>
      </c>
      <c r="M129" s="200">
        <v>1.1115166093752542</v>
      </c>
      <c r="N129" s="200">
        <v>0</v>
      </c>
      <c r="O129" s="200">
        <v>1.0076587765524203</v>
      </c>
      <c r="P129" s="200">
        <v>0</v>
      </c>
      <c r="Q129" s="200">
        <v>0.911349752662306</v>
      </c>
      <c r="R129" s="200">
        <v>0</v>
      </c>
      <c r="S129" s="200">
        <v>0.44417699050030007</v>
      </c>
      <c r="U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c r="BN129" s="71"/>
      <c r="BO129" s="71"/>
      <c r="BP129" s="71"/>
      <c r="BQ129" s="71"/>
      <c r="BR129" s="71"/>
      <c r="BS129" s="71"/>
      <c r="BT129" s="71"/>
    </row>
    <row r="130" spans="1:86" ht="27.95" customHeight="1" x14ac:dyDescent="0.3">
      <c r="A130" s="62"/>
      <c r="B130" s="154" t="s">
        <v>169</v>
      </c>
      <c r="C130" s="154" t="s">
        <v>170</v>
      </c>
      <c r="D130" s="154" t="s">
        <v>97</v>
      </c>
      <c r="E130" s="154" t="s">
        <v>90</v>
      </c>
      <c r="F130" s="200">
        <v>0</v>
      </c>
      <c r="G130" s="200">
        <v>0.3371442703827629</v>
      </c>
      <c r="H130" s="200">
        <v>0</v>
      </c>
      <c r="I130" s="200">
        <v>0.31932643321192589</v>
      </c>
      <c r="J130" s="200">
        <v>0</v>
      </c>
      <c r="K130" s="200">
        <v>0.24974005442315009</v>
      </c>
      <c r="L130" s="200">
        <v>0</v>
      </c>
      <c r="M130" s="200">
        <v>0.20775004200307556</v>
      </c>
      <c r="N130" s="200">
        <v>0</v>
      </c>
      <c r="O130" s="200">
        <v>0.18107722841412915</v>
      </c>
      <c r="P130" s="200">
        <v>0</v>
      </c>
      <c r="Q130" s="200">
        <v>0.15992704620710721</v>
      </c>
      <c r="R130" s="200">
        <v>0</v>
      </c>
      <c r="S130" s="200">
        <v>7.7410636328374555E-2</v>
      </c>
      <c r="U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c r="BN130" s="71"/>
      <c r="BO130" s="71"/>
      <c r="BP130" s="71"/>
      <c r="BQ130" s="71"/>
      <c r="BR130" s="71"/>
      <c r="BS130" s="71"/>
      <c r="BT130" s="71"/>
    </row>
    <row r="131" spans="1:86" ht="27.95" customHeight="1" x14ac:dyDescent="0.3">
      <c r="A131" s="62"/>
      <c r="B131" s="154" t="s">
        <v>144</v>
      </c>
      <c r="C131" s="154" t="s">
        <v>145</v>
      </c>
      <c r="D131" s="154" t="s">
        <v>97</v>
      </c>
      <c r="E131" s="154" t="s">
        <v>90</v>
      </c>
      <c r="F131" s="200">
        <v>0</v>
      </c>
      <c r="G131" s="200">
        <v>0.10315008000000001</v>
      </c>
      <c r="H131" s="200">
        <v>0</v>
      </c>
      <c r="I131" s="200">
        <v>0.13091579</v>
      </c>
      <c r="J131" s="200">
        <v>0</v>
      </c>
      <c r="K131" s="200">
        <v>0.11968860000000001</v>
      </c>
      <c r="L131" s="200">
        <v>0</v>
      </c>
      <c r="M131" s="200">
        <v>0.10541386999999999</v>
      </c>
      <c r="N131" s="200">
        <v>0</v>
      </c>
      <c r="O131" s="200">
        <v>9.9129839999999997E-2</v>
      </c>
      <c r="P131" s="200">
        <v>0</v>
      </c>
      <c r="Q131" s="200">
        <v>9.4421170000000013E-2</v>
      </c>
      <c r="R131" s="200">
        <v>0</v>
      </c>
      <c r="S131" s="200">
        <v>4.559955999999999E-2</v>
      </c>
      <c r="U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c r="BP131" s="71"/>
      <c r="BQ131" s="71"/>
      <c r="BR131" s="71"/>
      <c r="BS131" s="71"/>
      <c r="BT131" s="71"/>
    </row>
    <row r="132" spans="1:86" ht="27.95" customHeight="1" x14ac:dyDescent="0.3">
      <c r="A132" s="62"/>
      <c r="B132" s="166" t="s">
        <v>91</v>
      </c>
      <c r="C132" s="166"/>
      <c r="D132" s="166"/>
      <c r="E132" s="166"/>
      <c r="F132" s="179">
        <f t="shared" ref="F132:S132" si="52">+SUM(F133:F141)</f>
        <v>8701.8323913229196</v>
      </c>
      <c r="G132" s="179">
        <f t="shared" si="52"/>
        <v>24.058090670000002</v>
      </c>
      <c r="H132" s="179">
        <f t="shared" si="52"/>
        <v>1575.684057268166</v>
      </c>
      <c r="I132" s="179">
        <f t="shared" si="52"/>
        <v>19.475597213076927</v>
      </c>
      <c r="J132" s="179">
        <f t="shared" si="52"/>
        <v>747.02330246351221</v>
      </c>
      <c r="K132" s="179">
        <f t="shared" si="52"/>
        <v>14.893103750000007</v>
      </c>
      <c r="L132" s="179">
        <f t="shared" si="52"/>
        <v>313.06751559409417</v>
      </c>
      <c r="M132" s="179">
        <f t="shared" si="52"/>
        <v>10.310610288461547</v>
      </c>
      <c r="N132" s="179">
        <f t="shared" si="52"/>
        <v>112.04724582893998</v>
      </c>
      <c r="O132" s="179">
        <f t="shared" si="52"/>
        <v>5.7281168269230855</v>
      </c>
      <c r="P132" s="179">
        <f t="shared" si="52"/>
        <v>74.443047206021603</v>
      </c>
      <c r="Q132" s="179">
        <f t="shared" si="52"/>
        <v>1.1456233653846195</v>
      </c>
      <c r="R132" s="179">
        <f t="shared" si="52"/>
        <v>0</v>
      </c>
      <c r="S132" s="179">
        <f t="shared" si="52"/>
        <v>0</v>
      </c>
      <c r="U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row>
    <row r="133" spans="1:86" ht="27.95" customHeight="1" x14ac:dyDescent="0.3">
      <c r="A133" s="62"/>
      <c r="B133" s="154" t="s">
        <v>122</v>
      </c>
      <c r="C133" s="154" t="s">
        <v>121</v>
      </c>
      <c r="D133" s="154" t="str">
        <f>+VLOOKUP($C133,$C$10:$D$43,2,FALSE)</f>
        <v>USD</v>
      </c>
      <c r="E133" s="154" t="s">
        <v>91</v>
      </c>
      <c r="F133" s="200">
        <v>0</v>
      </c>
      <c r="G133" s="200">
        <v>24.058090670000002</v>
      </c>
      <c r="H133" s="200">
        <v>0</v>
      </c>
      <c r="I133" s="200">
        <v>19.475597213076927</v>
      </c>
      <c r="J133" s="200">
        <v>0</v>
      </c>
      <c r="K133" s="200">
        <v>14.893103750000007</v>
      </c>
      <c r="L133" s="200">
        <v>0</v>
      </c>
      <c r="M133" s="200">
        <v>10.310610288461547</v>
      </c>
      <c r="N133" s="200">
        <v>0</v>
      </c>
      <c r="O133" s="200">
        <v>5.7281168269230855</v>
      </c>
      <c r="P133" s="200">
        <v>0</v>
      </c>
      <c r="Q133" s="200">
        <v>1.1456233653846195</v>
      </c>
      <c r="R133" s="200">
        <v>0</v>
      </c>
      <c r="S133" s="200">
        <v>0</v>
      </c>
      <c r="U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71"/>
      <c r="BO133" s="71"/>
      <c r="BP133" s="71"/>
      <c r="BQ133" s="71"/>
      <c r="BR133" s="71"/>
      <c r="BS133" s="71"/>
      <c r="BT133" s="71"/>
    </row>
    <row r="134" spans="1:86" ht="27.95" customHeight="1" x14ac:dyDescent="0.3">
      <c r="A134" s="62"/>
      <c r="B134" s="154" t="s">
        <v>233</v>
      </c>
      <c r="C134" s="154" t="s">
        <v>235</v>
      </c>
      <c r="D134" s="154" t="s">
        <v>237</v>
      </c>
      <c r="E134" s="154" t="s">
        <v>91</v>
      </c>
      <c r="F134" s="200">
        <v>0</v>
      </c>
      <c r="G134" s="200">
        <v>0</v>
      </c>
      <c r="H134" s="200">
        <v>0</v>
      </c>
      <c r="I134" s="200">
        <v>0</v>
      </c>
      <c r="J134" s="200">
        <v>0</v>
      </c>
      <c r="K134" s="200">
        <v>0</v>
      </c>
      <c r="L134" s="200">
        <v>0</v>
      </c>
      <c r="M134" s="200">
        <v>0</v>
      </c>
      <c r="N134" s="200">
        <v>0</v>
      </c>
      <c r="O134" s="200">
        <v>0</v>
      </c>
      <c r="P134" s="200">
        <v>0</v>
      </c>
      <c r="Q134" s="200">
        <v>0</v>
      </c>
      <c r="R134" s="200">
        <v>0</v>
      </c>
      <c r="S134" s="200">
        <v>0</v>
      </c>
      <c r="U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c r="BN134" s="71"/>
      <c r="BO134" s="71"/>
      <c r="BP134" s="71"/>
      <c r="BQ134" s="71"/>
      <c r="BR134" s="71"/>
      <c r="BS134" s="71"/>
      <c r="BT134" s="71"/>
    </row>
    <row r="135" spans="1:86" ht="27.95" customHeight="1" x14ac:dyDescent="0.3">
      <c r="A135" s="62"/>
      <c r="B135" s="154" t="s">
        <v>234</v>
      </c>
      <c r="C135" s="154" t="s">
        <v>236</v>
      </c>
      <c r="D135" s="154" t="s">
        <v>237</v>
      </c>
      <c r="E135" s="154" t="s">
        <v>91</v>
      </c>
      <c r="F135" s="200">
        <v>0</v>
      </c>
      <c r="G135" s="200">
        <v>0</v>
      </c>
      <c r="H135" s="200">
        <v>0</v>
      </c>
      <c r="I135" s="200">
        <v>0</v>
      </c>
      <c r="J135" s="200">
        <v>0</v>
      </c>
      <c r="K135" s="200">
        <v>0</v>
      </c>
      <c r="L135" s="200">
        <v>0</v>
      </c>
      <c r="M135" s="200">
        <v>0</v>
      </c>
      <c r="N135" s="200">
        <v>0</v>
      </c>
      <c r="O135" s="200">
        <v>0</v>
      </c>
      <c r="P135" s="200">
        <v>0</v>
      </c>
      <c r="Q135" s="200">
        <v>0</v>
      </c>
      <c r="R135" s="200">
        <v>0</v>
      </c>
      <c r="S135" s="200">
        <v>0</v>
      </c>
      <c r="U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c r="BN135" s="71"/>
      <c r="BO135" s="71"/>
      <c r="BP135" s="71"/>
      <c r="BQ135" s="71"/>
      <c r="BR135" s="71"/>
      <c r="BS135" s="71"/>
      <c r="BT135" s="71"/>
    </row>
    <row r="136" spans="1:86" ht="27.95" customHeight="1" x14ac:dyDescent="0.3">
      <c r="A136" s="62"/>
      <c r="B136" s="154" t="s">
        <v>134</v>
      </c>
      <c r="C136" s="154" t="s">
        <v>135</v>
      </c>
      <c r="D136" s="154" t="s">
        <v>2</v>
      </c>
      <c r="E136" s="154" t="s">
        <v>91</v>
      </c>
      <c r="F136" s="200">
        <v>3043.0643110657461</v>
      </c>
      <c r="G136" s="200">
        <v>0</v>
      </c>
      <c r="H136" s="200">
        <v>1257.7931288258997</v>
      </c>
      <c r="I136" s="200">
        <v>0</v>
      </c>
      <c r="J136" s="200">
        <v>747.02330246351221</v>
      </c>
      <c r="K136" s="200">
        <v>0</v>
      </c>
      <c r="L136" s="200">
        <v>313.06751559409417</v>
      </c>
      <c r="M136" s="200">
        <v>0</v>
      </c>
      <c r="N136" s="200">
        <v>112.04724582893998</v>
      </c>
      <c r="O136" s="200">
        <v>0</v>
      </c>
      <c r="P136" s="200">
        <v>74.443047206021603</v>
      </c>
      <c r="Q136" s="200">
        <v>0</v>
      </c>
      <c r="R136" s="200">
        <v>0</v>
      </c>
      <c r="S136" s="200">
        <v>0</v>
      </c>
      <c r="U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c r="BP136" s="71"/>
      <c r="BQ136" s="71"/>
      <c r="BR136" s="71"/>
      <c r="BS136" s="71"/>
      <c r="BT136" s="71"/>
    </row>
    <row r="137" spans="1:86" ht="27.95" customHeight="1" x14ac:dyDescent="0.3">
      <c r="A137" s="62"/>
      <c r="B137" s="154" t="s">
        <v>163</v>
      </c>
      <c r="C137" s="154" t="s">
        <v>165</v>
      </c>
      <c r="D137" s="154" t="s">
        <v>2</v>
      </c>
      <c r="E137" s="154" t="s">
        <v>91</v>
      </c>
      <c r="F137" s="200">
        <v>3329.9909313199996</v>
      </c>
      <c r="G137" s="200">
        <v>0</v>
      </c>
      <c r="H137" s="200">
        <v>263.49144798000003</v>
      </c>
      <c r="I137" s="200">
        <v>0</v>
      </c>
      <c r="J137" s="200">
        <v>0</v>
      </c>
      <c r="K137" s="200">
        <v>0</v>
      </c>
      <c r="L137" s="200">
        <v>0</v>
      </c>
      <c r="M137" s="200">
        <v>0</v>
      </c>
      <c r="N137" s="200">
        <v>0</v>
      </c>
      <c r="O137" s="200">
        <v>0</v>
      </c>
      <c r="P137" s="200">
        <v>0</v>
      </c>
      <c r="Q137" s="200">
        <v>0</v>
      </c>
      <c r="R137" s="200">
        <v>0</v>
      </c>
      <c r="S137" s="200">
        <v>0</v>
      </c>
      <c r="U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c r="BN137" s="71"/>
      <c r="BO137" s="71"/>
      <c r="BP137" s="71"/>
      <c r="BQ137" s="71"/>
      <c r="BR137" s="71"/>
      <c r="BS137" s="71"/>
      <c r="BT137" s="71"/>
    </row>
    <row r="138" spans="1:86" ht="27.95" customHeight="1" x14ac:dyDescent="0.3">
      <c r="A138" s="62"/>
      <c r="B138" s="154" t="s">
        <v>126</v>
      </c>
      <c r="C138" s="154" t="s">
        <v>127</v>
      </c>
      <c r="D138" s="154" t="s">
        <v>2</v>
      </c>
      <c r="E138" s="154" t="s">
        <v>91</v>
      </c>
      <c r="F138" s="200">
        <v>716.23560600632288</v>
      </c>
      <c r="G138" s="200">
        <v>0</v>
      </c>
      <c r="H138" s="200">
        <v>52.527069025696612</v>
      </c>
      <c r="I138" s="200">
        <v>0</v>
      </c>
      <c r="J138" s="200">
        <v>0</v>
      </c>
      <c r="K138" s="200">
        <v>0</v>
      </c>
      <c r="L138" s="200">
        <v>0</v>
      </c>
      <c r="M138" s="200">
        <v>0</v>
      </c>
      <c r="N138" s="200">
        <v>0</v>
      </c>
      <c r="O138" s="200">
        <v>0</v>
      </c>
      <c r="P138" s="200">
        <v>0</v>
      </c>
      <c r="Q138" s="200">
        <v>0</v>
      </c>
      <c r="R138" s="200">
        <v>0</v>
      </c>
      <c r="S138" s="200">
        <v>0</v>
      </c>
      <c r="U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c r="BN138" s="71"/>
      <c r="BO138" s="71"/>
      <c r="BP138" s="71"/>
      <c r="BQ138" s="71"/>
      <c r="BR138" s="71"/>
      <c r="BS138" s="71"/>
      <c r="BT138" s="71"/>
    </row>
    <row r="139" spans="1:86" ht="27.95" customHeight="1" x14ac:dyDescent="0.3">
      <c r="A139" s="62"/>
      <c r="B139" s="154" t="s">
        <v>34</v>
      </c>
      <c r="C139" s="154" t="s">
        <v>35</v>
      </c>
      <c r="D139" s="154" t="s">
        <v>2</v>
      </c>
      <c r="E139" s="154" t="s">
        <v>91</v>
      </c>
      <c r="F139" s="200">
        <v>12.795936272217405</v>
      </c>
      <c r="G139" s="200">
        <v>0</v>
      </c>
      <c r="H139" s="200">
        <v>1.8724114365697857</v>
      </c>
      <c r="I139" s="200">
        <v>0</v>
      </c>
      <c r="J139" s="200">
        <v>0</v>
      </c>
      <c r="K139" s="200">
        <v>0</v>
      </c>
      <c r="L139" s="200">
        <v>0</v>
      </c>
      <c r="M139" s="200">
        <v>0</v>
      </c>
      <c r="N139" s="200">
        <v>0</v>
      </c>
      <c r="O139" s="200">
        <v>0</v>
      </c>
      <c r="P139" s="200">
        <v>0</v>
      </c>
      <c r="Q139" s="200">
        <v>0</v>
      </c>
      <c r="R139" s="200">
        <v>0</v>
      </c>
      <c r="S139" s="200">
        <v>0</v>
      </c>
      <c r="U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c r="BN139" s="71"/>
      <c r="BO139" s="71"/>
      <c r="BP139" s="71"/>
      <c r="BQ139" s="71"/>
      <c r="BR139" s="71"/>
      <c r="BS139" s="71"/>
      <c r="BT139" s="71"/>
    </row>
    <row r="140" spans="1:86" ht="27.95" customHeight="1" x14ac:dyDescent="0.3">
      <c r="A140" s="62"/>
      <c r="B140" s="154" t="s">
        <v>132</v>
      </c>
      <c r="C140" s="154" t="s">
        <v>133</v>
      </c>
      <c r="D140" s="154" t="str">
        <f>+VLOOKUP($C140,$C$10:$D$43,2,FALSE)</f>
        <v>Pesos</v>
      </c>
      <c r="E140" s="154" t="s">
        <v>91</v>
      </c>
      <c r="F140" s="200">
        <v>738.49012963026212</v>
      </c>
      <c r="G140" s="200">
        <v>0</v>
      </c>
      <c r="H140" s="200">
        <v>0</v>
      </c>
      <c r="I140" s="200">
        <v>0</v>
      </c>
      <c r="J140" s="200">
        <v>0</v>
      </c>
      <c r="K140" s="200">
        <v>0</v>
      </c>
      <c r="L140" s="200">
        <v>0</v>
      </c>
      <c r="M140" s="200">
        <v>0</v>
      </c>
      <c r="N140" s="200">
        <v>0</v>
      </c>
      <c r="O140" s="200">
        <v>0</v>
      </c>
      <c r="P140" s="200">
        <v>0</v>
      </c>
      <c r="Q140" s="200">
        <v>0</v>
      </c>
      <c r="R140" s="200">
        <v>0</v>
      </c>
      <c r="S140" s="200">
        <v>0</v>
      </c>
      <c r="U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c r="BM140" s="71"/>
      <c r="BN140" s="71"/>
      <c r="BO140" s="71"/>
      <c r="BP140" s="71"/>
      <c r="BQ140" s="71"/>
      <c r="BR140" s="71"/>
      <c r="BS140" s="71"/>
      <c r="BT140" s="71"/>
    </row>
    <row r="141" spans="1:86" ht="27.95" customHeight="1" x14ac:dyDescent="0.3">
      <c r="A141" s="62"/>
      <c r="B141" s="154" t="s">
        <v>164</v>
      </c>
      <c r="C141" s="154" t="s">
        <v>166</v>
      </c>
      <c r="D141" s="154" t="s">
        <v>2</v>
      </c>
      <c r="E141" s="154" t="s">
        <v>91</v>
      </c>
      <c r="F141" s="200">
        <v>861.25547702837025</v>
      </c>
      <c r="G141" s="200">
        <v>0</v>
      </c>
      <c r="H141" s="200">
        <v>0</v>
      </c>
      <c r="I141" s="200">
        <v>0</v>
      </c>
      <c r="J141" s="200">
        <v>0</v>
      </c>
      <c r="K141" s="200">
        <v>0</v>
      </c>
      <c r="L141" s="200">
        <v>0</v>
      </c>
      <c r="M141" s="200">
        <v>0</v>
      </c>
      <c r="N141" s="200">
        <v>0</v>
      </c>
      <c r="O141" s="200">
        <v>0</v>
      </c>
      <c r="P141" s="200">
        <v>0</v>
      </c>
      <c r="Q141" s="200">
        <v>0</v>
      </c>
      <c r="R141" s="200">
        <v>0</v>
      </c>
      <c r="S141" s="200">
        <v>0</v>
      </c>
      <c r="U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c r="BN141" s="71"/>
      <c r="BO141" s="71"/>
      <c r="BP141" s="71"/>
      <c r="BQ141" s="71"/>
      <c r="BR141" s="71"/>
      <c r="BS141" s="71"/>
      <c r="BT141" s="71"/>
    </row>
    <row r="142" spans="1:86" ht="6.75" customHeight="1" x14ac:dyDescent="0.3">
      <c r="B142" s="15"/>
      <c r="C142" s="13"/>
      <c r="D142" s="13"/>
      <c r="F142" s="71"/>
      <c r="G142" s="71"/>
      <c r="H142" s="71"/>
      <c r="I142" s="71"/>
      <c r="J142" s="71"/>
      <c r="K142" s="71"/>
      <c r="L142" s="71"/>
      <c r="M142" s="71"/>
      <c r="N142" s="71"/>
      <c r="O142" s="71"/>
      <c r="P142" s="71"/>
      <c r="Q142" s="71"/>
      <c r="R142" s="70"/>
      <c r="S142" s="70"/>
      <c r="U142" s="71"/>
      <c r="AA142" s="70"/>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c r="BM142" s="71"/>
      <c r="BN142" s="71"/>
      <c r="BO142" s="71"/>
      <c r="BP142" s="71"/>
      <c r="BQ142" s="71"/>
      <c r="BR142" s="71"/>
      <c r="BS142" s="71"/>
      <c r="BT142" s="71"/>
    </row>
    <row r="143" spans="1:86" ht="29.25" customHeight="1" x14ac:dyDescent="0.3">
      <c r="B143" s="299" t="s">
        <v>36</v>
      </c>
      <c r="C143" s="300"/>
      <c r="D143" s="300"/>
      <c r="E143" s="301"/>
      <c r="F143" s="179">
        <f t="shared" ref="F143:S143" si="53">+F132+F115+F107+F113</f>
        <v>18228.588956764681</v>
      </c>
      <c r="G143" s="179">
        <f t="shared" si="53"/>
        <v>34.657187645391396</v>
      </c>
      <c r="H143" s="179">
        <f t="shared" si="53"/>
        <v>4322.7522461704957</v>
      </c>
      <c r="I143" s="179">
        <f t="shared" si="53"/>
        <v>30.468873539332016</v>
      </c>
      <c r="J143" s="179">
        <f t="shared" si="53"/>
        <v>1764.8852921575931</v>
      </c>
      <c r="K143" s="179">
        <f t="shared" si="53"/>
        <v>23.885792194596604</v>
      </c>
      <c r="L143" s="179">
        <f t="shared" si="53"/>
        <v>454.21441947594775</v>
      </c>
      <c r="M143" s="179">
        <f t="shared" si="53"/>
        <v>17.877531490887439</v>
      </c>
      <c r="N143" s="179">
        <f t="shared" si="53"/>
        <v>166.7617756169054</v>
      </c>
      <c r="O143" s="179">
        <f t="shared" si="53"/>
        <v>11.986414109736247</v>
      </c>
      <c r="P143" s="179">
        <f t="shared" si="53"/>
        <v>118.37130172235206</v>
      </c>
      <c r="Q143" s="179">
        <f t="shared" si="53"/>
        <v>6.0226274396804342</v>
      </c>
      <c r="R143" s="179">
        <f t="shared" si="53"/>
        <v>18.399850144931076</v>
      </c>
      <c r="S143" s="179">
        <f t="shared" si="53"/>
        <v>2.2902491439825763</v>
      </c>
      <c r="U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row>
    <row r="144" spans="1:86" x14ac:dyDescent="0.3">
      <c r="B144" s="36"/>
      <c r="C144" s="36"/>
      <c r="D144" s="36"/>
      <c r="E144" s="86"/>
      <c r="F144" s="137"/>
      <c r="G144" s="88"/>
      <c r="H144" s="88"/>
      <c r="I144" s="88"/>
      <c r="J144" s="88"/>
      <c r="K144" s="88"/>
      <c r="L144" s="88"/>
      <c r="M144" s="88"/>
      <c r="N144" s="88"/>
      <c r="O144" s="88"/>
      <c r="P144" s="88"/>
      <c r="Q144" s="88"/>
      <c r="R144" s="88"/>
      <c r="S144" s="88"/>
      <c r="T144" s="88"/>
      <c r="U144" s="88"/>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0"/>
      <c r="AV144" s="100"/>
      <c r="AW144" s="100"/>
      <c r="AX144" s="100"/>
      <c r="AY144" s="100"/>
      <c r="AZ144" s="100"/>
      <c r="BA144" s="100"/>
      <c r="BB144" s="100"/>
      <c r="BC144" s="100"/>
      <c r="BD144" s="100"/>
      <c r="BE144" s="100"/>
      <c r="BF144" s="100"/>
      <c r="BG144" s="100"/>
      <c r="BH144" s="100"/>
      <c r="BI144" s="100"/>
      <c r="BJ144" s="100"/>
      <c r="BK144" s="100"/>
      <c r="BL144" s="100"/>
      <c r="BM144" s="100"/>
      <c r="BN144" s="100"/>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row>
  </sheetData>
  <sortState xmlns:xlrd2="http://schemas.microsoft.com/office/spreadsheetml/2017/richdata2" ref="B139:S140">
    <sortCondition descending="1" ref="C139:C140"/>
  </sortState>
  <mergeCells count="22">
    <mergeCell ref="B57:U57"/>
    <mergeCell ref="B102:U102"/>
    <mergeCell ref="B45:D45"/>
    <mergeCell ref="B98:E98"/>
    <mergeCell ref="B143:E143"/>
    <mergeCell ref="B50:N50"/>
    <mergeCell ref="B48:N48"/>
    <mergeCell ref="B49:N49"/>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72" location="BIDF40!A1" display="BIDF40" xr:uid="{00000000-0004-0000-0000-000000000000}"/>
    <hyperlink ref="C82" location="BIDO24!A1" display="BIDO24" xr:uid="{00000000-0004-0000-0000-000001000000}"/>
    <hyperlink ref="C84" location="BIRS38!A1" display="BIRS38" xr:uid="{00000000-0004-0000-0000-000002000000}"/>
    <hyperlink ref="C80" location="BIDS34!A1" display="BIDS34" xr:uid="{00000000-0004-0000-0000-000003000000}"/>
    <hyperlink ref="C117" location="BIDF40!A1" display="BIDF40" xr:uid="{00000000-0004-0000-0000-000006000000}"/>
    <hyperlink ref="C127" location="BIDO24!A1" display="BIDO24" xr:uid="{00000000-0004-0000-0000-000007000000}"/>
    <hyperlink ref="C129" location="BIRS38!A1" display="BIRS38" xr:uid="{00000000-0004-0000-0000-000008000000}"/>
    <hyperlink ref="C125" location="BIDS34!A1" display="BIDS34" xr:uid="{00000000-0004-0000-0000-000009000000}"/>
    <hyperlink ref="C126" location="BIDS23!A1" display="BIDS23" xr:uid="{00000000-0004-0000-0000-00000A000000}"/>
    <hyperlink ref="C19" location="BIDF40!A1" display="BIDF40" xr:uid="{00000000-0004-0000-0000-00000D000000}"/>
    <hyperlink ref="C29" location="BIDO24!A1" display="BIDO24" xr:uid="{00000000-0004-0000-0000-00000E000000}"/>
    <hyperlink ref="C26" location="BIDN32!A1" display="BIDN32" xr:uid="{00000000-0004-0000-0000-00000F000000}"/>
    <hyperlink ref="C31" location="BIRS38!A1" display="BIRS38" xr:uid="{00000000-0004-0000-0000-000010000000}"/>
    <hyperlink ref="C27" location="BIDS34!A1" display="BIDS34" xr:uid="{00000000-0004-0000-0000-000011000000}"/>
    <hyperlink ref="C28" location="BIDS23!A1" display="BIDS23" xr:uid="{00000000-0004-0000-0000-000012000000}"/>
    <hyperlink ref="C23" location="BIDY42!A1" display="BIDY42" xr:uid="{00000000-0004-0000-0000-000013000000}"/>
    <hyperlink ref="C11" location="FFFIRF26!A1" display="FFFIRF26" xr:uid="{00000000-0004-0000-0000-000015000000}"/>
    <hyperlink ref="C12" location="IPVO26!A1" display="IPVO26" xr:uid="{00000000-0004-0000-0000-000017000000}"/>
    <hyperlink ref="C13" location="FFFIRE26!A1" display="FFFIRE26" xr:uid="{00000000-0004-0000-0000-000018000000}"/>
    <hyperlink ref="C41" location="'PMG25'!A1" display="PMG25" xr:uid="{00000000-0004-0000-0000-000019000000}"/>
    <hyperlink ref="C73" location="BIDN44!A1" display="BIDN44" xr:uid="{00000000-0004-0000-0000-00001C000000}"/>
    <hyperlink ref="C118" location="BIDN44!A1" display="BIDN44" xr:uid="{00000000-0004-0000-0000-00001D000000}"/>
    <hyperlink ref="C40" location="'PMY25'!A1" display="PMY25" xr:uid="{00000000-0004-0000-0000-00001E000000}"/>
    <hyperlink ref="C94" location="'PMY25'!A1" display="PMY25" xr:uid="{00000000-0004-0000-0000-00001F000000}"/>
    <hyperlink ref="C139" location="'PMY25'!A1" display="PMY25" xr:uid="{00000000-0004-0000-0000-000020000000}"/>
    <hyperlink ref="C42" location="'PMD24'!A1" display="PMD24" xr:uid="{00000000-0004-0000-0000-000021000000}"/>
    <hyperlink ref="C69" location="BNAM27!A1" display="BNAM27" xr:uid="{00000000-0004-0000-0000-000022000000}"/>
    <hyperlink ref="C16" location="BNAM27!A1" display="BNAM27" xr:uid="{00000000-0004-0000-0000-000023000000}"/>
    <hyperlink ref="C114" location="BNAM27!A1" display="BNAM27" xr:uid="{00000000-0004-0000-0000-000024000000}"/>
    <hyperlink ref="C85" location="BIRFE50!A1" display="BIRFE50" xr:uid="{00000000-0004-0000-0000-000025000000}"/>
    <hyperlink ref="C81" location="BIDS23!A1" display="BIDS23" xr:uid="{00000000-0004-0000-0000-000026000000}"/>
    <hyperlink ref="C64" location="FFFIRF26!A1" display="FFFIRF26" xr:uid="{00000000-0004-0000-0000-000028000000}"/>
    <hyperlink ref="C65" location="IPVO26!A1" display="IPVO26" xr:uid="{00000000-0004-0000-0000-000029000000}"/>
    <hyperlink ref="C66" location="FFFIRE26!A1" display="FFFIRE26" xr:uid="{00000000-0004-0000-0000-00002A000000}"/>
    <hyperlink ref="C76" location="BIDY42!A1" display="BIDY42" xr:uid="{00000000-0004-0000-0000-00002D000000}"/>
    <hyperlink ref="C79" location="BIDN32!A1" display="BIDN32" xr:uid="{00000000-0004-0000-0000-00002E000000}"/>
    <hyperlink ref="C112" location="FFFIRO24!A1" display="FFFIRO24" xr:uid="{00000000-0004-0000-0000-00002F000000}"/>
    <hyperlink ref="C109" location="FFFIRF26!A1" display="FFFIRF26" xr:uid="{00000000-0004-0000-0000-000030000000}"/>
    <hyperlink ref="C110" location="IPVO26!A1" display="IPVO26" xr:uid="{00000000-0004-0000-0000-000031000000}"/>
    <hyperlink ref="C111" location="FFFIRE26!A1" display="FFFIRE26" xr:uid="{00000000-0004-0000-0000-000032000000}"/>
    <hyperlink ref="C121" location="BIDY42!A1" display="BIDY42" xr:uid="{00000000-0004-0000-0000-000035000000}"/>
    <hyperlink ref="C123" location="BIDY42!A1" display="BIDY42" xr:uid="{00000000-0004-0000-0000-000036000000}"/>
    <hyperlink ref="C124" location="BIDN32!A1" display="BIDN32" xr:uid="{00000000-0004-0000-0000-000037000000}"/>
    <hyperlink ref="C67" location="FFFIRO24!A1" display="FFFIRO24" xr:uid="{00000000-0004-0000-0000-000027000000}"/>
    <hyperlink ref="C14" location="FFFIRO24!A1" display="FFFIRO24" xr:uid="{00000000-0004-0000-0000-000014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P135"/>
  <sheetViews>
    <sheetView topLeftCell="A27" zoomScaleNormal="100" workbookViewId="0">
      <selection activeCell="P45" sqref="P45"/>
    </sheetView>
  </sheetViews>
  <sheetFormatPr baseColWidth="10" defaultRowHeight="15" x14ac:dyDescent="0.25"/>
  <cols>
    <col min="17" max="17" width="11.85546875" bestFit="1" customWidth="1"/>
  </cols>
  <sheetData>
    <row r="1" spans="1:16" x14ac:dyDescent="0.25">
      <c r="L1" t="s">
        <v>215</v>
      </c>
    </row>
    <row r="2" spans="1:16" x14ac:dyDescent="0.25">
      <c r="A2" s="158" t="s">
        <v>182</v>
      </c>
      <c r="B2" s="158" t="s">
        <v>183</v>
      </c>
      <c r="C2" t="s">
        <v>184</v>
      </c>
      <c r="D2" t="s">
        <v>185</v>
      </c>
      <c r="E2" s="158" t="s">
        <v>186</v>
      </c>
      <c r="G2" t="s">
        <v>182</v>
      </c>
      <c r="H2" t="s">
        <v>187</v>
      </c>
      <c r="M2" t="s">
        <v>186</v>
      </c>
    </row>
    <row r="3" spans="1:16" x14ac:dyDescent="0.25">
      <c r="A3" s="125">
        <v>41609</v>
      </c>
      <c r="C3" s="127">
        <v>544.12</v>
      </c>
      <c r="E3" s="130">
        <f>+C3</f>
        <v>544.12</v>
      </c>
      <c r="G3" s="125">
        <v>41699</v>
      </c>
      <c r="H3">
        <f>+AVERAGE($E$133:$E$135)/AVERAGE(E4:E6)</f>
        <v>169.4470404966942</v>
      </c>
      <c r="J3">
        <v>29.541577188732788</v>
      </c>
      <c r="M3" s="157">
        <f t="shared" ref="M3:M45" si="0">+_xlfn.XLOOKUP($G$46,$A:$A,$E:$E)/_xlfn.XLOOKUP(G3,$A:$A,$E:$E)</f>
        <v>163.8898963706211</v>
      </c>
      <c r="N3" s="126"/>
      <c r="P3">
        <v>163.8898963706211</v>
      </c>
    </row>
    <row r="4" spans="1:16" x14ac:dyDescent="0.25">
      <c r="A4" s="125">
        <f>+EDATE(A3,1)</f>
        <v>41640</v>
      </c>
      <c r="C4" s="127">
        <v>561.83000000000004</v>
      </c>
      <c r="D4" s="114">
        <f>+C4/C3-1</f>
        <v>3.2547967360141206E-2</v>
      </c>
      <c r="E4" s="130">
        <f t="shared" ref="E4:E39" si="1">+C4</f>
        <v>561.83000000000004</v>
      </c>
      <c r="G4" s="125">
        <f>+EDATE(G3,3)</f>
        <v>41791</v>
      </c>
      <c r="H4">
        <f>+AVERAGE($E$133:$E$135)/AVERAGE(E7:E9)</f>
        <v>150.25989909997548</v>
      </c>
      <c r="I4" s="126">
        <f>+H4/H3-1</f>
        <v>-0.11323385371899164</v>
      </c>
      <c r="J4">
        <v>27.497746740226049</v>
      </c>
      <c r="K4" s="126">
        <f>+J4/J3-1</f>
        <v>-6.9184879177211278E-2</v>
      </c>
      <c r="M4" s="157">
        <f t="shared" si="0"/>
        <v>150.56442181362843</v>
      </c>
      <c r="N4" s="126"/>
      <c r="P4">
        <v>150.56442181362843</v>
      </c>
    </row>
    <row r="5" spans="1:16" x14ac:dyDescent="0.25">
      <c r="A5" s="125">
        <f>+EDATE(A4,1)</f>
        <v>41671</v>
      </c>
      <c r="C5" s="127">
        <v>585.34</v>
      </c>
      <c r="D5" s="114">
        <f t="shared" ref="D5:D68" si="2">+C5/C4-1</f>
        <v>4.1845398074150442E-2</v>
      </c>
      <c r="E5" s="130">
        <f t="shared" si="1"/>
        <v>585.34</v>
      </c>
      <c r="G5" s="125">
        <f t="shared" ref="G5:G46" si="3">+EDATE(G4,3)</f>
        <v>41883</v>
      </c>
      <c r="H5">
        <f>+AVERAGE($E$133:$E$135)/AVERAGE(E10:E12)</f>
        <v>141.12752873220731</v>
      </c>
      <c r="I5" s="126">
        <f t="shared" ref="I5:I40" si="4">+H5/H4-1</f>
        <v>-6.0777162918843386E-2</v>
      </c>
      <c r="J5">
        <v>25.741624627759919</v>
      </c>
      <c r="K5" s="126">
        <f t="shared" ref="K5:K40" si="5">+J5/J4-1</f>
        <v>-6.3864218732407108E-2</v>
      </c>
      <c r="M5" s="157">
        <f t="shared" si="0"/>
        <v>141.49073089635448</v>
      </c>
      <c r="N5" s="126"/>
      <c r="P5">
        <v>141.49073089635448</v>
      </c>
    </row>
    <row r="6" spans="1:16" x14ac:dyDescent="0.25">
      <c r="A6" s="125">
        <f t="shared" ref="A6:A36" si="6">+EDATE(A5,1)</f>
        <v>41699</v>
      </c>
      <c r="C6" s="127">
        <v>627.32000000000005</v>
      </c>
      <c r="D6" s="114">
        <f t="shared" si="2"/>
        <v>7.1719000922540799E-2</v>
      </c>
      <c r="E6" s="130">
        <f t="shared" si="1"/>
        <v>627.32000000000005</v>
      </c>
      <c r="G6" s="125">
        <f t="shared" si="3"/>
        <v>41974</v>
      </c>
      <c r="H6">
        <f>+AVERAGE($E$133:$E$135)/AVERAGE(E13:E15)</f>
        <v>132.03678055688809</v>
      </c>
      <c r="I6" s="126">
        <f t="shared" si="4"/>
        <v>-6.4415130463802872E-2</v>
      </c>
      <c r="J6">
        <v>24.609303887173208</v>
      </c>
      <c r="K6" s="126">
        <f t="shared" si="5"/>
        <v>-4.3987928382950958E-2</v>
      </c>
      <c r="M6" s="157">
        <f t="shared" si="0"/>
        <v>133.5837661649837</v>
      </c>
      <c r="N6" s="126"/>
      <c r="P6">
        <v>133.5837661649837</v>
      </c>
    </row>
    <row r="7" spans="1:16" x14ac:dyDescent="0.25">
      <c r="A7" s="125">
        <f t="shared" si="6"/>
        <v>41730</v>
      </c>
      <c r="C7" s="127">
        <v>652.39</v>
      </c>
      <c r="D7" s="114">
        <f t="shared" si="2"/>
        <v>3.9963654912962943E-2</v>
      </c>
      <c r="E7" s="130">
        <f t="shared" si="1"/>
        <v>652.39</v>
      </c>
      <c r="G7" s="125">
        <f t="shared" si="3"/>
        <v>42064</v>
      </c>
      <c r="H7">
        <f>+AVERAGE($E$133:$E$135)/AVERAGE(E16:E18)</f>
        <v>126.21291624662263</v>
      </c>
      <c r="I7" s="126">
        <f t="shared" si="4"/>
        <v>-4.4107893919423824E-2</v>
      </c>
      <c r="J7">
        <v>23.267931578378025</v>
      </c>
      <c r="K7" s="126">
        <f t="shared" si="5"/>
        <v>-5.4506714815867996E-2</v>
      </c>
      <c r="M7" s="157">
        <f t="shared" si="0"/>
        <v>127.14585497485567</v>
      </c>
      <c r="N7" s="126"/>
      <c r="P7">
        <v>127.14585497485567</v>
      </c>
    </row>
    <row r="8" spans="1:16" x14ac:dyDescent="0.25">
      <c r="A8" s="125">
        <f t="shared" si="6"/>
        <v>41760</v>
      </c>
      <c r="C8" s="127">
        <v>665.85</v>
      </c>
      <c r="D8" s="114">
        <f t="shared" si="2"/>
        <v>2.063183065344365E-2</v>
      </c>
      <c r="E8" s="130">
        <f t="shared" si="1"/>
        <v>665.85</v>
      </c>
      <c r="G8" s="125">
        <f t="shared" si="3"/>
        <v>42156</v>
      </c>
      <c r="H8">
        <f>+AVERAGE($E$133:$E$135)/AVERAGE(E19:E21)</f>
        <v>119.21090085160549</v>
      </c>
      <c r="I8" s="126">
        <f t="shared" si="4"/>
        <v>-5.5477803724422792E-2</v>
      </c>
      <c r="J8">
        <v>22.093317965256286</v>
      </c>
      <c r="K8" s="126">
        <f t="shared" si="5"/>
        <v>-5.0482081278477753E-2</v>
      </c>
      <c r="M8" s="157">
        <f t="shared" si="0"/>
        <v>120.00304618812947</v>
      </c>
      <c r="N8" s="126"/>
      <c r="P8">
        <v>120.00304618812947</v>
      </c>
    </row>
    <row r="9" spans="1:16" x14ac:dyDescent="0.25">
      <c r="A9" s="125">
        <f t="shared" si="6"/>
        <v>41791</v>
      </c>
      <c r="C9" s="127">
        <v>682.84</v>
      </c>
      <c r="D9" s="114">
        <f t="shared" si="2"/>
        <v>2.551625741533381E-2</v>
      </c>
      <c r="E9" s="130">
        <f t="shared" si="1"/>
        <v>682.84</v>
      </c>
      <c r="G9" s="125">
        <f t="shared" si="3"/>
        <v>42248</v>
      </c>
      <c r="H9">
        <f>+AVERAGE($E$133:$E$135)/AVERAGE(E22:E24)</f>
        <v>113.22396066145222</v>
      </c>
      <c r="I9" s="126">
        <f t="shared" si="4"/>
        <v>-5.0221415553312942E-2</v>
      </c>
      <c r="J9">
        <v>20.881330193908372</v>
      </c>
      <c r="K9" s="126">
        <f t="shared" si="5"/>
        <v>-5.4857662088323433E-2</v>
      </c>
      <c r="M9" s="157">
        <f t="shared" si="0"/>
        <v>113.83269092674556</v>
      </c>
      <c r="N9" s="126"/>
      <c r="P9">
        <v>113.83269092674556</v>
      </c>
    </row>
    <row r="10" spans="1:16" x14ac:dyDescent="0.25">
      <c r="A10" s="125">
        <f t="shared" si="6"/>
        <v>41821</v>
      </c>
      <c r="C10" s="127">
        <v>695.13</v>
      </c>
      <c r="D10" s="114">
        <f t="shared" si="2"/>
        <v>1.7998359791459251E-2</v>
      </c>
      <c r="E10" s="130">
        <f t="shared" si="1"/>
        <v>695.13</v>
      </c>
      <c r="G10" s="125">
        <f t="shared" si="3"/>
        <v>42339</v>
      </c>
      <c r="H10">
        <f>+AVERAGE($E$133:$E$135)/AVERAGE(E25:E27)</f>
        <v>106.31495389007182</v>
      </c>
      <c r="I10" s="126">
        <f t="shared" si="4"/>
        <v>-6.1020712674403232E-2</v>
      </c>
      <c r="J10">
        <v>19.172189011428014</v>
      </c>
      <c r="K10" s="126">
        <f t="shared" si="5"/>
        <v>-8.1850206218134547E-2</v>
      </c>
      <c r="M10" s="157">
        <f t="shared" si="0"/>
        <v>106.54473738934053</v>
      </c>
      <c r="N10" s="126"/>
      <c r="P10">
        <v>106.54473738934053</v>
      </c>
    </row>
    <row r="11" spans="1:16" x14ac:dyDescent="0.25">
      <c r="A11" s="125">
        <f t="shared" si="6"/>
        <v>41852</v>
      </c>
      <c r="C11" s="127">
        <v>708.81</v>
      </c>
      <c r="D11" s="114">
        <f t="shared" si="2"/>
        <v>1.9679772128954331E-2</v>
      </c>
      <c r="E11" s="130">
        <f t="shared" si="1"/>
        <v>708.81</v>
      </c>
      <c r="G11" s="125">
        <f t="shared" si="3"/>
        <v>42430</v>
      </c>
      <c r="H11">
        <f>+AVERAGE($E$133:$E$135)/AVERAGE(E28:E30)</f>
        <v>94.027205687305411</v>
      </c>
      <c r="I11" s="126">
        <f t="shared" si="4"/>
        <v>-0.11557873801527274</v>
      </c>
      <c r="J11">
        <v>17.31764991747065</v>
      </c>
      <c r="K11" s="126">
        <f t="shared" si="5"/>
        <v>-9.6730691151225567E-2</v>
      </c>
      <c r="M11" s="157">
        <f t="shared" si="0"/>
        <v>93.493816080623134</v>
      </c>
      <c r="N11" s="126"/>
      <c r="P11">
        <v>93.493816080623134</v>
      </c>
    </row>
    <row r="12" spans="1:16" x14ac:dyDescent="0.25">
      <c r="A12" s="125">
        <f t="shared" si="6"/>
        <v>41883</v>
      </c>
      <c r="C12" s="128">
        <v>726.63</v>
      </c>
      <c r="D12" s="114">
        <f t="shared" si="2"/>
        <v>2.5140728827189207E-2</v>
      </c>
      <c r="E12" s="130">
        <f t="shared" si="1"/>
        <v>726.63</v>
      </c>
      <c r="G12" s="125">
        <f t="shared" si="3"/>
        <v>42522</v>
      </c>
      <c r="H12">
        <f>+AVERAGE($E$133:$E$135)/AVERAGE(E31:E33)</f>
        <v>85.346367068297909</v>
      </c>
      <c r="I12" s="126">
        <f t="shared" si="4"/>
        <v>-9.2322626792465612E-2</v>
      </c>
      <c r="J12">
        <v>15.357014315529433</v>
      </c>
      <c r="K12" s="126">
        <f t="shared" si="5"/>
        <v>-0.1132160316951123</v>
      </c>
      <c r="M12" s="157">
        <f t="shared" si="0"/>
        <v>84.281318996620968</v>
      </c>
      <c r="N12" s="126"/>
      <c r="P12">
        <v>84.281318996620968</v>
      </c>
    </row>
    <row r="13" spans="1:16" x14ac:dyDescent="0.25">
      <c r="A13" s="125">
        <f t="shared" si="6"/>
        <v>41913</v>
      </c>
      <c r="C13" s="128">
        <v>749.11</v>
      </c>
      <c r="D13" s="114">
        <f t="shared" si="2"/>
        <v>3.093734087499822E-2</v>
      </c>
      <c r="E13" s="130">
        <f t="shared" si="1"/>
        <v>749.11</v>
      </c>
      <c r="G13" s="125">
        <f t="shared" si="3"/>
        <v>42614</v>
      </c>
      <c r="H13">
        <f>+AVERAGE($E$133:$E$135)/AVERAGE(E34:E36)</f>
        <v>79.602593100074117</v>
      </c>
      <c r="I13" s="126">
        <f t="shared" si="4"/>
        <v>-6.7299571915315104E-2</v>
      </c>
      <c r="J13">
        <v>15.308841624632819</v>
      </c>
      <c r="K13" s="126">
        <f t="shared" si="5"/>
        <v>-3.1368526398976027E-3</v>
      </c>
      <c r="M13" s="157">
        <f t="shared" si="0"/>
        <v>80.712364414521943</v>
      </c>
      <c r="N13" s="126"/>
      <c r="P13">
        <v>80.712364414521943</v>
      </c>
    </row>
    <row r="14" spans="1:16" x14ac:dyDescent="0.25">
      <c r="A14" s="125">
        <f t="shared" si="6"/>
        <v>41944</v>
      </c>
      <c r="C14" s="128">
        <v>758.51</v>
      </c>
      <c r="D14" s="114">
        <f t="shared" si="2"/>
        <v>1.2548223892352217E-2</v>
      </c>
      <c r="E14" s="130">
        <f t="shared" si="1"/>
        <v>758.51</v>
      </c>
      <c r="G14" s="125">
        <f t="shared" si="3"/>
        <v>42705</v>
      </c>
      <c r="H14">
        <f>+AVERAGE($E$133:$E$135)/AVERAGE(E37:E39)</f>
        <v>76.008513585019571</v>
      </c>
      <c r="I14" s="126">
        <f t="shared" si="4"/>
        <v>-4.5150281857478824E-2</v>
      </c>
      <c r="J14">
        <v>14.313991251839109</v>
      </c>
      <c r="K14" s="126">
        <f t="shared" si="5"/>
        <v>-6.4985346193204951E-2</v>
      </c>
      <c r="M14" s="157">
        <f t="shared" si="0"/>
        <v>76.781086011574175</v>
      </c>
      <c r="N14" s="126"/>
      <c r="P14">
        <v>76.781086011574175</v>
      </c>
    </row>
    <row r="15" spans="1:16" x14ac:dyDescent="0.25">
      <c r="A15" s="125">
        <f t="shared" si="6"/>
        <v>41974</v>
      </c>
      <c r="C15" s="128">
        <v>769.64</v>
      </c>
      <c r="D15" s="114">
        <f t="shared" si="2"/>
        <v>1.4673504634085344E-2</v>
      </c>
      <c r="E15" s="130">
        <f t="shared" si="1"/>
        <v>769.64</v>
      </c>
      <c r="G15" s="125">
        <f t="shared" si="3"/>
        <v>42795</v>
      </c>
      <c r="H15">
        <f>+AVERAGE($E$133:$E$135)/AVERAGE(E40:E42)</f>
        <v>72.07476532061483</v>
      </c>
      <c r="I15" s="126">
        <f t="shared" si="4"/>
        <v>-5.1754048051533497E-2</v>
      </c>
      <c r="J15">
        <v>13.446086420628284</v>
      </c>
      <c r="K15" s="126">
        <f t="shared" si="5"/>
        <v>-6.0633321338610879E-2</v>
      </c>
      <c r="M15" s="157">
        <f t="shared" si="0"/>
        <v>72.282779454465967</v>
      </c>
      <c r="N15" s="126"/>
      <c r="P15">
        <v>72.282779454465967</v>
      </c>
    </row>
    <row r="16" spans="1:16" x14ac:dyDescent="0.25">
      <c r="A16" s="125">
        <f t="shared" si="6"/>
        <v>42005</v>
      </c>
      <c r="C16" s="128">
        <v>780.99</v>
      </c>
      <c r="D16" s="114">
        <f t="shared" si="2"/>
        <v>1.474715451379871E-2</v>
      </c>
      <c r="E16" s="130">
        <f t="shared" si="1"/>
        <v>780.99</v>
      </c>
      <c r="G16" s="125">
        <f t="shared" si="3"/>
        <v>42887</v>
      </c>
      <c r="H16">
        <f>+AVERAGE($E$133:$E$135)/AVERAGE(E43:E45)</f>
        <v>67.706918228077853</v>
      </c>
      <c r="I16" s="126">
        <f t="shared" si="4"/>
        <v>-6.0601613797938825E-2</v>
      </c>
      <c r="J16">
        <v>12.727396684747387</v>
      </c>
      <c r="K16" s="126">
        <f t="shared" si="5"/>
        <v>-5.3449733505975483E-2</v>
      </c>
      <c r="M16" s="157">
        <f t="shared" si="0"/>
        <v>68.587651551783921</v>
      </c>
      <c r="N16" s="126"/>
      <c r="P16">
        <v>68.587651551783921</v>
      </c>
    </row>
    <row r="17" spans="1:16" x14ac:dyDescent="0.25">
      <c r="A17" s="125">
        <f t="shared" si="6"/>
        <v>42036</v>
      </c>
      <c r="C17" s="128">
        <v>792.74</v>
      </c>
      <c r="D17" s="114">
        <f t="shared" si="2"/>
        <v>1.5045006978322339E-2</v>
      </c>
      <c r="E17" s="130">
        <f t="shared" si="1"/>
        <v>792.74</v>
      </c>
      <c r="G17" s="125">
        <f t="shared" si="3"/>
        <v>42979</v>
      </c>
      <c r="H17">
        <f>+AVERAGE($E$133:$E$135)/AVERAGE(E46:E48)</f>
        <v>64.726309226291335</v>
      </c>
      <c r="I17" s="126">
        <f t="shared" si="4"/>
        <v>-4.4022222245384546E-2</v>
      </c>
      <c r="J17">
        <v>12.057536986645186</v>
      </c>
      <c r="K17" s="126">
        <f t="shared" si="5"/>
        <v>-5.2631320818731564E-2</v>
      </c>
      <c r="M17" s="157">
        <f t="shared" si="0"/>
        <v>65.26988400694735</v>
      </c>
      <c r="N17" s="126"/>
      <c r="P17">
        <v>65.26988400694735</v>
      </c>
    </row>
    <row r="18" spans="1:16" x14ac:dyDescent="0.25">
      <c r="A18" s="125">
        <f t="shared" si="6"/>
        <v>42064</v>
      </c>
      <c r="C18" s="128">
        <v>808.61</v>
      </c>
      <c r="D18" s="114">
        <f t="shared" si="2"/>
        <v>2.0019174004087148E-2</v>
      </c>
      <c r="E18" s="130">
        <f t="shared" si="1"/>
        <v>808.61</v>
      </c>
      <c r="G18" s="125">
        <f t="shared" si="3"/>
        <v>43070</v>
      </c>
      <c r="H18">
        <f>+AVERAGE($E$133:$E$135)/AVERAGE(E49:E51)</f>
        <v>61.471235176579192</v>
      </c>
      <c r="I18" s="126">
        <f t="shared" si="4"/>
        <v>-5.0289813966249652E-2</v>
      </c>
      <c r="J18">
        <v>11.485513799432496</v>
      </c>
      <c r="K18" s="126">
        <f t="shared" si="5"/>
        <v>-4.7441130626118544E-2</v>
      </c>
      <c r="M18" s="157">
        <f t="shared" si="0"/>
        <v>61.510630456195436</v>
      </c>
      <c r="N18" s="126"/>
      <c r="P18">
        <v>61.510630456195436</v>
      </c>
    </row>
    <row r="19" spans="1:16" x14ac:dyDescent="0.25">
      <c r="A19" s="125">
        <f t="shared" si="6"/>
        <v>42095</v>
      </c>
      <c r="C19" s="128">
        <v>825.24</v>
      </c>
      <c r="D19" s="114">
        <f t="shared" si="2"/>
        <v>2.0566156738106134E-2</v>
      </c>
      <c r="E19" s="130">
        <f t="shared" si="1"/>
        <v>825.24</v>
      </c>
      <c r="G19" s="125">
        <f>+EDATE(G18,3)</f>
        <v>43160</v>
      </c>
      <c r="H19">
        <f>+AVERAGE($E$133:$E$135)/AVERAGE(E52:E54)</f>
        <v>57.532170400560389</v>
      </c>
      <c r="I19" s="126">
        <f t="shared" si="4"/>
        <v>-6.4079805208137497E-2</v>
      </c>
      <c r="J19">
        <v>10.554406787053709</v>
      </c>
      <c r="K19" s="126">
        <f t="shared" si="5"/>
        <v>-8.1067945991653678E-2</v>
      </c>
      <c r="M19" s="157">
        <f t="shared" si="0"/>
        <v>57.680206963684334</v>
      </c>
      <c r="N19" s="126"/>
      <c r="P19">
        <v>57.680206963684334</v>
      </c>
    </row>
    <row r="20" spans="1:16" x14ac:dyDescent="0.25">
      <c r="A20" s="125">
        <f t="shared" si="6"/>
        <v>42125</v>
      </c>
      <c r="C20" s="128">
        <v>840.29</v>
      </c>
      <c r="D20" s="114">
        <f t="shared" si="2"/>
        <v>1.8237118898744464E-2</v>
      </c>
      <c r="E20" s="130">
        <f t="shared" si="1"/>
        <v>840.29</v>
      </c>
      <c r="G20" s="125">
        <f t="shared" si="3"/>
        <v>43252</v>
      </c>
      <c r="H20">
        <f>+AVERAGE($E$133:$E$135)/AVERAGE(E55:E57)</f>
        <v>53.333897871173605</v>
      </c>
      <c r="I20" s="126">
        <f t="shared" si="4"/>
        <v>-7.2972608197411137E-2</v>
      </c>
      <c r="J20">
        <v>9.5689306435149799</v>
      </c>
      <c r="K20" s="126">
        <f t="shared" si="5"/>
        <v>-9.3371059446707982E-2</v>
      </c>
      <c r="M20" s="157">
        <f t="shared" si="0"/>
        <v>53.045905582351786</v>
      </c>
      <c r="N20" s="126"/>
      <c r="P20">
        <v>53.045905582351786</v>
      </c>
    </row>
    <row r="21" spans="1:16" x14ac:dyDescent="0.25">
      <c r="A21" s="125">
        <f t="shared" si="6"/>
        <v>42156</v>
      </c>
      <c r="C21" s="128">
        <v>856.74</v>
      </c>
      <c r="D21" s="114">
        <f t="shared" si="2"/>
        <v>1.9576574753954024E-2</v>
      </c>
      <c r="E21" s="130">
        <f t="shared" si="1"/>
        <v>856.74</v>
      </c>
      <c r="G21" s="125">
        <f t="shared" si="3"/>
        <v>43344</v>
      </c>
      <c r="H21">
        <f>+AVERAGE($E$133:$E$135)/AVERAGE(E58:E60)</f>
        <v>47.837107359622522</v>
      </c>
      <c r="I21" s="126">
        <f t="shared" si="4"/>
        <v>-0.10306373115327916</v>
      </c>
      <c r="J21">
        <v>8.3727761850591236</v>
      </c>
      <c r="K21" s="126">
        <f t="shared" si="5"/>
        <v>-0.12500398456399198</v>
      </c>
      <c r="M21" s="157">
        <f t="shared" si="0"/>
        <v>46.497333432744334</v>
      </c>
      <c r="N21" s="126"/>
      <c r="P21">
        <v>46.497333432744334</v>
      </c>
    </row>
    <row r="22" spans="1:16" x14ac:dyDescent="0.25">
      <c r="A22" s="125">
        <f t="shared" si="6"/>
        <v>42186</v>
      </c>
      <c r="C22" s="128">
        <v>866.25</v>
      </c>
      <c r="D22" s="114">
        <f t="shared" si="2"/>
        <v>1.1100217102038012E-2</v>
      </c>
      <c r="E22" s="130">
        <f t="shared" si="1"/>
        <v>866.25</v>
      </c>
      <c r="G22" s="125">
        <f t="shared" si="3"/>
        <v>43435</v>
      </c>
      <c r="H22">
        <f>+AVERAGE($E$133:$E$135)/AVERAGE(E61:E63)</f>
        <v>41.742481788896512</v>
      </c>
      <c r="I22" s="126">
        <f t="shared" si="4"/>
        <v>-0.1274037229071725</v>
      </c>
      <c r="J22">
        <v>7.471963674237208</v>
      </c>
      <c r="K22" s="126">
        <f t="shared" si="5"/>
        <v>-0.10758827071352728</v>
      </c>
      <c r="M22" s="157">
        <f t="shared" si="0"/>
        <v>41.663943957932496</v>
      </c>
      <c r="N22" s="126"/>
      <c r="P22">
        <v>41.663943957932496</v>
      </c>
    </row>
    <row r="23" spans="1:16" x14ac:dyDescent="0.25">
      <c r="A23" s="125">
        <f t="shared" si="6"/>
        <v>42217</v>
      </c>
      <c r="C23" s="128">
        <v>886.21</v>
      </c>
      <c r="D23" s="114">
        <f t="shared" si="2"/>
        <v>2.3041847041846975E-2</v>
      </c>
      <c r="E23" s="130">
        <f t="shared" si="1"/>
        <v>886.21</v>
      </c>
      <c r="G23" s="125">
        <f t="shared" si="3"/>
        <v>43525</v>
      </c>
      <c r="H23">
        <f>+AVERAGE($E$133:$E$135)/AVERAGE(E64:E66)</f>
        <v>37.895788971932177</v>
      </c>
      <c r="I23" s="126">
        <f t="shared" si="4"/>
        <v>-9.2152949515990512E-2</v>
      </c>
      <c r="J23">
        <v>6.7301633734570832</v>
      </c>
      <c r="K23" s="126">
        <f t="shared" si="5"/>
        <v>-9.927782482907388E-2</v>
      </c>
      <c r="M23" s="157">
        <f t="shared" si="0"/>
        <v>37.256406924377679</v>
      </c>
      <c r="N23" s="126"/>
      <c r="P23">
        <v>37.256406924377679</v>
      </c>
    </row>
    <row r="24" spans="1:16" x14ac:dyDescent="0.25">
      <c r="A24" s="125">
        <f t="shared" si="6"/>
        <v>42248</v>
      </c>
      <c r="C24" s="128">
        <v>903.18</v>
      </c>
      <c r="D24" s="114">
        <f t="shared" si="2"/>
        <v>1.9148960178738683E-2</v>
      </c>
      <c r="E24" s="130">
        <f t="shared" si="1"/>
        <v>903.18</v>
      </c>
      <c r="G24" s="125">
        <f t="shared" si="3"/>
        <v>43617</v>
      </c>
      <c r="H24">
        <f>+AVERAGE($E$133:$E$135)/AVERAGE(E67:E69)</f>
        <v>34.104453141097686</v>
      </c>
      <c r="I24" s="126">
        <f t="shared" si="4"/>
        <v>-0.10004636223941865</v>
      </c>
      <c r="J24">
        <v>6.1370062640075211</v>
      </c>
      <c r="K24" s="126">
        <f t="shared" si="5"/>
        <v>-8.8134132343487992E-2</v>
      </c>
      <c r="M24" s="157">
        <f t="shared" si="0"/>
        <v>34.029167208469481</v>
      </c>
      <c r="N24" s="126"/>
      <c r="P24">
        <v>34.029167208469481</v>
      </c>
    </row>
    <row r="25" spans="1:16" x14ac:dyDescent="0.25">
      <c r="A25" s="125">
        <f t="shared" si="6"/>
        <v>42278</v>
      </c>
      <c r="C25" s="128">
        <v>925.23</v>
      </c>
      <c r="D25" s="114">
        <f t="shared" si="2"/>
        <v>2.4413738125290685E-2</v>
      </c>
      <c r="E25" s="130">
        <f t="shared" si="1"/>
        <v>925.23</v>
      </c>
      <c r="G25" s="125">
        <f t="shared" si="3"/>
        <v>43709</v>
      </c>
      <c r="H25">
        <f>+AVERAGE($E$133:$E$135)/AVERAGE(E70:E72)</f>
        <v>30.99909003015382</v>
      </c>
      <c r="I25" s="126">
        <f t="shared" si="4"/>
        <v>-9.1054476026819486E-2</v>
      </c>
      <c r="J25">
        <v>5.4471201512400098</v>
      </c>
      <c r="K25" s="126">
        <f t="shared" si="5"/>
        <v>-0.1124141125313125</v>
      </c>
      <c r="M25" s="157">
        <f t="shared" si="0"/>
        <v>30.232295620122002</v>
      </c>
      <c r="N25" s="126"/>
      <c r="P25">
        <v>30.232295620122002</v>
      </c>
    </row>
    <row r="26" spans="1:16" x14ac:dyDescent="0.25">
      <c r="A26" s="125">
        <f t="shared" si="6"/>
        <v>42309</v>
      </c>
      <c r="C26" s="128">
        <v>938.03</v>
      </c>
      <c r="D26" s="114">
        <f t="shared" si="2"/>
        <v>1.3834397933486731E-2</v>
      </c>
      <c r="E26" s="130">
        <f t="shared" si="1"/>
        <v>938.03</v>
      </c>
      <c r="G26" s="125">
        <f t="shared" si="3"/>
        <v>43800</v>
      </c>
      <c r="H26">
        <f>+AVERAGE($E$133:$E$135)/AVERAGE(E73:E75)</f>
        <v>27.393268631389351</v>
      </c>
      <c r="I26" s="126">
        <f t="shared" si="4"/>
        <v>-0.11632023376353851</v>
      </c>
      <c r="J26">
        <v>4.8584125061970376</v>
      </c>
      <c r="K26" s="126">
        <f t="shared" si="5"/>
        <v>-0.10807686056070487</v>
      </c>
      <c r="M26" s="157">
        <f t="shared" si="0"/>
        <v>27.058750566839802</v>
      </c>
      <c r="N26" s="126"/>
      <c r="P26">
        <v>27.058750566839802</v>
      </c>
    </row>
    <row r="27" spans="1:16" x14ac:dyDescent="0.25">
      <c r="A27" s="125">
        <f>+EDATE(A26,1)</f>
        <v>42339</v>
      </c>
      <c r="C27" s="128">
        <v>964.96</v>
      </c>
      <c r="D27" s="114">
        <f t="shared" si="2"/>
        <v>2.870910312036945E-2</v>
      </c>
      <c r="E27" s="130">
        <f t="shared" si="1"/>
        <v>964.96</v>
      </c>
      <c r="G27" s="125">
        <f t="shared" si="3"/>
        <v>43891</v>
      </c>
      <c r="H27">
        <f>+AVERAGE($E$133:$E$135)/AVERAGE(E76:E78)</f>
        <v>25.167640980332592</v>
      </c>
      <c r="I27" s="126">
        <f t="shared" si="4"/>
        <v>-8.1247246577447862E-2</v>
      </c>
      <c r="J27">
        <v>4.4871206410969489</v>
      </c>
      <c r="K27" s="126">
        <f t="shared" si="5"/>
        <v>-7.6422466109350662E-2</v>
      </c>
      <c r="M27" s="157">
        <f t="shared" si="0"/>
        <v>25.103346013835797</v>
      </c>
      <c r="N27" s="126"/>
      <c r="P27">
        <v>25.103346013835797</v>
      </c>
    </row>
    <row r="28" spans="1:16" x14ac:dyDescent="0.25">
      <c r="A28" s="125">
        <f t="shared" si="6"/>
        <v>42370</v>
      </c>
      <c r="C28" s="128">
        <v>1027.54</v>
      </c>
      <c r="D28" s="114">
        <f t="shared" si="2"/>
        <v>6.4852429116232679E-2</v>
      </c>
      <c r="E28" s="130">
        <f t="shared" si="1"/>
        <v>1027.54</v>
      </c>
      <c r="G28" s="125">
        <f t="shared" si="3"/>
        <v>43983</v>
      </c>
      <c r="H28">
        <f>+AVERAGE($E$133:$E$135)/AVERAGE(E79:E81)</f>
        <v>23.697379013753793</v>
      </c>
      <c r="I28" s="126">
        <f t="shared" si="4"/>
        <v>-5.8418743644974347E-2</v>
      </c>
      <c r="J28">
        <v>4.295881608164879</v>
      </c>
      <c r="K28" s="126">
        <f t="shared" si="5"/>
        <v>-4.2619543406196114E-2</v>
      </c>
      <c r="M28" s="157">
        <f t="shared" si="0"/>
        <v>23.842326554485396</v>
      </c>
      <c r="N28" s="126"/>
      <c r="P28">
        <v>23.842326554485396</v>
      </c>
    </row>
    <row r="29" spans="1:16" x14ac:dyDescent="0.25">
      <c r="A29" s="125">
        <f t="shared" si="6"/>
        <v>42401</v>
      </c>
      <c r="C29" s="128">
        <v>1070.6199999999999</v>
      </c>
      <c r="D29" s="114">
        <f t="shared" si="2"/>
        <v>4.1925375167876533E-2</v>
      </c>
      <c r="E29" s="130">
        <f t="shared" si="1"/>
        <v>1070.6199999999999</v>
      </c>
      <c r="G29" s="125">
        <f t="shared" si="3"/>
        <v>44075</v>
      </c>
      <c r="H29">
        <f>+AVERAGE($E$133:$E$135)/AVERAGE(E82:E84)</f>
        <v>22.197370250748062</v>
      </c>
      <c r="I29" s="126">
        <f t="shared" si="4"/>
        <v>-6.3298509178383644E-2</v>
      </c>
      <c r="J29">
        <v>3.9922132064905664</v>
      </c>
      <c r="K29" s="126">
        <f t="shared" si="5"/>
        <v>-7.0688261309890699E-2</v>
      </c>
      <c r="M29" s="157">
        <f t="shared" si="0"/>
        <v>22.16209895519339</v>
      </c>
      <c r="N29" s="126"/>
      <c r="P29">
        <v>22.16209895519339</v>
      </c>
    </row>
    <row r="30" spans="1:16" x14ac:dyDescent="0.25">
      <c r="A30" s="125">
        <f t="shared" si="6"/>
        <v>42430</v>
      </c>
      <c r="C30" s="128">
        <v>1099.6600000000001</v>
      </c>
      <c r="D30" s="114">
        <f t="shared" si="2"/>
        <v>2.7124469933309747E-2</v>
      </c>
      <c r="E30" s="130">
        <f t="shared" si="1"/>
        <v>1099.6600000000001</v>
      </c>
      <c r="G30" s="125">
        <f t="shared" si="3"/>
        <v>44166</v>
      </c>
      <c r="H30">
        <f>+AVERAGE($E$133:$E$135)/AVERAGE(E85:E87)</f>
        <v>20.108468718158932</v>
      </c>
      <c r="I30" s="126">
        <f t="shared" si="4"/>
        <v>-9.4105811138539441E-2</v>
      </c>
      <c r="J30">
        <v>3.5717171558502021</v>
      </c>
      <c r="K30" s="126">
        <f t="shared" si="5"/>
        <v>-0.10532905656359215</v>
      </c>
      <c r="M30" s="157">
        <f t="shared" si="0"/>
        <v>19.893009938088859</v>
      </c>
      <c r="N30" s="126"/>
      <c r="P30">
        <v>19.893009938088859</v>
      </c>
    </row>
    <row r="31" spans="1:16" x14ac:dyDescent="0.25">
      <c r="A31" s="125">
        <f t="shared" si="6"/>
        <v>42461</v>
      </c>
      <c r="C31" s="128">
        <v>1132.3900000000001</v>
      </c>
      <c r="D31" s="114">
        <f t="shared" si="2"/>
        <v>2.9763745157594279E-2</v>
      </c>
      <c r="E31" s="130">
        <f t="shared" si="1"/>
        <v>1132.3900000000001</v>
      </c>
      <c r="G31" s="125">
        <f t="shared" si="3"/>
        <v>44256</v>
      </c>
      <c r="H31">
        <f>+AVERAGE($E$133:$E$135)/AVERAGE(E88:E90)</f>
        <v>17.92001341265949</v>
      </c>
      <c r="I31" s="126">
        <f t="shared" si="4"/>
        <v>-0.10883251908302494</v>
      </c>
      <c r="J31">
        <v>3.1907893654843473</v>
      </c>
      <c r="K31" s="126">
        <f t="shared" si="5"/>
        <v>-0.10665116350042558</v>
      </c>
      <c r="M31" s="157">
        <f t="shared" si="0"/>
        <v>17.617574725197549</v>
      </c>
      <c r="N31" s="126"/>
      <c r="P31">
        <v>17.617574725197549</v>
      </c>
    </row>
    <row r="32" spans="1:16" x14ac:dyDescent="0.25">
      <c r="A32" s="125">
        <f t="shared" si="6"/>
        <v>42491</v>
      </c>
      <c r="C32" s="128">
        <v>1170.83</v>
      </c>
      <c r="D32" s="114">
        <f t="shared" si="2"/>
        <v>3.3945902030219077E-2</v>
      </c>
      <c r="E32" s="130">
        <f t="shared" si="1"/>
        <v>1170.83</v>
      </c>
      <c r="G32" s="125">
        <f t="shared" si="3"/>
        <v>44348</v>
      </c>
      <c r="H32">
        <f>+AVERAGE($E$133:$E$135)/AVERAGE(E97:E99)</f>
        <v>13.290121016433073</v>
      </c>
      <c r="I32" s="126">
        <f t="shared" si="4"/>
        <v>-0.25836433766035327</v>
      </c>
      <c r="J32">
        <v>2.8304158515162743</v>
      </c>
      <c r="K32" s="126">
        <f t="shared" si="5"/>
        <v>-0.11294180614563065</v>
      </c>
      <c r="M32" s="157">
        <f t="shared" si="0"/>
        <v>15.875059946240649</v>
      </c>
      <c r="N32" s="126"/>
      <c r="P32">
        <v>15.875059946240649</v>
      </c>
    </row>
    <row r="33" spans="1:16" x14ac:dyDescent="0.25">
      <c r="A33" s="125">
        <f t="shared" si="6"/>
        <v>42522</v>
      </c>
      <c r="C33" s="128">
        <v>1219.8599999999999</v>
      </c>
      <c r="D33" s="114">
        <f t="shared" si="2"/>
        <v>4.1876275804343832E-2</v>
      </c>
      <c r="E33" s="130">
        <f t="shared" si="1"/>
        <v>1219.8599999999999</v>
      </c>
      <c r="G33" s="125">
        <f t="shared" si="3"/>
        <v>44440</v>
      </c>
      <c r="H33">
        <f>+AVERAGE($E$133:$E$135)/AVERAGE(E91:E93)</f>
        <v>15.971003268451206</v>
      </c>
      <c r="I33" s="126">
        <f t="shared" si="4"/>
        <v>0.20171992780978099</v>
      </c>
      <c r="J33">
        <v>2.5866618518668654</v>
      </c>
      <c r="K33" s="126">
        <f t="shared" si="5"/>
        <v>-8.6119500609363908E-2</v>
      </c>
      <c r="M33" s="157">
        <f t="shared" si="0"/>
        <v>14.528271058755218</v>
      </c>
      <c r="N33" s="126"/>
      <c r="P33">
        <v>14.528271058755218</v>
      </c>
    </row>
    <row r="34" spans="1:16" x14ac:dyDescent="0.25">
      <c r="A34" s="125">
        <f t="shared" si="6"/>
        <v>42552</v>
      </c>
      <c r="C34" s="128">
        <v>1237.74</v>
      </c>
      <c r="D34" s="114">
        <f t="shared" si="2"/>
        <v>1.4657419703900443E-2</v>
      </c>
      <c r="E34" s="130">
        <f t="shared" si="1"/>
        <v>1237.74</v>
      </c>
      <c r="G34" s="125">
        <f t="shared" si="3"/>
        <v>44531</v>
      </c>
      <c r="H34">
        <f>+AVERAGE($E$133:$E$135)/AVERAGE(E97:E99)</f>
        <v>13.290121016433073</v>
      </c>
      <c r="I34" s="126">
        <f t="shared" si="4"/>
        <v>-0.16785935153578568</v>
      </c>
      <c r="J34">
        <v>2.3522072803942478</v>
      </c>
      <c r="K34" s="126">
        <f t="shared" si="5"/>
        <v>-9.0639822636037759E-2</v>
      </c>
      <c r="M34" s="157">
        <f t="shared" si="0"/>
        <v>13.193267417042652</v>
      </c>
      <c r="N34" s="126"/>
      <c r="P34">
        <v>13.193267417042652</v>
      </c>
    </row>
    <row r="35" spans="1:16" x14ac:dyDescent="0.25">
      <c r="A35" s="125">
        <f>+EDATE(A34,1)</f>
        <v>42583</v>
      </c>
      <c r="C35" s="128">
        <v>1265.75</v>
      </c>
      <c r="D35" s="114">
        <f t="shared" si="2"/>
        <v>2.2629954594664436E-2</v>
      </c>
      <c r="E35" s="130">
        <f t="shared" si="1"/>
        <v>1265.75</v>
      </c>
      <c r="G35" s="125">
        <f t="shared" si="3"/>
        <v>44621</v>
      </c>
      <c r="H35">
        <f>+AVERAGE($E$133:$E$135)/AVERAGE(E100:E102)</f>
        <v>11.736703177293876</v>
      </c>
      <c r="I35" s="126">
        <f t="shared" si="4"/>
        <v>-0.11688515380848785</v>
      </c>
      <c r="J35">
        <v>2.0250379699214869</v>
      </c>
      <c r="K35" s="126">
        <f t="shared" si="5"/>
        <v>-0.13909034003921827</v>
      </c>
      <c r="M35" s="157">
        <f t="shared" si="0"/>
        <v>11.366472791243016</v>
      </c>
      <c r="N35" s="126"/>
      <c r="P35">
        <v>11.366472791243016</v>
      </c>
    </row>
    <row r="36" spans="1:16" x14ac:dyDescent="0.25">
      <c r="A36" s="125">
        <f t="shared" si="6"/>
        <v>42614</v>
      </c>
      <c r="C36" s="129">
        <v>1273.8</v>
      </c>
      <c r="D36" s="114">
        <f t="shared" si="2"/>
        <v>6.3598656922772001E-3</v>
      </c>
      <c r="E36" s="130">
        <f t="shared" si="1"/>
        <v>1273.8</v>
      </c>
      <c r="G36" s="125">
        <f t="shared" si="3"/>
        <v>44713</v>
      </c>
      <c r="H36">
        <f>+AVERAGE($E$133:$E$135)/AVERAGE(E103:E105)</f>
        <v>9.9314989618380736</v>
      </c>
      <c r="I36" s="126">
        <f t="shared" si="4"/>
        <v>-0.15380845780850927</v>
      </c>
      <c r="J36">
        <v>1.7020229637441926</v>
      </c>
      <c r="K36" s="126">
        <f t="shared" si="5"/>
        <v>-0.1595105923815433</v>
      </c>
      <c r="M36" s="157">
        <f t="shared" si="0"/>
        <v>9.6892188228535616</v>
      </c>
      <c r="N36" s="126"/>
      <c r="P36">
        <v>9.6892188228535616</v>
      </c>
    </row>
    <row r="37" spans="1:16" x14ac:dyDescent="0.25">
      <c r="A37" s="125">
        <f>+EDATE(A36,1)</f>
        <v>42644</v>
      </c>
      <c r="C37" s="129">
        <v>1295.28</v>
      </c>
      <c r="D37" s="114">
        <f t="shared" si="2"/>
        <v>1.6862929816297667E-2</v>
      </c>
      <c r="E37" s="130">
        <f t="shared" si="1"/>
        <v>1295.28</v>
      </c>
      <c r="G37" s="125">
        <f t="shared" si="3"/>
        <v>44805</v>
      </c>
      <c r="H37">
        <f>+AVERAGE($E$133:$E$135)/AVERAGE(E106:E108)</f>
        <v>8.2288877785098329</v>
      </c>
      <c r="I37" s="126">
        <f t="shared" si="4"/>
        <v>-0.17143546909389495</v>
      </c>
      <c r="J37">
        <v>1.3964264161959772</v>
      </c>
      <c r="K37" s="126">
        <f t="shared" si="5"/>
        <v>-0.1795490155291144</v>
      </c>
      <c r="M37" s="157">
        <f t="shared" si="0"/>
        <v>7.9391898689585227</v>
      </c>
      <c r="N37" s="126"/>
      <c r="P37">
        <v>7.9391898689585227</v>
      </c>
    </row>
    <row r="38" spans="1:16" x14ac:dyDescent="0.25">
      <c r="A38" s="125">
        <f t="shared" ref="A38:A44" si="7">+EDATE(A37,1)</f>
        <v>42675</v>
      </c>
      <c r="C38" s="129">
        <v>1321.6</v>
      </c>
      <c r="D38" s="114">
        <f t="shared" si="2"/>
        <v>2.0319930825767329E-2</v>
      </c>
      <c r="E38" s="130">
        <f t="shared" si="1"/>
        <v>1321.6</v>
      </c>
      <c r="G38" s="125">
        <f t="shared" si="3"/>
        <v>44896</v>
      </c>
      <c r="H38">
        <f>+AVERAGE($E$133:$E$135)/AVERAGE(E109:E111)</f>
        <v>6.9309374596511448</v>
      </c>
      <c r="I38" s="126">
        <f t="shared" si="4"/>
        <v>-0.15773095390222147</v>
      </c>
      <c r="J38">
        <v>1.19454868112954</v>
      </c>
      <c r="K38" s="126">
        <f t="shared" si="5"/>
        <v>-0.1445673991303994</v>
      </c>
      <c r="M38" s="157">
        <f t="shared" si="0"/>
        <v>6.774304588728091</v>
      </c>
      <c r="N38" s="126"/>
      <c r="P38">
        <v>6.774304588728091</v>
      </c>
    </row>
    <row r="39" spans="1:16" x14ac:dyDescent="0.25">
      <c r="A39" s="125">
        <f t="shared" si="7"/>
        <v>42705</v>
      </c>
      <c r="C39" s="129">
        <v>1339.02</v>
      </c>
      <c r="D39" s="114">
        <f t="shared" si="2"/>
        <v>1.3180992736077535E-2</v>
      </c>
      <c r="E39" s="130">
        <f t="shared" si="1"/>
        <v>1339.02</v>
      </c>
      <c r="G39" s="125">
        <f t="shared" si="3"/>
        <v>44986</v>
      </c>
      <c r="H39">
        <f>+AVERAGE($E$133:$E$135)/AVERAGE(E112:E114)</f>
        <v>5.8152465409038703</v>
      </c>
      <c r="I39" s="126">
        <f t="shared" si="4"/>
        <v>-0.16097258491255106</v>
      </c>
      <c r="J39">
        <v>1</v>
      </c>
      <c r="K39" s="126">
        <f t="shared" si="5"/>
        <v>-0.16286375281548082</v>
      </c>
      <c r="M39" s="157">
        <f t="shared" si="0"/>
        <v>5.5665478472727017</v>
      </c>
      <c r="N39" s="126"/>
      <c r="P39">
        <v>5.5665478472727017</v>
      </c>
    </row>
    <row r="40" spans="1:16" x14ac:dyDescent="0.25">
      <c r="A40" s="125">
        <f t="shared" si="7"/>
        <v>42736</v>
      </c>
      <c r="B40" s="114">
        <v>1.6E-2</v>
      </c>
      <c r="C40" s="129">
        <v>1350.48</v>
      </c>
      <c r="D40" s="114">
        <f t="shared" si="2"/>
        <v>8.5584980060045002E-3</v>
      </c>
      <c r="E40" s="130">
        <f>+E39*(1+B40)</f>
        <v>1360.4443200000001</v>
      </c>
      <c r="G40" s="125">
        <f t="shared" si="3"/>
        <v>45078</v>
      </c>
      <c r="H40">
        <f>+AVERAGE($E$133:$E$135)/AVERAGE(E115:E117)</f>
        <v>4.6631063208666017</v>
      </c>
      <c r="I40" s="126">
        <f t="shared" si="4"/>
        <v>-0.19812405405914058</v>
      </c>
      <c r="K40" s="126">
        <f t="shared" si="5"/>
        <v>-1</v>
      </c>
      <c r="M40" s="157">
        <f t="shared" si="0"/>
        <v>4.4939893417461381</v>
      </c>
      <c r="N40" s="126"/>
      <c r="P40">
        <v>4.4939893417461381</v>
      </c>
    </row>
    <row r="41" spans="1:16" x14ac:dyDescent="0.25">
      <c r="A41" s="125">
        <f t="shared" si="7"/>
        <v>42767</v>
      </c>
      <c r="B41" s="114">
        <v>2.1000000000000001E-2</v>
      </c>
      <c r="C41" s="129">
        <v>1366.86</v>
      </c>
      <c r="D41" s="114">
        <f t="shared" si="2"/>
        <v>1.2129020792607026E-2</v>
      </c>
      <c r="E41" s="130">
        <f t="shared" ref="E41:E104" si="8">+E40*(1+B41)</f>
        <v>1389.01365072</v>
      </c>
      <c r="G41" s="125">
        <f t="shared" si="3"/>
        <v>45170</v>
      </c>
      <c r="H41">
        <f>+AVERAGE($E$133:$E$135)/AVERAGE(E118:E120)</f>
        <v>3.6464435033025264</v>
      </c>
      <c r="I41" s="126">
        <f>+H41/H40-1</f>
        <v>-0.21802265434409751</v>
      </c>
      <c r="K41" s="126" t="e">
        <f>+J41/J40-1</f>
        <v>#DIV/0!</v>
      </c>
      <c r="M41" s="157">
        <f t="shared" si="0"/>
        <v>3.3374021875917745</v>
      </c>
      <c r="N41" s="126"/>
      <c r="P41">
        <v>3.3374021875917745</v>
      </c>
    </row>
    <row r="42" spans="1:16" x14ac:dyDescent="0.25">
      <c r="A42" s="125">
        <f t="shared" si="7"/>
        <v>42795</v>
      </c>
      <c r="B42" s="114">
        <v>2.4E-2</v>
      </c>
      <c r="C42" s="129">
        <v>1390.12</v>
      </c>
      <c r="D42" s="114">
        <f t="shared" si="2"/>
        <v>1.7017104897355972E-2</v>
      </c>
      <c r="E42" s="130">
        <f t="shared" si="8"/>
        <v>1422.3499783372799</v>
      </c>
      <c r="G42" s="125">
        <f t="shared" si="3"/>
        <v>45261</v>
      </c>
      <c r="H42">
        <f>+AVERAGE($E$133:$E$135)/AVERAGE(E121:E123)</f>
        <v>2.5432949224603432</v>
      </c>
      <c r="M42" s="157">
        <f t="shared" si="0"/>
        <v>2.1768437846889976</v>
      </c>
      <c r="N42" s="126"/>
      <c r="P42">
        <v>2.1768437846889976</v>
      </c>
    </row>
    <row r="43" spans="1:16" x14ac:dyDescent="0.25">
      <c r="A43" s="125">
        <f t="shared" si="7"/>
        <v>42826</v>
      </c>
      <c r="B43" s="114">
        <v>2.7000000000000003E-2</v>
      </c>
      <c r="C43" s="129">
        <v>1433.32</v>
      </c>
      <c r="D43" s="114">
        <f t="shared" si="2"/>
        <v>3.1076453831323958E-2</v>
      </c>
      <c r="E43" s="130">
        <f t="shared" si="8"/>
        <v>1460.7534277523864</v>
      </c>
      <c r="G43" s="125">
        <f t="shared" si="3"/>
        <v>45352</v>
      </c>
      <c r="H43">
        <f>+AVERAGE($E$133:$E$135)/AVERAGE(E124:E126)</f>
        <v>1.5578876443387606</v>
      </c>
      <c r="M43" s="157">
        <f t="shared" si="0"/>
        <v>1.4365162751809597</v>
      </c>
      <c r="P43">
        <v>1.4365162751809597</v>
      </c>
    </row>
    <row r="44" spans="1:16" x14ac:dyDescent="0.25">
      <c r="A44" s="125">
        <f t="shared" si="7"/>
        <v>42856</v>
      </c>
      <c r="B44" s="114">
        <v>1.3999999999999999E-2</v>
      </c>
      <c r="C44" s="129">
        <v>1467.76</v>
      </c>
      <c r="D44" s="114">
        <f t="shared" si="2"/>
        <v>2.4028130494237132E-2</v>
      </c>
      <c r="E44" s="130">
        <f t="shared" si="8"/>
        <v>1481.2039757409198</v>
      </c>
      <c r="G44" s="125">
        <f t="shared" si="3"/>
        <v>45444</v>
      </c>
      <c r="H44">
        <f>+AVERAGE($E$133:$E$135)/AVERAGE(E127:E129)</f>
        <v>1.232921883513818</v>
      </c>
      <c r="M44" s="157">
        <f t="shared" si="0"/>
        <v>1.2113851678875645</v>
      </c>
      <c r="P44">
        <v>1.2113851678875645</v>
      </c>
    </row>
    <row r="45" spans="1:16" x14ac:dyDescent="0.25">
      <c r="A45" s="125">
        <f t="shared" ref="A45:A105" si="9">+EDATE(A44,1)</f>
        <v>42887</v>
      </c>
      <c r="B45" s="114">
        <v>1.2E-2</v>
      </c>
      <c r="C45" s="129">
        <v>1492.43</v>
      </c>
      <c r="D45" s="114">
        <f t="shared" si="2"/>
        <v>1.6807925001362634E-2</v>
      </c>
      <c r="E45" s="130">
        <f t="shared" si="8"/>
        <v>1498.9784234498109</v>
      </c>
      <c r="G45" s="125">
        <f t="shared" si="3"/>
        <v>45536</v>
      </c>
      <c r="H45">
        <f>+AVERAGE($E$133:$E$135)/AVERAGE(E130:E132)</f>
        <v>1.0916794390656277</v>
      </c>
      <c r="M45" s="157">
        <f t="shared" si="0"/>
        <v>1.0800424959999997</v>
      </c>
      <c r="P45">
        <v>1.0800424959999997</v>
      </c>
    </row>
    <row r="46" spans="1:16" x14ac:dyDescent="0.25">
      <c r="A46" s="125">
        <f t="shared" si="9"/>
        <v>42917</v>
      </c>
      <c r="B46" s="114">
        <v>1.7000000000000001E-2</v>
      </c>
      <c r="C46" s="129">
        <v>1507.73</v>
      </c>
      <c r="D46" s="114">
        <f t="shared" si="2"/>
        <v>1.0251737099897351E-2</v>
      </c>
      <c r="E46" s="130">
        <f t="shared" si="8"/>
        <v>1524.4610566484575</v>
      </c>
      <c r="G46" s="125">
        <f t="shared" si="3"/>
        <v>45627</v>
      </c>
      <c r="H46">
        <f>+AVERAGE($E$133:$E$135)/AVERAGE(E133:E135)</f>
        <v>1</v>
      </c>
      <c r="M46" s="157">
        <f>+_xlfn.XLOOKUP($G$46,$A:$A,$E:$E)/_xlfn.XLOOKUP(G46,$A:$A,$E:$E)</f>
        <v>1</v>
      </c>
      <c r="P46">
        <v>1</v>
      </c>
    </row>
    <row r="47" spans="1:16" x14ac:dyDescent="0.25">
      <c r="A47" s="125">
        <f t="shared" si="9"/>
        <v>42948</v>
      </c>
      <c r="B47" s="114">
        <v>1.3999999999999999E-2</v>
      </c>
      <c r="C47" s="129">
        <v>1530.15</v>
      </c>
      <c r="D47" s="114">
        <f t="shared" si="2"/>
        <v>1.487003641235507E-2</v>
      </c>
      <c r="E47" s="130">
        <f t="shared" si="8"/>
        <v>1545.8035114415359</v>
      </c>
    </row>
    <row r="48" spans="1:16" x14ac:dyDescent="0.25">
      <c r="A48" s="125">
        <f t="shared" si="9"/>
        <v>42979</v>
      </c>
      <c r="B48" s="114">
        <v>1.9E-2</v>
      </c>
      <c r="C48" s="129">
        <v>1552.09</v>
      </c>
      <c r="D48" s="114">
        <f t="shared" si="2"/>
        <v>1.4338463549325109E-2</v>
      </c>
      <c r="E48" s="130">
        <f t="shared" si="8"/>
        <v>1575.173778158925</v>
      </c>
    </row>
    <row r="49" spans="1:5" x14ac:dyDescent="0.25">
      <c r="A49" s="125">
        <f t="shared" si="9"/>
        <v>43009</v>
      </c>
      <c r="B49" s="114">
        <v>1.4999999999999999E-2</v>
      </c>
      <c r="C49" s="129">
        <v>1580.79</v>
      </c>
      <c r="D49" s="114">
        <f t="shared" si="2"/>
        <v>1.8491195742514899E-2</v>
      </c>
      <c r="E49" s="130">
        <f t="shared" si="8"/>
        <v>1598.8013848313087</v>
      </c>
    </row>
    <row r="50" spans="1:5" x14ac:dyDescent="0.25">
      <c r="A50" s="125">
        <f t="shared" si="9"/>
        <v>43040</v>
      </c>
      <c r="B50" s="114">
        <v>1.3999999999999999E-2</v>
      </c>
      <c r="C50" s="129">
        <v>1606.59</v>
      </c>
      <c r="D50" s="114">
        <f t="shared" si="2"/>
        <v>1.632095344732698E-2</v>
      </c>
      <c r="E50" s="130">
        <f t="shared" si="8"/>
        <v>1621.184604218947</v>
      </c>
    </row>
    <row r="51" spans="1:5" x14ac:dyDescent="0.25">
      <c r="A51" s="125">
        <f t="shared" si="9"/>
        <v>43070</v>
      </c>
      <c r="B51" s="114">
        <v>3.1E-2</v>
      </c>
      <c r="C51" s="129">
        <v>1630.3</v>
      </c>
      <c r="D51" s="114">
        <f t="shared" si="2"/>
        <v>1.4757965629065284E-2</v>
      </c>
      <c r="E51" s="130">
        <f t="shared" si="8"/>
        <v>1671.4413269497343</v>
      </c>
    </row>
    <row r="52" spans="1:5" x14ac:dyDescent="0.25">
      <c r="A52" s="125">
        <f t="shared" si="9"/>
        <v>43101</v>
      </c>
      <c r="B52" s="114">
        <v>1.8000000000000002E-2</v>
      </c>
      <c r="C52" s="129">
        <v>1678.94</v>
      </c>
      <c r="D52" s="114">
        <f t="shared" si="2"/>
        <v>2.9834999693308051E-2</v>
      </c>
      <c r="E52" s="130">
        <f t="shared" si="8"/>
        <v>1701.5272708348296</v>
      </c>
    </row>
    <row r="53" spans="1:5" x14ac:dyDescent="0.25">
      <c r="A53" s="125">
        <f t="shared" si="9"/>
        <v>43132</v>
      </c>
      <c r="B53" s="114">
        <v>2.4E-2</v>
      </c>
      <c r="C53" s="129">
        <v>1703.2</v>
      </c>
      <c r="D53" s="114">
        <f t="shared" si="2"/>
        <v>1.4449593195706711E-2</v>
      </c>
      <c r="E53" s="130">
        <f t="shared" si="8"/>
        <v>1742.3639253348656</v>
      </c>
    </row>
    <row r="54" spans="1:5" x14ac:dyDescent="0.25">
      <c r="A54" s="125">
        <f t="shared" si="9"/>
        <v>43160</v>
      </c>
      <c r="B54" s="114">
        <v>2.3E-2</v>
      </c>
      <c r="C54" s="129">
        <v>1745.32</v>
      </c>
      <c r="D54" s="114">
        <f t="shared" si="2"/>
        <v>2.4729920150305285E-2</v>
      </c>
      <c r="E54" s="130">
        <f t="shared" si="8"/>
        <v>1782.4382956175673</v>
      </c>
    </row>
    <row r="55" spans="1:5" x14ac:dyDescent="0.25">
      <c r="A55" s="125">
        <f t="shared" si="9"/>
        <v>43191</v>
      </c>
      <c r="B55" s="114">
        <v>2.7000000000000003E-2</v>
      </c>
      <c r="C55" s="129">
        <v>1794.98</v>
      </c>
      <c r="D55" s="114">
        <f t="shared" si="2"/>
        <v>2.8453234936859806E-2</v>
      </c>
      <c r="E55" s="130">
        <f t="shared" si="8"/>
        <v>1830.5641295992414</v>
      </c>
    </row>
    <row r="56" spans="1:5" x14ac:dyDescent="0.25">
      <c r="A56" s="125">
        <f t="shared" si="9"/>
        <v>43221</v>
      </c>
      <c r="B56" s="114">
        <v>2.1000000000000001E-2</v>
      </c>
      <c r="C56" s="129">
        <v>1839.78</v>
      </c>
      <c r="D56" s="114">
        <f t="shared" si="2"/>
        <v>2.4958495359279853E-2</v>
      </c>
      <c r="E56" s="130">
        <f t="shared" si="8"/>
        <v>1869.0059763208253</v>
      </c>
    </row>
    <row r="57" spans="1:5" x14ac:dyDescent="0.25">
      <c r="A57" s="125">
        <f t="shared" si="9"/>
        <v>43252</v>
      </c>
      <c r="B57" s="114">
        <v>3.7000000000000005E-2</v>
      </c>
      <c r="C57" s="129">
        <v>1886.48</v>
      </c>
      <c r="D57" s="114">
        <f t="shared" si="2"/>
        <v>2.5383469762689126E-2</v>
      </c>
      <c r="E57" s="130">
        <f t="shared" si="8"/>
        <v>1938.1591974446958</v>
      </c>
    </row>
    <row r="58" spans="1:5" x14ac:dyDescent="0.25">
      <c r="A58" s="125">
        <f t="shared" si="9"/>
        <v>43282</v>
      </c>
      <c r="B58" s="114">
        <v>3.1E-2</v>
      </c>
      <c r="C58" s="129">
        <v>1963.53</v>
      </c>
      <c r="D58" s="114">
        <f t="shared" si="2"/>
        <v>4.084326364445956E-2</v>
      </c>
      <c r="E58" s="130">
        <f t="shared" si="8"/>
        <v>1998.2421325654811</v>
      </c>
    </row>
    <row r="59" spans="1:5" x14ac:dyDescent="0.25">
      <c r="A59" s="125">
        <f t="shared" si="9"/>
        <v>43313</v>
      </c>
      <c r="B59" s="114">
        <v>3.9E-2</v>
      </c>
      <c r="C59" s="129">
        <v>2034.03</v>
      </c>
      <c r="D59" s="114">
        <f t="shared" si="2"/>
        <v>3.5904722616919571E-2</v>
      </c>
      <c r="E59" s="130">
        <f t="shared" si="8"/>
        <v>2076.1735757355345</v>
      </c>
    </row>
    <row r="60" spans="1:5" x14ac:dyDescent="0.25">
      <c r="A60" s="125">
        <f t="shared" si="9"/>
        <v>43344</v>
      </c>
      <c r="B60" s="114">
        <v>6.5000000000000002E-2</v>
      </c>
      <c r="C60" s="129">
        <v>2102.36</v>
      </c>
      <c r="D60" s="114">
        <f t="shared" si="2"/>
        <v>3.3593408160154992E-2</v>
      </c>
      <c r="E60" s="130">
        <f t="shared" si="8"/>
        <v>2211.1248581583441</v>
      </c>
    </row>
    <row r="61" spans="1:5" x14ac:dyDescent="0.25">
      <c r="A61" s="125">
        <f t="shared" si="9"/>
        <v>43374</v>
      </c>
      <c r="B61" s="114">
        <v>5.4000000000000006E-2</v>
      </c>
      <c r="C61" s="129">
        <v>2264.6799999999998</v>
      </c>
      <c r="D61" s="114">
        <f t="shared" si="2"/>
        <v>7.7208470480792935E-2</v>
      </c>
      <c r="E61" s="130">
        <f t="shared" si="8"/>
        <v>2330.5256004988946</v>
      </c>
    </row>
    <row r="62" spans="1:5" x14ac:dyDescent="0.25">
      <c r="A62" s="125">
        <f t="shared" si="9"/>
        <v>43405</v>
      </c>
      <c r="B62" s="114">
        <v>3.2000000000000001E-2</v>
      </c>
      <c r="C62" s="129">
        <v>2382.64</v>
      </c>
      <c r="D62" s="114">
        <f t="shared" si="2"/>
        <v>5.208682904427997E-2</v>
      </c>
      <c r="E62" s="130">
        <f t="shared" si="8"/>
        <v>2405.1024197148595</v>
      </c>
    </row>
    <row r="63" spans="1:5" x14ac:dyDescent="0.25">
      <c r="A63" s="125">
        <f t="shared" si="9"/>
        <v>43435</v>
      </c>
      <c r="B63" s="114">
        <v>2.6000000000000002E-2</v>
      </c>
      <c r="C63" s="129">
        <v>2466.4499999999998</v>
      </c>
      <c r="D63" s="114">
        <f t="shared" si="2"/>
        <v>3.517526777020441E-2</v>
      </c>
      <c r="E63" s="130">
        <f t="shared" si="8"/>
        <v>2467.6350826274461</v>
      </c>
    </row>
    <row r="64" spans="1:5" x14ac:dyDescent="0.25">
      <c r="A64" s="125">
        <f t="shared" si="9"/>
        <v>43466</v>
      </c>
      <c r="B64" s="114">
        <v>2.8999999999999998E-2</v>
      </c>
      <c r="C64" s="129">
        <v>2517.89</v>
      </c>
      <c r="D64" s="114">
        <f t="shared" si="2"/>
        <v>2.0855885989985667E-2</v>
      </c>
      <c r="E64" s="130">
        <f t="shared" si="8"/>
        <v>2539.1965000236419</v>
      </c>
    </row>
    <row r="65" spans="1:5" x14ac:dyDescent="0.25">
      <c r="A65" s="125">
        <f t="shared" si="9"/>
        <v>43497</v>
      </c>
      <c r="B65" s="114">
        <v>3.7999999999999999E-2</v>
      </c>
      <c r="C65" s="129">
        <v>2609.62</v>
      </c>
      <c r="D65" s="114">
        <f t="shared" si="2"/>
        <v>3.6431297634130111E-2</v>
      </c>
      <c r="E65" s="130">
        <f t="shared" si="8"/>
        <v>2635.6859670245403</v>
      </c>
    </row>
    <row r="66" spans="1:5" x14ac:dyDescent="0.25">
      <c r="A66" s="125">
        <f t="shared" si="9"/>
        <v>43525</v>
      </c>
      <c r="B66" s="114">
        <v>4.7E-2</v>
      </c>
      <c r="C66" s="129">
        <v>2708.13</v>
      </c>
      <c r="D66" s="114">
        <f t="shared" si="2"/>
        <v>3.7748791011718241E-2</v>
      </c>
      <c r="E66" s="130">
        <f t="shared" si="8"/>
        <v>2759.5632074746936</v>
      </c>
    </row>
    <row r="67" spans="1:5" x14ac:dyDescent="0.25">
      <c r="A67" s="125">
        <f t="shared" si="9"/>
        <v>43556</v>
      </c>
      <c r="B67" s="114">
        <v>3.4000000000000002E-2</v>
      </c>
      <c r="C67" s="129">
        <v>2835.66</v>
      </c>
      <c r="D67" s="114">
        <f t="shared" si="2"/>
        <v>4.7091535487587377E-2</v>
      </c>
      <c r="E67" s="130">
        <f t="shared" si="8"/>
        <v>2853.3883565288334</v>
      </c>
    </row>
    <row r="68" spans="1:5" x14ac:dyDescent="0.25">
      <c r="A68" s="125">
        <f t="shared" si="9"/>
        <v>43586</v>
      </c>
      <c r="B68" s="114">
        <v>3.1E-2</v>
      </c>
      <c r="C68" s="129">
        <v>2933.41</v>
      </c>
      <c r="D68" s="114">
        <f t="shared" si="2"/>
        <v>3.4471692657088715E-2</v>
      </c>
      <c r="E68" s="130">
        <f t="shared" si="8"/>
        <v>2941.843395581227</v>
      </c>
    </row>
    <row r="69" spans="1:5" x14ac:dyDescent="0.25">
      <c r="A69" s="125">
        <f t="shared" si="9"/>
        <v>43617</v>
      </c>
      <c r="B69" s="114">
        <v>2.7000000000000003E-2</v>
      </c>
      <c r="C69" s="129">
        <v>3035.33</v>
      </c>
      <c r="D69" s="114">
        <f t="shared" ref="D69:D123" si="10">+C69/C68-1</f>
        <v>3.4744546449354097E-2</v>
      </c>
      <c r="E69" s="130">
        <f t="shared" si="8"/>
        <v>3021.2731672619198</v>
      </c>
    </row>
    <row r="70" spans="1:5" x14ac:dyDescent="0.25">
      <c r="A70" s="125">
        <f t="shared" si="9"/>
        <v>43647</v>
      </c>
      <c r="B70" s="114">
        <v>2.2000000000000002E-2</v>
      </c>
      <c r="C70" s="129">
        <v>3104.39</v>
      </c>
      <c r="D70" s="114">
        <f t="shared" si="10"/>
        <v>2.2752056613284166E-2</v>
      </c>
      <c r="E70" s="130">
        <f t="shared" si="8"/>
        <v>3087.7411769416822</v>
      </c>
    </row>
    <row r="71" spans="1:5" x14ac:dyDescent="0.25">
      <c r="A71" s="125">
        <f t="shared" si="9"/>
        <v>43678</v>
      </c>
      <c r="B71" s="114">
        <v>0.04</v>
      </c>
      <c r="C71" s="129">
        <v>3151.61</v>
      </c>
      <c r="D71" s="114">
        <f t="shared" si="10"/>
        <v>1.521071772554361E-2</v>
      </c>
      <c r="E71" s="130">
        <f t="shared" si="8"/>
        <v>3211.2508240193497</v>
      </c>
    </row>
    <row r="72" spans="1:5" x14ac:dyDescent="0.25">
      <c r="A72" s="125">
        <f t="shared" si="9"/>
        <v>43709</v>
      </c>
      <c r="B72" s="114">
        <v>5.9000000000000004E-2</v>
      </c>
      <c r="C72" s="129">
        <v>3302.07</v>
      </c>
      <c r="D72" s="114">
        <f t="shared" si="10"/>
        <v>4.7740678573808371E-2</v>
      </c>
      <c r="E72" s="130">
        <f t="shared" si="8"/>
        <v>3400.7146226364912</v>
      </c>
    </row>
    <row r="73" spans="1:5" x14ac:dyDescent="0.25">
      <c r="A73" s="125">
        <f t="shared" si="9"/>
        <v>43739</v>
      </c>
      <c r="B73" s="114">
        <v>3.3000000000000002E-2</v>
      </c>
      <c r="C73" s="129">
        <v>3506.25</v>
      </c>
      <c r="D73" s="114">
        <f t="shared" si="10"/>
        <v>6.1833940528214004E-2</v>
      </c>
      <c r="E73" s="130">
        <f t="shared" si="8"/>
        <v>3512.938205183495</v>
      </c>
    </row>
    <row r="74" spans="1:5" x14ac:dyDescent="0.25">
      <c r="A74" s="125">
        <f t="shared" si="9"/>
        <v>43770</v>
      </c>
      <c r="B74" s="114">
        <v>4.2999999999999997E-2</v>
      </c>
      <c r="C74" s="129">
        <v>3610.36</v>
      </c>
      <c r="D74" s="114">
        <f t="shared" si="10"/>
        <v>2.9692691622103418E-2</v>
      </c>
      <c r="E74" s="130">
        <f t="shared" si="8"/>
        <v>3663.9945480063852</v>
      </c>
    </row>
    <row r="75" spans="1:5" x14ac:dyDescent="0.25">
      <c r="A75" s="125">
        <f t="shared" si="9"/>
        <v>43800</v>
      </c>
      <c r="B75" s="114">
        <v>3.7000000000000005E-2</v>
      </c>
      <c r="C75" s="129">
        <v>3784.74</v>
      </c>
      <c r="D75" s="114">
        <f t="shared" si="10"/>
        <v>4.8299892531492583E-2</v>
      </c>
      <c r="E75" s="130">
        <f t="shared" si="8"/>
        <v>3799.5623462826211</v>
      </c>
    </row>
    <row r="76" spans="1:5" x14ac:dyDescent="0.25">
      <c r="A76" s="125">
        <f t="shared" si="9"/>
        <v>43831</v>
      </c>
      <c r="B76" s="114">
        <v>2.3E-2</v>
      </c>
      <c r="C76" s="129">
        <v>3968.36</v>
      </c>
      <c r="D76" s="114">
        <f t="shared" si="10"/>
        <v>4.8515882200626859E-2</v>
      </c>
      <c r="E76" s="130">
        <f t="shared" si="8"/>
        <v>3886.9522802471211</v>
      </c>
    </row>
    <row r="77" spans="1:5" x14ac:dyDescent="0.25">
      <c r="A77" s="125">
        <f t="shared" si="9"/>
        <v>43862</v>
      </c>
      <c r="B77" s="114">
        <v>0.02</v>
      </c>
      <c r="C77" s="129">
        <v>4089.1</v>
      </c>
      <c r="D77" s="114">
        <f t="shared" si="10"/>
        <v>3.0425667026177106E-2</v>
      </c>
      <c r="E77" s="130">
        <f t="shared" si="8"/>
        <v>3964.6913258520635</v>
      </c>
    </row>
    <row r="78" spans="1:5" x14ac:dyDescent="0.25">
      <c r="A78" s="125">
        <f t="shared" si="9"/>
        <v>43891</v>
      </c>
      <c r="B78" s="114">
        <v>3.3000000000000002E-2</v>
      </c>
      <c r="C78" s="129">
        <v>4200.6899999999996</v>
      </c>
      <c r="D78" s="114">
        <f t="shared" si="10"/>
        <v>2.7289623633562243E-2</v>
      </c>
      <c r="E78" s="130">
        <f t="shared" si="8"/>
        <v>4095.5261396051815</v>
      </c>
    </row>
    <row r="79" spans="1:5" x14ac:dyDescent="0.25">
      <c r="A79" s="125">
        <f t="shared" si="9"/>
        <v>43922</v>
      </c>
      <c r="B79" s="114">
        <v>1.4999999999999999E-2</v>
      </c>
      <c r="C79" s="129">
        <v>4316.58</v>
      </c>
      <c r="D79" s="114">
        <f t="shared" si="10"/>
        <v>2.7588324775215556E-2</v>
      </c>
      <c r="E79" s="130">
        <f t="shared" si="8"/>
        <v>4156.959031699259</v>
      </c>
    </row>
    <row r="80" spans="1:5" x14ac:dyDescent="0.25">
      <c r="A80" s="125">
        <f t="shared" si="9"/>
        <v>43952</v>
      </c>
      <c r="B80" s="114">
        <v>1.4999999999999999E-2</v>
      </c>
      <c r="C80" s="129">
        <v>4401.0600000000004</v>
      </c>
      <c r="D80" s="114">
        <f t="shared" si="10"/>
        <v>1.9571049302920418E-2</v>
      </c>
      <c r="E80" s="130">
        <f t="shared" si="8"/>
        <v>4219.3134171747479</v>
      </c>
    </row>
    <row r="81" spans="1:5" x14ac:dyDescent="0.25">
      <c r="A81" s="125">
        <f t="shared" si="9"/>
        <v>43983</v>
      </c>
      <c r="B81" s="114">
        <v>2.2000000000000002E-2</v>
      </c>
      <c r="C81" s="129">
        <v>4461.5600000000004</v>
      </c>
      <c r="D81" s="114">
        <f t="shared" si="10"/>
        <v>1.3746688297819221E-2</v>
      </c>
      <c r="E81" s="130">
        <f t="shared" si="8"/>
        <v>4312.138312352592</v>
      </c>
    </row>
    <row r="82" spans="1:5" x14ac:dyDescent="0.25">
      <c r="A82" s="125">
        <f t="shared" si="9"/>
        <v>44013</v>
      </c>
      <c r="B82" s="114">
        <v>1.9E-2</v>
      </c>
      <c r="C82" s="129">
        <v>4533.16</v>
      </c>
      <c r="D82" s="114">
        <f t="shared" si="10"/>
        <v>1.604819838800764E-2</v>
      </c>
      <c r="E82" s="130">
        <f t="shared" si="8"/>
        <v>4394.0689402872913</v>
      </c>
    </row>
    <row r="83" spans="1:5" x14ac:dyDescent="0.25">
      <c r="A83" s="125">
        <f t="shared" si="9"/>
        <v>44044</v>
      </c>
      <c r="B83" s="114">
        <v>2.7000000000000003E-2</v>
      </c>
      <c r="C83" s="129">
        <v>4641.9399999999996</v>
      </c>
      <c r="D83" s="114">
        <f t="shared" si="10"/>
        <v>2.3996505748749231E-2</v>
      </c>
      <c r="E83" s="130">
        <f t="shared" si="8"/>
        <v>4512.7088016750477</v>
      </c>
    </row>
    <row r="84" spans="1:5" x14ac:dyDescent="0.25">
      <c r="A84" s="125">
        <f t="shared" si="9"/>
        <v>44075</v>
      </c>
      <c r="B84" s="114">
        <v>2.7999999999999997E-2</v>
      </c>
      <c r="C84" s="129">
        <v>4782.91</v>
      </c>
      <c r="D84" s="114">
        <f t="shared" si="10"/>
        <v>3.0368768230524257E-2</v>
      </c>
      <c r="E84" s="130">
        <f t="shared" si="8"/>
        <v>4639.0646481219492</v>
      </c>
    </row>
    <row r="85" spans="1:5" x14ac:dyDescent="0.25">
      <c r="A85" s="125">
        <f t="shared" si="9"/>
        <v>44105</v>
      </c>
      <c r="B85" s="114">
        <v>3.7999999999999999E-2</v>
      </c>
      <c r="C85" s="129">
        <v>4929.68</v>
      </c>
      <c r="D85" s="114">
        <f t="shared" si="10"/>
        <v>3.0686339487885128E-2</v>
      </c>
      <c r="E85" s="130">
        <f t="shared" si="8"/>
        <v>4815.3491047505831</v>
      </c>
    </row>
    <row r="86" spans="1:5" x14ac:dyDescent="0.25">
      <c r="A86" s="125">
        <f t="shared" si="9"/>
        <v>44136</v>
      </c>
      <c r="B86" s="114">
        <v>3.2000000000000001E-2</v>
      </c>
      <c r="C86" s="129">
        <v>5104.74</v>
      </c>
      <c r="D86" s="114">
        <f t="shared" si="10"/>
        <v>3.5511432790769293E-2</v>
      </c>
      <c r="E86" s="130">
        <f t="shared" si="8"/>
        <v>4969.4402761026022</v>
      </c>
    </row>
    <row r="87" spans="1:5" x14ac:dyDescent="0.25">
      <c r="A87" s="125">
        <f t="shared" si="9"/>
        <v>44166</v>
      </c>
      <c r="B87" s="114">
        <v>0.04</v>
      </c>
      <c r="C87" s="129">
        <v>5293.17</v>
      </c>
      <c r="D87" s="114">
        <f t="shared" si="10"/>
        <v>3.6912751677852462E-2</v>
      </c>
      <c r="E87" s="130">
        <f t="shared" si="8"/>
        <v>5168.2178871467067</v>
      </c>
    </row>
    <row r="88" spans="1:5" x14ac:dyDescent="0.25">
      <c r="A88" s="125">
        <f t="shared" si="9"/>
        <v>44197</v>
      </c>
      <c r="B88" s="114">
        <v>0.04</v>
      </c>
      <c r="C88" s="129">
        <v>5626.28</v>
      </c>
      <c r="D88" s="114">
        <f t="shared" si="10"/>
        <v>6.2932042613405459E-2</v>
      </c>
      <c r="E88" s="130">
        <f t="shared" si="8"/>
        <v>5374.9466026325754</v>
      </c>
    </row>
    <row r="89" spans="1:5" x14ac:dyDescent="0.25">
      <c r="A89" s="125">
        <f t="shared" si="9"/>
        <v>44228</v>
      </c>
      <c r="B89" s="114">
        <v>3.6000000000000004E-2</v>
      </c>
      <c r="C89" s="129">
        <v>5907.94</v>
      </c>
      <c r="D89" s="114">
        <f t="shared" si="10"/>
        <v>5.0061497117100506E-2</v>
      </c>
      <c r="E89" s="130">
        <f t="shared" si="8"/>
        <v>5568.4446803273486</v>
      </c>
    </row>
    <row r="90" spans="1:5" x14ac:dyDescent="0.25">
      <c r="A90" s="125">
        <f t="shared" si="9"/>
        <v>44256</v>
      </c>
      <c r="B90" s="114">
        <v>4.8000000000000001E-2</v>
      </c>
      <c r="C90" s="129">
        <v>6123.9</v>
      </c>
      <c r="D90" s="114">
        <f t="shared" si="10"/>
        <v>3.6554196555821594E-2</v>
      </c>
      <c r="E90" s="130">
        <f t="shared" si="8"/>
        <v>5835.7300249830614</v>
      </c>
    </row>
    <row r="91" spans="1:5" x14ac:dyDescent="0.25">
      <c r="A91" s="125">
        <f t="shared" si="9"/>
        <v>44287</v>
      </c>
      <c r="B91" s="114">
        <v>4.0999999999999995E-2</v>
      </c>
      <c r="C91" s="129">
        <v>6361.08</v>
      </c>
      <c r="D91" s="114">
        <f t="shared" si="10"/>
        <v>3.8730220937637894E-2</v>
      </c>
      <c r="E91" s="130">
        <f t="shared" si="8"/>
        <v>6074.9949560073665</v>
      </c>
    </row>
    <row r="92" spans="1:5" x14ac:dyDescent="0.25">
      <c r="A92" s="125">
        <f t="shared" si="9"/>
        <v>44317</v>
      </c>
      <c r="B92" s="114">
        <v>3.3000000000000002E-2</v>
      </c>
      <c r="C92" s="129">
        <v>6615</v>
      </c>
      <c r="D92" s="114">
        <f t="shared" si="10"/>
        <v>3.9917749816068993E-2</v>
      </c>
      <c r="E92" s="130">
        <f t="shared" si="8"/>
        <v>6275.4697895556092</v>
      </c>
    </row>
    <row r="93" spans="1:5" x14ac:dyDescent="0.25">
      <c r="A93" s="125">
        <f t="shared" si="9"/>
        <v>44348</v>
      </c>
      <c r="B93" s="114">
        <v>3.2000000000000001E-2</v>
      </c>
      <c r="C93" s="129">
        <v>6834.62</v>
      </c>
      <c r="D93" s="114">
        <f t="shared" si="10"/>
        <v>3.3200302343159516E-2</v>
      </c>
      <c r="E93" s="130">
        <f t="shared" si="8"/>
        <v>6476.2848228213888</v>
      </c>
    </row>
    <row r="94" spans="1:5" x14ac:dyDescent="0.25">
      <c r="A94" s="125">
        <f t="shared" si="9"/>
        <v>44378</v>
      </c>
      <c r="B94" s="114">
        <v>0.03</v>
      </c>
      <c r="C94" s="129">
        <v>7065.63</v>
      </c>
      <c r="D94" s="114">
        <f t="shared" si="10"/>
        <v>3.3799977175029472E-2</v>
      </c>
      <c r="E94" s="130">
        <f t="shared" si="8"/>
        <v>6670.573367506031</v>
      </c>
    </row>
    <row r="95" spans="1:5" x14ac:dyDescent="0.25">
      <c r="A95" s="125">
        <f t="shared" si="9"/>
        <v>44409</v>
      </c>
      <c r="B95" s="114">
        <v>2.5000000000000001E-2</v>
      </c>
      <c r="C95" s="129">
        <v>7245.04</v>
      </c>
      <c r="D95" s="114">
        <f t="shared" si="10"/>
        <v>2.5391932495757663E-2</v>
      </c>
      <c r="E95" s="130">
        <f t="shared" si="8"/>
        <v>6837.3377016936811</v>
      </c>
    </row>
    <row r="96" spans="1:5" x14ac:dyDescent="0.25">
      <c r="A96" s="125">
        <f t="shared" si="9"/>
        <v>44440</v>
      </c>
      <c r="B96" s="114">
        <v>3.5000000000000003E-2</v>
      </c>
      <c r="C96" s="129">
        <v>7433.88</v>
      </c>
      <c r="D96" s="114">
        <f t="shared" si="10"/>
        <v>2.6064728421099082E-2</v>
      </c>
      <c r="E96" s="130">
        <f t="shared" si="8"/>
        <v>7076.6445212529597</v>
      </c>
    </row>
    <row r="97" spans="1:5" x14ac:dyDescent="0.25">
      <c r="A97" s="125">
        <f t="shared" si="9"/>
        <v>44470</v>
      </c>
      <c r="B97" s="114">
        <v>3.5000000000000003E-2</v>
      </c>
      <c r="C97" s="129">
        <v>7648.23</v>
      </c>
      <c r="D97" s="114">
        <f t="shared" si="10"/>
        <v>2.8834202327721048E-2</v>
      </c>
      <c r="E97" s="130">
        <f t="shared" si="8"/>
        <v>7324.327079496813</v>
      </c>
    </row>
    <row r="98" spans="1:5" x14ac:dyDescent="0.25">
      <c r="A98" s="125">
        <f t="shared" si="9"/>
        <v>44501</v>
      </c>
      <c r="B98" s="114">
        <v>2.5000000000000001E-2</v>
      </c>
      <c r="C98" s="129">
        <v>7865.47</v>
      </c>
      <c r="D98" s="114">
        <f t="shared" si="10"/>
        <v>2.8403957516968115E-2</v>
      </c>
      <c r="E98" s="130">
        <f t="shared" si="8"/>
        <v>7507.4352564842329</v>
      </c>
    </row>
    <row r="99" spans="1:5" x14ac:dyDescent="0.25">
      <c r="A99" s="125">
        <f t="shared" si="9"/>
        <v>44531</v>
      </c>
      <c r="B99" s="114">
        <v>3.7999999999999999E-2</v>
      </c>
      <c r="C99" s="129">
        <v>8110.64</v>
      </c>
      <c r="D99" s="114">
        <f t="shared" si="10"/>
        <v>3.1170419568061325E-2</v>
      </c>
      <c r="E99" s="130">
        <f t="shared" si="8"/>
        <v>7792.7177962306341</v>
      </c>
    </row>
    <row r="100" spans="1:5" x14ac:dyDescent="0.25">
      <c r="A100" s="125">
        <f t="shared" si="9"/>
        <v>44562</v>
      </c>
      <c r="B100" s="114">
        <v>3.9E-2</v>
      </c>
      <c r="C100" s="129">
        <v>8480.7000000000007</v>
      </c>
      <c r="D100" s="114">
        <f t="shared" si="10"/>
        <v>4.5626485702731312E-2</v>
      </c>
      <c r="E100" s="130">
        <f t="shared" si="8"/>
        <v>8096.6337902836285</v>
      </c>
    </row>
    <row r="101" spans="1:5" x14ac:dyDescent="0.25">
      <c r="A101" s="125">
        <f t="shared" si="9"/>
        <v>44593</v>
      </c>
      <c r="B101" s="114">
        <v>4.7E-2</v>
      </c>
      <c r="C101" s="129">
        <v>8808.77</v>
      </c>
      <c r="D101" s="114">
        <f t="shared" si="10"/>
        <v>3.8684306719964034E-2</v>
      </c>
      <c r="E101" s="130">
        <f t="shared" si="8"/>
        <v>8477.175578426959</v>
      </c>
    </row>
    <row r="102" spans="1:5" x14ac:dyDescent="0.25">
      <c r="A102" s="125">
        <f t="shared" si="9"/>
        <v>44621</v>
      </c>
      <c r="B102" s="114">
        <v>6.7000000000000004E-2</v>
      </c>
      <c r="C102" s="129">
        <v>9327.8799999999992</v>
      </c>
      <c r="D102" s="114">
        <f t="shared" si="10"/>
        <v>5.8931042585968152E-2</v>
      </c>
      <c r="E102" s="130">
        <f t="shared" si="8"/>
        <v>9045.1463421815643</v>
      </c>
    </row>
    <row r="103" spans="1:5" x14ac:dyDescent="0.25">
      <c r="A103" s="125">
        <f t="shared" si="9"/>
        <v>44652</v>
      </c>
      <c r="B103" s="114">
        <v>0.06</v>
      </c>
      <c r="C103" s="129">
        <v>9962.61</v>
      </c>
      <c r="D103" s="114">
        <f t="shared" si="10"/>
        <v>6.8046544338049131E-2</v>
      </c>
      <c r="E103" s="130">
        <f t="shared" si="8"/>
        <v>9587.855122712459</v>
      </c>
    </row>
    <row r="104" spans="1:5" x14ac:dyDescent="0.25">
      <c r="A104" s="125">
        <f t="shared" si="9"/>
        <v>44682</v>
      </c>
      <c r="B104" s="114">
        <v>5.0999999999999997E-2</v>
      </c>
      <c r="C104" s="129">
        <v>10472.040000000001</v>
      </c>
      <c r="D104" s="114">
        <f t="shared" si="10"/>
        <v>5.1134190739173802E-2</v>
      </c>
      <c r="E104" s="130">
        <f t="shared" si="8"/>
        <v>10076.835733970795</v>
      </c>
    </row>
    <row r="105" spans="1:5" x14ac:dyDescent="0.25">
      <c r="A105" s="125">
        <f t="shared" si="9"/>
        <v>44713</v>
      </c>
      <c r="B105" s="114">
        <v>5.2999999999999999E-2</v>
      </c>
      <c r="C105" s="129">
        <v>11054.95</v>
      </c>
      <c r="D105" s="114">
        <f t="shared" si="10"/>
        <v>5.5663461942467629E-2</v>
      </c>
      <c r="E105" s="130">
        <f t="shared" ref="E105:E135" si="11">+E104*(1+B105)</f>
        <v>10610.908027871246</v>
      </c>
    </row>
    <row r="106" spans="1:5" x14ac:dyDescent="0.25">
      <c r="A106" s="125">
        <f t="shared" ref="A106:A135" si="12">+EDATE(A105,1)</f>
        <v>44743</v>
      </c>
      <c r="B106" s="114">
        <v>7.400000000000001E-2</v>
      </c>
      <c r="C106" s="129">
        <v>11531.78</v>
      </c>
      <c r="D106" s="114">
        <f t="shared" si="10"/>
        <v>4.3132714304451758E-2</v>
      </c>
      <c r="E106" s="130">
        <f t="shared" si="11"/>
        <v>11396.11522193372</v>
      </c>
    </row>
    <row r="107" spans="1:5" x14ac:dyDescent="0.25">
      <c r="A107" s="125">
        <f t="shared" si="12"/>
        <v>44774</v>
      </c>
      <c r="B107" s="114">
        <v>7.0000000000000007E-2</v>
      </c>
      <c r="C107" s="129">
        <v>12323.61</v>
      </c>
      <c r="D107" s="114">
        <f t="shared" si="10"/>
        <v>6.8665028295718411E-2</v>
      </c>
      <c r="E107" s="130">
        <f t="shared" si="11"/>
        <v>12193.843287469081</v>
      </c>
    </row>
    <row r="108" spans="1:5" x14ac:dyDescent="0.25">
      <c r="A108" s="125">
        <f t="shared" si="12"/>
        <v>44805</v>
      </c>
      <c r="B108" s="114">
        <v>6.2E-2</v>
      </c>
      <c r="C108" s="129">
        <v>13207.47</v>
      </c>
      <c r="D108" s="114">
        <f t="shared" si="10"/>
        <v>7.1720867505544073E-2</v>
      </c>
      <c r="E108" s="130">
        <f t="shared" si="11"/>
        <v>12949.861571292164</v>
      </c>
    </row>
    <row r="109" spans="1:5" x14ac:dyDescent="0.25">
      <c r="A109" s="125">
        <f t="shared" si="12"/>
        <v>44835</v>
      </c>
      <c r="B109" s="114">
        <v>6.3E-2</v>
      </c>
      <c r="C109" s="129">
        <v>14057.96</v>
      </c>
      <c r="D109" s="114">
        <f t="shared" si="10"/>
        <v>6.4394619105702988E-2</v>
      </c>
      <c r="E109" s="130">
        <f t="shared" si="11"/>
        <v>13765.702850283569</v>
      </c>
    </row>
    <row r="110" spans="1:5" x14ac:dyDescent="0.25">
      <c r="A110" s="125">
        <f t="shared" si="12"/>
        <v>44866</v>
      </c>
      <c r="B110" s="114">
        <v>4.9000000000000002E-2</v>
      </c>
      <c r="C110" s="129">
        <v>14826.58</v>
      </c>
      <c r="D110" s="114">
        <f t="shared" si="10"/>
        <v>5.4675073766037308E-2</v>
      </c>
      <c r="E110" s="130">
        <f t="shared" si="11"/>
        <v>14440.222289947464</v>
      </c>
    </row>
    <row r="111" spans="1:5" x14ac:dyDescent="0.25">
      <c r="A111" s="125">
        <f t="shared" si="12"/>
        <v>44896</v>
      </c>
      <c r="B111" s="114">
        <v>5.0999999999999997E-2</v>
      </c>
      <c r="C111" s="129">
        <v>15585.2</v>
      </c>
      <c r="D111" s="114">
        <f t="shared" si="10"/>
        <v>5.1166216349286309E-2</v>
      </c>
      <c r="E111" s="130">
        <f t="shared" si="11"/>
        <v>15176.673626734784</v>
      </c>
    </row>
    <row r="112" spans="1:5" x14ac:dyDescent="0.25">
      <c r="A112" s="125">
        <f t="shared" si="12"/>
        <v>44927</v>
      </c>
      <c r="B112" s="114">
        <v>0.06</v>
      </c>
      <c r="C112" s="129">
        <v>16324.7</v>
      </c>
      <c r="D112" s="114">
        <f t="shared" si="10"/>
        <v>4.7448861740625681E-2</v>
      </c>
      <c r="E112" s="130">
        <f t="shared" si="11"/>
        <v>16087.274044338872</v>
      </c>
    </row>
    <row r="113" spans="1:5" x14ac:dyDescent="0.25">
      <c r="A113" s="125">
        <f t="shared" si="12"/>
        <v>44958</v>
      </c>
      <c r="B113" s="114">
        <v>6.6000000000000003E-2</v>
      </c>
      <c r="C113" s="129">
        <v>17243.86</v>
      </c>
      <c r="D113" s="114">
        <f t="shared" si="10"/>
        <v>5.630486318278427E-2</v>
      </c>
      <c r="E113" s="130">
        <f t="shared" si="11"/>
        <v>17149.034131265238</v>
      </c>
    </row>
    <row r="114" spans="1:5" x14ac:dyDescent="0.25">
      <c r="A114" s="125">
        <f t="shared" si="12"/>
        <v>44986</v>
      </c>
      <c r="B114" s="114">
        <v>7.6999999999999999E-2</v>
      </c>
      <c r="C114" s="129">
        <v>18772.650000000001</v>
      </c>
      <c r="D114" s="114">
        <f t="shared" si="10"/>
        <v>8.8657064021628651E-2</v>
      </c>
      <c r="E114" s="130">
        <f t="shared" si="11"/>
        <v>18469.50975937266</v>
      </c>
    </row>
    <row r="115" spans="1:5" x14ac:dyDescent="0.25">
      <c r="A115" s="125">
        <f t="shared" si="12"/>
        <v>45017</v>
      </c>
      <c r="B115" s="114">
        <v>8.4000000000000005E-2</v>
      </c>
      <c r="C115" s="129">
        <v>20072.27</v>
      </c>
      <c r="D115" s="114">
        <f t="shared" si="10"/>
        <v>6.9229437506159064E-2</v>
      </c>
      <c r="E115" s="130">
        <f t="shared" si="11"/>
        <v>20020.948579159965</v>
      </c>
    </row>
    <row r="116" spans="1:5" x14ac:dyDescent="0.25">
      <c r="A116" s="125">
        <f t="shared" si="12"/>
        <v>45047</v>
      </c>
      <c r="B116" s="114">
        <v>7.8E-2</v>
      </c>
      <c r="C116" s="129">
        <v>21489.61</v>
      </c>
      <c r="D116" s="114">
        <f t="shared" si="10"/>
        <v>7.0611844101339916E-2</v>
      </c>
      <c r="E116" s="130">
        <f t="shared" si="11"/>
        <v>21582.582568334445</v>
      </c>
    </row>
    <row r="117" spans="1:5" x14ac:dyDescent="0.25">
      <c r="A117" s="125">
        <f t="shared" si="12"/>
        <v>45078</v>
      </c>
      <c r="B117" s="114">
        <v>0.06</v>
      </c>
      <c r="C117" s="129">
        <v>22820.29</v>
      </c>
      <c r="D117" s="114">
        <f t="shared" si="10"/>
        <v>6.1922017198078549E-2</v>
      </c>
      <c r="E117" s="130">
        <f t="shared" si="11"/>
        <v>22877.537522434512</v>
      </c>
    </row>
    <row r="118" spans="1:5" x14ac:dyDescent="0.25">
      <c r="A118" s="125">
        <f t="shared" si="12"/>
        <v>45108</v>
      </c>
      <c r="B118" s="114">
        <v>6.3E-2</v>
      </c>
      <c r="C118" s="129">
        <v>25316.84</v>
      </c>
      <c r="D118" s="114">
        <f t="shared" si="10"/>
        <v>0.10940045021338474</v>
      </c>
      <c r="E118" s="130">
        <f t="shared" si="11"/>
        <v>24318.822386347885</v>
      </c>
    </row>
    <row r="119" spans="1:5" x14ac:dyDescent="0.25">
      <c r="A119" s="125">
        <f t="shared" si="12"/>
        <v>45139</v>
      </c>
      <c r="B119" s="114">
        <v>0.124</v>
      </c>
      <c r="C119" s="129">
        <v>29093.99</v>
      </c>
      <c r="D119" s="114">
        <f t="shared" si="10"/>
        <v>0.14919516021746793</v>
      </c>
      <c r="E119" s="130">
        <f t="shared" si="11"/>
        <v>27334.356362255025</v>
      </c>
    </row>
    <row r="120" spans="1:5" x14ac:dyDescent="0.25">
      <c r="A120" s="125">
        <f t="shared" si="12"/>
        <v>45170</v>
      </c>
      <c r="B120" s="114">
        <v>0.127</v>
      </c>
      <c r="C120" s="129">
        <v>33432.33</v>
      </c>
      <c r="D120" s="114">
        <f t="shared" si="10"/>
        <v>0.14911464532709329</v>
      </c>
      <c r="E120" s="130">
        <f t="shared" si="11"/>
        <v>30805.819620261413</v>
      </c>
    </row>
    <row r="121" spans="1:5" x14ac:dyDescent="0.25">
      <c r="A121" s="125">
        <f t="shared" si="12"/>
        <v>45200</v>
      </c>
      <c r="B121" s="114">
        <v>8.3000000000000004E-2</v>
      </c>
      <c r="D121" s="114">
        <f t="shared" si="10"/>
        <v>-1</v>
      </c>
      <c r="E121" s="130">
        <f t="shared" si="11"/>
        <v>33362.702648743107</v>
      </c>
    </row>
    <row r="122" spans="1:5" x14ac:dyDescent="0.25">
      <c r="A122" s="125">
        <f t="shared" si="12"/>
        <v>45231</v>
      </c>
      <c r="B122" s="114">
        <v>0.128</v>
      </c>
      <c r="D122" s="114" t="e">
        <f t="shared" si="10"/>
        <v>#DIV/0!</v>
      </c>
      <c r="E122" s="130">
        <f t="shared" si="11"/>
        <v>37633.12858778223</v>
      </c>
    </row>
    <row r="123" spans="1:5" x14ac:dyDescent="0.25">
      <c r="A123" s="125">
        <f t="shared" si="12"/>
        <v>45261</v>
      </c>
      <c r="B123" s="114">
        <v>0.255</v>
      </c>
      <c r="D123" s="114" t="e">
        <f t="shared" si="10"/>
        <v>#DIV/0!</v>
      </c>
      <c r="E123" s="130">
        <f t="shared" si="11"/>
        <v>47229.576377666694</v>
      </c>
    </row>
    <row r="124" spans="1:5" x14ac:dyDescent="0.25">
      <c r="A124" s="125">
        <f t="shared" si="12"/>
        <v>45292</v>
      </c>
      <c r="B124" s="114">
        <v>0.20600000000000002</v>
      </c>
      <c r="E124" s="130">
        <f t="shared" si="11"/>
        <v>56958.869111466032</v>
      </c>
    </row>
    <row r="125" spans="1:5" x14ac:dyDescent="0.25">
      <c r="A125" s="125">
        <f t="shared" si="12"/>
        <v>45323</v>
      </c>
      <c r="B125" s="114">
        <v>0.13200000000000001</v>
      </c>
      <c r="E125" s="130">
        <f t="shared" si="11"/>
        <v>64477.439834179553</v>
      </c>
    </row>
    <row r="126" spans="1:5" x14ac:dyDescent="0.25">
      <c r="A126" s="125">
        <f t="shared" si="12"/>
        <v>45352</v>
      </c>
      <c r="B126" s="114">
        <v>0.11</v>
      </c>
      <c r="E126" s="130">
        <f t="shared" si="11"/>
        <v>71569.958215939303</v>
      </c>
    </row>
    <row r="127" spans="1:5" x14ac:dyDescent="0.25">
      <c r="A127" s="125">
        <f t="shared" si="12"/>
        <v>45383</v>
      </c>
      <c r="B127" s="114">
        <v>8.8000000000000009E-2</v>
      </c>
      <c r="E127" s="130">
        <f t="shared" si="11"/>
        <v>77868.114538941969</v>
      </c>
    </row>
    <row r="128" spans="1:5" x14ac:dyDescent="0.25">
      <c r="A128" s="125">
        <f t="shared" si="12"/>
        <v>45413</v>
      </c>
      <c r="B128" s="114">
        <v>4.2000000000000003E-2</v>
      </c>
      <c r="E128" s="130">
        <f t="shared" si="11"/>
        <v>81138.575349577528</v>
      </c>
    </row>
    <row r="129" spans="1:5" x14ac:dyDescent="0.25">
      <c r="A129" s="125">
        <f t="shared" si="12"/>
        <v>45444</v>
      </c>
      <c r="B129" s="114">
        <v>4.5999999999999999E-2</v>
      </c>
      <c r="E129" s="130">
        <f t="shared" si="11"/>
        <v>84870.949815658096</v>
      </c>
    </row>
    <row r="130" spans="1:5" x14ac:dyDescent="0.25">
      <c r="A130" s="125">
        <f t="shared" si="12"/>
        <v>45474</v>
      </c>
      <c r="B130" s="114">
        <v>0.04</v>
      </c>
      <c r="E130" s="130">
        <f t="shared" si="11"/>
        <v>88265.787808284425</v>
      </c>
    </row>
    <row r="131" spans="1:5" x14ac:dyDescent="0.25">
      <c r="A131" s="125">
        <f t="shared" si="12"/>
        <v>45505</v>
      </c>
      <c r="B131" s="114">
        <v>4.2000000000000003E-2</v>
      </c>
      <c r="E131" s="130">
        <f t="shared" si="11"/>
        <v>91972.950896232374</v>
      </c>
    </row>
    <row r="132" spans="1:5" x14ac:dyDescent="0.25">
      <c r="A132" s="125">
        <f t="shared" si="12"/>
        <v>45536</v>
      </c>
      <c r="B132" s="114">
        <v>3.5000000000000003E-2</v>
      </c>
      <c r="E132" s="130">
        <f t="shared" si="11"/>
        <v>95192.004177600495</v>
      </c>
    </row>
    <row r="133" spans="1:5" x14ac:dyDescent="0.25">
      <c r="A133" s="125">
        <f t="shared" si="12"/>
        <v>45566</v>
      </c>
      <c r="B133" s="114">
        <v>2.7000000000000003E-2</v>
      </c>
      <c r="E133" s="130">
        <f t="shared" si="11"/>
        <v>97762.188290395701</v>
      </c>
    </row>
    <row r="134" spans="1:5" x14ac:dyDescent="0.25">
      <c r="A134" s="125">
        <f t="shared" si="12"/>
        <v>45597</v>
      </c>
      <c r="B134" s="114">
        <v>2.4E-2</v>
      </c>
      <c r="E134" s="130">
        <f t="shared" si="11"/>
        <v>100108.4808093652</v>
      </c>
    </row>
    <row r="135" spans="1:5" x14ac:dyDescent="0.25">
      <c r="A135" s="125">
        <f t="shared" si="12"/>
        <v>45627</v>
      </c>
      <c r="B135" s="114">
        <v>2.7000000000000003E-2</v>
      </c>
      <c r="E135" s="130">
        <f t="shared" si="11"/>
        <v>102811.40979121804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O17"/>
  <sheetViews>
    <sheetView workbookViewId="0">
      <pane xSplit="1" ySplit="2" topLeftCell="X3" activePane="bottomRight" state="frozen"/>
      <selection activeCell="P45" sqref="P45"/>
      <selection pane="topRight" activeCell="P45" sqref="P45"/>
      <selection pane="bottomLeft" activeCell="P45" sqref="P45"/>
      <selection pane="bottomRight" activeCell="P45" sqref="P45"/>
    </sheetView>
  </sheetViews>
  <sheetFormatPr baseColWidth="10" defaultRowHeight="15" x14ac:dyDescent="0.25"/>
  <sheetData>
    <row r="1" spans="1:41" x14ac:dyDescent="0.25">
      <c r="A1" t="s">
        <v>192</v>
      </c>
    </row>
    <row r="2" spans="1:41" x14ac:dyDescent="0.25">
      <c r="B2" s="38">
        <v>41729</v>
      </c>
      <c r="C2" s="38">
        <v>41820</v>
      </c>
      <c r="D2" s="38">
        <v>41912</v>
      </c>
      <c r="E2" s="38">
        <v>42004</v>
      </c>
      <c r="F2" s="38">
        <v>42094</v>
      </c>
      <c r="G2" s="38">
        <v>42185</v>
      </c>
      <c r="H2" s="38">
        <v>42277</v>
      </c>
      <c r="I2" s="38">
        <v>42369</v>
      </c>
      <c r="J2" s="38">
        <v>42460</v>
      </c>
      <c r="K2" s="38">
        <v>42551</v>
      </c>
      <c r="L2" s="38">
        <v>42643</v>
      </c>
      <c r="M2" s="38">
        <v>42735</v>
      </c>
      <c r="N2" s="38">
        <v>42825</v>
      </c>
      <c r="O2" s="38">
        <v>42916</v>
      </c>
      <c r="P2" s="38">
        <v>43008</v>
      </c>
      <c r="Q2" s="38">
        <v>43100</v>
      </c>
      <c r="R2" s="38">
        <v>43190</v>
      </c>
      <c r="S2" s="38">
        <v>43281</v>
      </c>
      <c r="T2" s="38">
        <v>43373</v>
      </c>
      <c r="U2" s="38">
        <v>43465</v>
      </c>
      <c r="V2" s="38">
        <v>43555</v>
      </c>
      <c r="W2" s="38">
        <v>43646</v>
      </c>
      <c r="X2" s="38">
        <v>43738</v>
      </c>
      <c r="Y2" s="38">
        <v>43830</v>
      </c>
      <c r="Z2" s="38">
        <v>43921</v>
      </c>
      <c r="AA2" s="38">
        <v>44012</v>
      </c>
      <c r="AB2" s="38">
        <v>44104</v>
      </c>
      <c r="AC2" s="38">
        <v>44196</v>
      </c>
      <c r="AD2" s="38">
        <v>44286</v>
      </c>
      <c r="AE2" s="38">
        <v>44377</v>
      </c>
      <c r="AF2" s="38">
        <v>44469</v>
      </c>
      <c r="AG2" s="38">
        <v>44561</v>
      </c>
      <c r="AH2" s="38">
        <v>44651</v>
      </c>
      <c r="AI2" s="38">
        <v>44742</v>
      </c>
      <c r="AJ2" s="38">
        <v>44834</v>
      </c>
      <c r="AK2" s="38">
        <v>44926</v>
      </c>
      <c r="AL2" s="38">
        <v>45016</v>
      </c>
      <c r="AM2" s="38">
        <v>45107</v>
      </c>
      <c r="AN2" s="38">
        <v>45199</v>
      </c>
      <c r="AO2" s="38">
        <v>45291</v>
      </c>
    </row>
    <row r="3" spans="1:41" x14ac:dyDescent="0.25">
      <c r="A3" t="s">
        <v>190</v>
      </c>
      <c r="B3" s="236">
        <f>+_xlfn.XLOOKUP(B2,'Evolución Deuda Total'!4:4,'Evolución Deuda Total'!7:7)</f>
        <v>9595.7892442100001</v>
      </c>
      <c r="C3" s="236">
        <f>+_xlfn.XLOOKUP(C2,'Evolución Deuda Total'!4:4,'Evolución Deuda Total'!7:7)</f>
        <v>10054.44866702</v>
      </c>
      <c r="D3" s="236">
        <f>+_xlfn.XLOOKUP(D2,'Evolución Deuda Total'!4:4,'Evolución Deuda Total'!7:7)</f>
        <v>10277.67203896</v>
      </c>
      <c r="E3" s="236">
        <f>+_xlfn.XLOOKUP(E2,'Evolución Deuda Total'!4:4,'Evolución Deuda Total'!7:7)</f>
        <v>11311.607368460001</v>
      </c>
      <c r="F3" s="236">
        <f>+_xlfn.XLOOKUP(F2,'Evolución Deuda Total'!4:4,'Evolución Deuda Total'!7:7)</f>
        <v>10243.55921521</v>
      </c>
      <c r="G3" s="236">
        <f>+_xlfn.XLOOKUP(G2,'Evolución Deuda Total'!4:4,'Evolución Deuda Total'!7:7)</f>
        <v>11670.570962289999</v>
      </c>
      <c r="H3" s="236">
        <f>+_xlfn.XLOOKUP(H2,'Evolución Deuda Total'!4:4,'Evolución Deuda Total'!7:7)</f>
        <v>12214.777311260001</v>
      </c>
      <c r="I3" s="236">
        <f>+_xlfn.XLOOKUP(I2,'Evolución Deuda Total'!4:4,'Evolución Deuda Total'!7:7)</f>
        <v>19341.371375745901</v>
      </c>
      <c r="J3" s="236">
        <f>+_xlfn.XLOOKUP(J2,'Evolución Deuda Total'!4:4,'Evolución Deuda Total'!7:7)</f>
        <v>17301.287027842955</v>
      </c>
      <c r="K3" s="236">
        <f>+_xlfn.XLOOKUP(K2,'Evolución Deuda Total'!4:4,'Evolución Deuda Total'!7:7)</f>
        <v>25163.553875407499</v>
      </c>
      <c r="L3" s="236">
        <f>+_xlfn.XLOOKUP(L2,'Evolución Deuda Total'!4:4,'Evolución Deuda Total'!7:7)</f>
        <v>26974.277571758528</v>
      </c>
      <c r="M3" s="236">
        <f>+_xlfn.XLOOKUP(M2,'Evolución Deuda Total'!4:4,'Evolución Deuda Total'!7:7)</f>
        <v>28856.463975405597</v>
      </c>
      <c r="N3" s="236">
        <f>+_xlfn.XLOOKUP(N2,'Evolución Deuda Total'!4:4,'Evolución Deuda Total'!7:7)</f>
        <v>27813.044351214266</v>
      </c>
      <c r="O3" s="236">
        <f>+_xlfn.XLOOKUP(O2,'Evolución Deuda Total'!4:4,'Evolución Deuda Total'!7:7)</f>
        <v>34721.845252353349</v>
      </c>
      <c r="P3" s="236">
        <f>+_xlfn.XLOOKUP(P2,'Evolución Deuda Total'!4:4,'Evolución Deuda Total'!7:7)</f>
        <v>35143.966680540674</v>
      </c>
      <c r="Q3" s="236">
        <f>+_xlfn.XLOOKUP(Q2,'Evolución Deuda Total'!4:4,'Evolución Deuda Total'!7:7)</f>
        <v>36118.107128408214</v>
      </c>
      <c r="R3" s="236">
        <f>+_xlfn.XLOOKUP(R2,'Evolución Deuda Total'!4:4,'Evolución Deuda Total'!7:7)</f>
        <v>38411.005886231746</v>
      </c>
      <c r="S3" s="236">
        <f>+_xlfn.XLOOKUP(S2,'Evolución Deuda Total'!4:4,'Evolución Deuda Total'!7:7)</f>
        <v>45078.167330485368</v>
      </c>
      <c r="T3" s="236">
        <f>+_xlfn.XLOOKUP(T2,'Evolución Deuda Total'!4:4,'Evolución Deuda Total'!7:7)</f>
        <v>52158.216815698863</v>
      </c>
      <c r="U3" s="236">
        <f>+_xlfn.XLOOKUP(U2,'Evolución Deuda Total'!4:4,'Evolución Deuda Total'!7:7)</f>
        <v>53969.19287518537</v>
      </c>
      <c r="V3" s="236">
        <f>+_xlfn.XLOOKUP(V2,'Evolución Deuda Total'!4:4,'Evolución Deuda Total'!7:7)</f>
        <v>57436.301997247203</v>
      </c>
      <c r="W3" s="236">
        <f>+_xlfn.XLOOKUP(W2,'Evolución Deuda Total'!4:4,'Evolución Deuda Total'!7:7)</f>
        <v>61807.524405070901</v>
      </c>
      <c r="X3" s="236">
        <f>+_xlfn.XLOOKUP(X2,'Evolución Deuda Total'!4:4,'Evolución Deuda Total'!7:7)</f>
        <v>74754.60925710127</v>
      </c>
      <c r="Y3" s="236">
        <f>+_xlfn.XLOOKUP(Y2,'Evolución Deuda Total'!4:4,'Evolución Deuda Total'!7:7)</f>
        <v>82512.896920442698</v>
      </c>
      <c r="Z3" s="236">
        <f>+_xlfn.XLOOKUP(Z2,'Evolución Deuda Total'!4:4,'Evolución Deuda Total'!7:7)</f>
        <v>80568.265416958544</v>
      </c>
      <c r="AA3" s="236">
        <f>+_xlfn.XLOOKUP(AA2,'Evolución Deuda Total'!4:4,'Evolución Deuda Total'!7:7)</f>
        <v>88114.501807707595</v>
      </c>
      <c r="AB3" s="236">
        <f>+_xlfn.XLOOKUP(AB2,'Evolución Deuda Total'!4:4,'Evolución Deuda Total'!7:7)</f>
        <v>94876.672754353975</v>
      </c>
      <c r="AC3" s="236">
        <f>+_xlfn.XLOOKUP(AC2,'Evolución Deuda Total'!4:4,'Evolución Deuda Total'!7:7)</f>
        <v>113857.92866559949</v>
      </c>
      <c r="AD3" s="236">
        <f>+_xlfn.XLOOKUP(AD2,'Evolución Deuda Total'!4:4,'Evolución Deuda Total'!7:7)</f>
        <v>110213.2372194096</v>
      </c>
      <c r="AE3" s="236">
        <f>+_xlfn.XLOOKUP(AE2,'Evolución Deuda Total'!4:4,'Evolución Deuda Total'!7:7)</f>
        <v>112324.6814903288</v>
      </c>
      <c r="AF3" s="236">
        <f>+_xlfn.XLOOKUP(AF2,'Evolución Deuda Total'!4:4,'Evolución Deuda Total'!7:7)</f>
        <v>122062.20787198372</v>
      </c>
      <c r="AG3" s="236">
        <f>+_xlfn.XLOOKUP(AG2,'Evolución Deuda Total'!4:4,'Evolución Deuda Total'!7:7)</f>
        <v>144730.96280351933</v>
      </c>
      <c r="AH3" s="236">
        <f>+_xlfn.XLOOKUP(AH2,'Evolución Deuda Total'!4:4,'Evolución Deuda Total'!7:7)</f>
        <v>132286.93370824342</v>
      </c>
      <c r="AI3" s="236">
        <f>+_xlfn.XLOOKUP(AI2,'Evolución Deuda Total'!4:4,'Evolución Deuda Total'!7:7)</f>
        <v>148808.39178993742</v>
      </c>
      <c r="AJ3" s="236">
        <f>+_xlfn.XLOOKUP(AJ2,'Evolución Deuda Total'!4:4,'Evolución Deuda Total'!7:7)</f>
        <v>166947.41691268218</v>
      </c>
      <c r="AK3" s="236">
        <f>+_xlfn.XLOOKUP(AK2,'Evolución Deuda Total'!4:4,'Evolución Deuda Total'!7:7)</f>
        <v>224667.53603237009</v>
      </c>
      <c r="AL3" s="236">
        <f>+_xlfn.XLOOKUP(AL2,'Evolución Deuda Total'!4:4,'Evolución Deuda Total'!7:7)</f>
        <v>200144.47512748229</v>
      </c>
      <c r="AM3" s="236">
        <f>+_xlfn.XLOOKUP(AM2,'Evolución Deuda Total'!4:4,'Evolución Deuda Total'!7:7)</f>
        <v>243974.74979249097</v>
      </c>
      <c r="AN3" s="236">
        <f>+_xlfn.XLOOKUP(AN2,'Evolución Deuda Total'!4:4,'Evolución Deuda Total'!7:7)</f>
        <v>328860.73552911391</v>
      </c>
      <c r="AO3" s="236">
        <f>+_xlfn.XLOOKUP(AO2,'Evolución Deuda Total'!4:4,'Evolución Deuda Total'!7:7)</f>
        <v>624321.19893288298</v>
      </c>
    </row>
    <row r="4" spans="1:41" x14ac:dyDescent="0.25">
      <c r="A4" t="s">
        <v>191</v>
      </c>
      <c r="B4" s="236">
        <v>137930.72822928464</v>
      </c>
      <c r="C4" s="236">
        <v>137930.72822928464</v>
      </c>
      <c r="D4" s="236">
        <v>137930.72822928464</v>
      </c>
      <c r="E4" s="236">
        <v>137930.72822928464</v>
      </c>
      <c r="F4" s="236">
        <v>177739.4681628228</v>
      </c>
      <c r="G4" s="236">
        <v>177739.4681628228</v>
      </c>
      <c r="H4" s="236">
        <v>177739.4681628228</v>
      </c>
      <c r="I4" s="236">
        <v>177739.4681628228</v>
      </c>
      <c r="J4" s="236">
        <v>228365.98829650076</v>
      </c>
      <c r="K4" s="236">
        <v>228365.98829650076</v>
      </c>
      <c r="L4" s="236">
        <v>228365.98829650076</v>
      </c>
      <c r="M4" s="236">
        <v>228365.98829650076</v>
      </c>
      <c r="N4" s="236">
        <v>294453.18848320906</v>
      </c>
      <c r="O4" s="236">
        <v>294453.18848320906</v>
      </c>
      <c r="P4" s="236">
        <v>294453.18848320906</v>
      </c>
      <c r="Q4" s="236">
        <v>294453.18848320906</v>
      </c>
      <c r="R4" s="236">
        <v>417573.08149670227</v>
      </c>
      <c r="S4" s="236">
        <v>417573.08149670227</v>
      </c>
      <c r="T4" s="236">
        <v>417573.08149670227</v>
      </c>
      <c r="U4" s="236">
        <v>417573.08149670227</v>
      </c>
      <c r="V4" s="236">
        <v>600563.86334437726</v>
      </c>
      <c r="W4" s="236">
        <v>600563.86334437726</v>
      </c>
      <c r="X4" s="236">
        <v>600563.86334437726</v>
      </c>
      <c r="Y4" s="236">
        <v>600563.86334437726</v>
      </c>
      <c r="Z4" s="236">
        <v>691024.16193617671</v>
      </c>
      <c r="AA4" s="236">
        <v>691024.16193617671</v>
      </c>
      <c r="AB4" s="236">
        <v>691024.16193617671</v>
      </c>
      <c r="AC4" s="236">
        <v>691024.16193617671</v>
      </c>
      <c r="AD4" s="236">
        <v>1128096.4891850289</v>
      </c>
      <c r="AE4" s="236">
        <v>1128096.4891850289</v>
      </c>
      <c r="AF4" s="236">
        <v>1128096.4891850289</v>
      </c>
      <c r="AG4" s="236">
        <v>1128096.4891850289</v>
      </c>
      <c r="AH4" s="236">
        <v>2157655.548705894</v>
      </c>
      <c r="AI4" s="236">
        <v>2157655.548705894</v>
      </c>
      <c r="AJ4" s="236">
        <v>2157655.548705894</v>
      </c>
      <c r="AK4" s="236">
        <v>2157655.548705894</v>
      </c>
      <c r="AL4" s="236">
        <v>4907227.7954362687</v>
      </c>
      <c r="AM4" s="236">
        <v>4907227.7954362687</v>
      </c>
      <c r="AN4" s="236">
        <v>4907227.7954362687</v>
      </c>
      <c r="AO4" s="236">
        <v>4907227.7954362687</v>
      </c>
    </row>
    <row r="6" spans="1:41" x14ac:dyDescent="0.25">
      <c r="A6" t="s">
        <v>193</v>
      </c>
      <c r="B6" s="114">
        <f>+B3/B4</f>
        <v>6.9569626488586028E-2</v>
      </c>
      <c r="C6" s="114">
        <f t="shared" ref="C6:AO6" si="0">+C3/C4</f>
        <v>7.2894914687221229E-2</v>
      </c>
      <c r="D6" s="114">
        <f t="shared" si="0"/>
        <v>7.4513287727120875E-2</v>
      </c>
      <c r="E6" s="114">
        <f t="shared" si="0"/>
        <v>8.2009335509753284E-2</v>
      </c>
      <c r="F6" s="114">
        <f t="shared" si="0"/>
        <v>5.7632439891325229E-2</v>
      </c>
      <c r="G6" s="114">
        <f t="shared" si="0"/>
        <v>6.5661111079723014E-2</v>
      </c>
      <c r="H6" s="114">
        <f t="shared" si="0"/>
        <v>6.8722931589231165E-2</v>
      </c>
      <c r="I6" s="114">
        <f t="shared" si="0"/>
        <v>0.10881866349474918</v>
      </c>
      <c r="J6" s="114">
        <f t="shared" si="0"/>
        <v>7.5761225026993492E-2</v>
      </c>
      <c r="K6" s="114">
        <f t="shared" si="0"/>
        <v>0.11018958673800497</v>
      </c>
      <c r="L6" s="114">
        <f t="shared" si="0"/>
        <v>0.11811862954275076</v>
      </c>
      <c r="M6" s="114">
        <f t="shared" si="0"/>
        <v>0.12636060295432253</v>
      </c>
      <c r="N6" s="114">
        <f t="shared" si="0"/>
        <v>9.4456590857396272E-2</v>
      </c>
      <c r="O6" s="114">
        <f t="shared" si="0"/>
        <v>0.11791974619535604</v>
      </c>
      <c r="P6" s="114">
        <f t="shared" si="0"/>
        <v>0.11935332356757525</v>
      </c>
      <c r="Q6" s="114">
        <f t="shared" si="0"/>
        <v>0.12266162684282775</v>
      </c>
      <c r="R6" s="114">
        <f t="shared" si="0"/>
        <v>9.1986307519047031E-2</v>
      </c>
      <c r="S6" s="114">
        <f t="shared" si="0"/>
        <v>0.10795276163135857</v>
      </c>
      <c r="T6" s="114">
        <f t="shared" si="0"/>
        <v>0.12490799605364594</v>
      </c>
      <c r="U6" s="114">
        <f t="shared" si="0"/>
        <v>0.12924490410575373</v>
      </c>
      <c r="V6" s="114">
        <f t="shared" si="0"/>
        <v>9.5637292722542469E-2</v>
      </c>
      <c r="W6" s="114">
        <f t="shared" si="0"/>
        <v>0.10291582324131453</v>
      </c>
      <c r="X6" s="114">
        <f t="shared" si="0"/>
        <v>0.12447403818273901</v>
      </c>
      <c r="Y6" s="114">
        <f t="shared" si="0"/>
        <v>0.13739237732512036</v>
      </c>
      <c r="Z6" s="114">
        <f t="shared" si="0"/>
        <v>0.11659254459527837</v>
      </c>
      <c r="AA6" s="114">
        <f t="shared" si="0"/>
        <v>0.12751291005631418</v>
      </c>
      <c r="AB6" s="114">
        <f t="shared" si="0"/>
        <v>0.13729863292843417</v>
      </c>
      <c r="AC6" s="114">
        <f t="shared" si="0"/>
        <v>0.16476692847697483</v>
      </c>
      <c r="AD6" s="114">
        <f t="shared" si="0"/>
        <v>9.7698413456663594E-2</v>
      </c>
      <c r="AE6" s="114">
        <f t="shared" si="0"/>
        <v>9.9570101110300901E-2</v>
      </c>
      <c r="AF6" s="114">
        <f t="shared" si="0"/>
        <v>0.10820192159286406</v>
      </c>
      <c r="AG6" s="114">
        <f t="shared" si="0"/>
        <v>0.12829661663788827</v>
      </c>
      <c r="AH6" s="114">
        <f t="shared" si="0"/>
        <v>6.131049684347703E-2</v>
      </c>
      <c r="AI6" s="114">
        <f t="shared" si="0"/>
        <v>6.8967631037859051E-2</v>
      </c>
      <c r="AJ6" s="114">
        <f t="shared" si="0"/>
        <v>7.7374452568582094E-2</v>
      </c>
      <c r="AK6" s="114">
        <f t="shared" si="0"/>
        <v>0.10412576565667299</v>
      </c>
      <c r="AL6" s="114">
        <f t="shared" si="0"/>
        <v>4.0785649957725018E-2</v>
      </c>
      <c r="AM6" s="114">
        <f t="shared" si="0"/>
        <v>4.971742905829396E-2</v>
      </c>
      <c r="AN6" s="114">
        <f t="shared" si="0"/>
        <v>6.7015583795591277E-2</v>
      </c>
      <c r="AO6" s="114">
        <f t="shared" si="0"/>
        <v>0.12722482529005538</v>
      </c>
    </row>
    <row r="9" spans="1:41" x14ac:dyDescent="0.25">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row>
    <row r="11" spans="1:41" x14ac:dyDescent="0.25">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row>
    <row r="12" spans="1:41" x14ac:dyDescent="0.25">
      <c r="AO12" s="238"/>
    </row>
    <row r="13" spans="1:41" x14ac:dyDescent="0.25">
      <c r="AO13" s="239"/>
    </row>
    <row r="14" spans="1:41" x14ac:dyDescent="0.25">
      <c r="AO14" s="126"/>
    </row>
    <row r="16" spans="1:41" x14ac:dyDescent="0.25">
      <c r="AO16" s="236"/>
    </row>
    <row r="17" spans="41:41" x14ac:dyDescent="0.25">
      <c r="AO17" s="2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topLeftCell="A25" workbookViewId="0">
      <selection activeCell="R21" sqref="R21"/>
    </sheetView>
  </sheetViews>
  <sheetFormatPr baseColWidth="10" defaultRowHeight="15" x14ac:dyDescent="0.25"/>
  <sheetData>
    <row r="6" spans="11:11" x14ac:dyDescent="0.25">
      <c r="K6" s="56">
        <v>1</v>
      </c>
    </row>
    <row r="25" spans="11:11" x14ac:dyDescent="0.25">
      <c r="K25" s="56">
        <v>1</v>
      </c>
    </row>
    <row r="44" spans="11:11" x14ac:dyDescent="0.25">
      <c r="K44" s="56">
        <v>2</v>
      </c>
    </row>
    <row r="64" spans="11:11" x14ac:dyDescent="0.25">
      <c r="K64" s="56">
        <v>2</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7"/>
  <sheetViews>
    <sheetView showGridLines="0" zoomScaleNormal="100" workbookViewId="0">
      <pane xSplit="2" ySplit="1" topLeftCell="C2" activePane="bottomRight" state="frozen"/>
      <selection activeCell="F22" sqref="F22:Q22"/>
      <selection pane="topRight" activeCell="F22" sqref="F22:Q22"/>
      <selection pane="bottomLeft" activeCell="F22" sqref="F22:Q22"/>
      <selection pane="bottomRight"/>
    </sheetView>
  </sheetViews>
  <sheetFormatPr baseColWidth="10" defaultRowHeight="16.5" x14ac:dyDescent="0.3"/>
  <cols>
    <col min="1" max="1" width="5.28515625" style="17" customWidth="1"/>
    <col min="2" max="2" width="43.7109375" style="2" bestFit="1" customWidth="1"/>
    <col min="3" max="3" width="12.5703125" style="2" customWidth="1"/>
    <col min="4" max="4" width="30.85546875" style="2" customWidth="1"/>
    <col min="5" max="5" width="13.7109375" style="1" customWidth="1"/>
    <col min="6" max="7" width="11.42578125" style="1"/>
    <col min="8" max="8" width="10.7109375" style="1" customWidth="1"/>
    <col min="9" max="16384" width="11.42578125" style="1"/>
  </cols>
  <sheetData>
    <row r="1" spans="1:29" ht="28.5" customHeight="1" x14ac:dyDescent="0.3">
      <c r="B1" s="286" t="s">
        <v>39</v>
      </c>
      <c r="C1" s="286"/>
      <c r="D1" s="286"/>
      <c r="E1" s="286"/>
    </row>
    <row r="2" spans="1:29" ht="17.25" x14ac:dyDescent="0.3">
      <c r="B2" s="162" t="s">
        <v>46</v>
      </c>
    </row>
    <row r="3" spans="1:29" x14ac:dyDescent="0.3">
      <c r="F3" s="90"/>
    </row>
    <row r="4" spans="1:29" ht="30.75" customHeight="1" x14ac:dyDescent="0.3">
      <c r="B4" s="307" t="s">
        <v>129</v>
      </c>
      <c r="C4" s="307"/>
      <c r="D4" s="307"/>
      <c r="F4" s="117"/>
      <c r="G4" s="117"/>
      <c r="H4" s="117"/>
      <c r="I4" s="117"/>
      <c r="J4" s="117"/>
      <c r="K4" s="117"/>
      <c r="L4" s="117"/>
      <c r="M4" s="117"/>
      <c r="N4" s="117"/>
      <c r="O4" s="117"/>
      <c r="P4" s="117"/>
      <c r="Q4" s="117"/>
      <c r="R4" s="117"/>
      <c r="S4" s="117"/>
      <c r="T4" s="117"/>
      <c r="U4" s="117"/>
      <c r="V4" s="117"/>
      <c r="W4" s="117"/>
      <c r="X4" s="117"/>
      <c r="Y4" s="117"/>
      <c r="Z4" s="117"/>
      <c r="AA4" s="117"/>
      <c r="AB4" s="117"/>
      <c r="AC4" s="117"/>
    </row>
    <row r="5" spans="1:29" ht="15.75" customHeight="1" x14ac:dyDescent="0.3">
      <c r="B5" s="303" t="s">
        <v>0</v>
      </c>
      <c r="C5" s="305" t="s">
        <v>1</v>
      </c>
      <c r="D5" s="308" t="s">
        <v>93</v>
      </c>
      <c r="F5" s="6">
        <v>2024</v>
      </c>
      <c r="G5" s="6">
        <v>2024</v>
      </c>
      <c r="H5" s="6">
        <v>2024</v>
      </c>
      <c r="I5" s="6">
        <v>2024</v>
      </c>
      <c r="J5" s="6">
        <v>2024</v>
      </c>
      <c r="K5" s="6">
        <v>2024</v>
      </c>
      <c r="L5" s="6">
        <v>2024</v>
      </c>
      <c r="M5" s="6">
        <v>2024</v>
      </c>
      <c r="N5" s="6">
        <v>2024</v>
      </c>
      <c r="O5" s="6">
        <v>2024</v>
      </c>
      <c r="P5" s="6">
        <v>2024</v>
      </c>
      <c r="Q5" s="6">
        <v>2024</v>
      </c>
      <c r="R5" s="6">
        <v>2025</v>
      </c>
      <c r="S5" s="6">
        <v>2025</v>
      </c>
      <c r="T5" s="6">
        <v>2025</v>
      </c>
      <c r="U5" s="6">
        <v>2025</v>
      </c>
      <c r="V5" s="6">
        <v>2025</v>
      </c>
      <c r="W5" s="6">
        <v>2025</v>
      </c>
      <c r="X5" s="6">
        <v>2025</v>
      </c>
      <c r="Y5" s="6">
        <v>2025</v>
      </c>
      <c r="Z5" s="6">
        <v>2025</v>
      </c>
      <c r="AA5" s="6">
        <v>2025</v>
      </c>
      <c r="AB5" s="6">
        <v>2025</v>
      </c>
      <c r="AC5" s="6">
        <v>2025</v>
      </c>
    </row>
    <row r="6" spans="1:29" x14ac:dyDescent="0.3">
      <c r="B6" s="304"/>
      <c r="C6" s="306"/>
      <c r="D6" s="309"/>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c r="R6" s="6">
        <v>1</v>
      </c>
      <c r="S6" s="6">
        <f>+R6+1</f>
        <v>2</v>
      </c>
      <c r="T6" s="6">
        <f t="shared" ref="T6:AC6" si="1">+S6+1</f>
        <v>3</v>
      </c>
      <c r="U6" s="6">
        <f t="shared" si="1"/>
        <v>4</v>
      </c>
      <c r="V6" s="6">
        <f t="shared" si="1"/>
        <v>5</v>
      </c>
      <c r="W6" s="6">
        <f t="shared" si="1"/>
        <v>6</v>
      </c>
      <c r="X6" s="6">
        <f t="shared" si="1"/>
        <v>7</v>
      </c>
      <c r="Y6" s="6">
        <f t="shared" si="1"/>
        <v>8</v>
      </c>
      <c r="Z6" s="6">
        <f t="shared" si="1"/>
        <v>9</v>
      </c>
      <c r="AA6" s="6">
        <f t="shared" si="1"/>
        <v>10</v>
      </c>
      <c r="AB6" s="6">
        <f t="shared" si="1"/>
        <v>11</v>
      </c>
      <c r="AC6" s="6">
        <f t="shared" si="1"/>
        <v>12</v>
      </c>
    </row>
    <row r="7" spans="1:29" x14ac:dyDescent="0.3">
      <c r="A7" s="87"/>
      <c r="B7" s="205" t="s">
        <v>7</v>
      </c>
      <c r="C7" s="205" t="s">
        <v>8</v>
      </c>
      <c r="D7" s="205" t="s">
        <v>87</v>
      </c>
      <c r="E7" s="61"/>
      <c r="F7" s="221">
        <v>16.75627811</v>
      </c>
      <c r="G7" s="221">
        <v>0</v>
      </c>
      <c r="H7" s="221">
        <v>0</v>
      </c>
      <c r="I7" s="221">
        <v>18.852388489999999</v>
      </c>
      <c r="J7" s="221">
        <v>0</v>
      </c>
      <c r="K7" s="221">
        <v>0</v>
      </c>
      <c r="L7" s="221">
        <v>13.638098429999999</v>
      </c>
      <c r="M7" s="221">
        <v>0</v>
      </c>
      <c r="N7" s="221">
        <v>0</v>
      </c>
      <c r="O7" s="221">
        <v>5.5925221199999999</v>
      </c>
      <c r="P7" s="221">
        <v>0</v>
      </c>
      <c r="Q7" s="221">
        <v>0</v>
      </c>
      <c r="R7" s="221">
        <v>3.6261795700000001</v>
      </c>
      <c r="S7" s="221">
        <v>0</v>
      </c>
      <c r="T7" s="221">
        <v>0</v>
      </c>
      <c r="U7" s="221">
        <v>2.6462521899999998</v>
      </c>
      <c r="V7" s="221">
        <v>0</v>
      </c>
      <c r="W7" s="221">
        <v>0</v>
      </c>
      <c r="X7" s="221">
        <v>2.0932240099999997</v>
      </c>
      <c r="Y7" s="221">
        <v>0</v>
      </c>
      <c r="Z7" s="221">
        <v>0</v>
      </c>
      <c r="AA7" s="221">
        <v>1.5949285099999999</v>
      </c>
      <c r="AB7" s="221">
        <v>0</v>
      </c>
      <c r="AC7" s="221">
        <v>0</v>
      </c>
    </row>
    <row r="8" spans="1:29" x14ac:dyDescent="0.3">
      <c r="A8" s="87"/>
      <c r="B8" s="205" t="s">
        <v>132</v>
      </c>
      <c r="C8" s="205" t="s">
        <v>133</v>
      </c>
      <c r="D8" s="205" t="s">
        <v>91</v>
      </c>
      <c r="E8" s="61"/>
      <c r="F8" s="221">
        <v>0</v>
      </c>
      <c r="G8" s="221">
        <v>0</v>
      </c>
      <c r="H8" s="221">
        <v>0</v>
      </c>
      <c r="I8" s="221">
        <v>0</v>
      </c>
      <c r="J8" s="221">
        <v>0</v>
      </c>
      <c r="K8" s="221">
        <v>449.80621041987388</v>
      </c>
      <c r="L8" s="221">
        <v>0</v>
      </c>
      <c r="M8" s="221">
        <v>0</v>
      </c>
      <c r="N8" s="221">
        <v>0</v>
      </c>
      <c r="O8" s="221">
        <v>0</v>
      </c>
      <c r="P8" s="221">
        <v>0</v>
      </c>
      <c r="Q8" s="221">
        <v>288.68391921038824</v>
      </c>
      <c r="R8" s="221">
        <v>0</v>
      </c>
      <c r="S8" s="221">
        <v>0</v>
      </c>
      <c r="T8" s="221">
        <v>0</v>
      </c>
      <c r="U8" s="221">
        <v>0</v>
      </c>
      <c r="V8" s="221">
        <v>0</v>
      </c>
      <c r="W8" s="221">
        <v>0</v>
      </c>
      <c r="X8" s="221">
        <v>0</v>
      </c>
      <c r="Y8" s="221">
        <v>0</v>
      </c>
      <c r="Z8" s="221">
        <v>0</v>
      </c>
      <c r="AA8" s="221">
        <v>0</v>
      </c>
      <c r="AB8" s="221">
        <v>0</v>
      </c>
      <c r="AC8" s="221">
        <v>0</v>
      </c>
    </row>
    <row r="9" spans="1:29" x14ac:dyDescent="0.3">
      <c r="A9" s="87"/>
      <c r="B9" s="205" t="s">
        <v>172</v>
      </c>
      <c r="C9" s="205" t="s">
        <v>165</v>
      </c>
      <c r="D9" s="205" t="s">
        <v>91</v>
      </c>
      <c r="E9" s="61"/>
      <c r="F9" s="221">
        <v>0</v>
      </c>
      <c r="G9" s="221">
        <v>0</v>
      </c>
      <c r="H9" s="221">
        <v>1776.1182945</v>
      </c>
      <c r="I9" s="221">
        <v>0</v>
      </c>
      <c r="J9" s="221">
        <v>0</v>
      </c>
      <c r="K9" s="221">
        <v>783.4071527000001</v>
      </c>
      <c r="L9" s="221">
        <v>0</v>
      </c>
      <c r="M9" s="221">
        <v>0</v>
      </c>
      <c r="N9" s="221">
        <v>435.19824144</v>
      </c>
      <c r="O9" s="221">
        <v>0</v>
      </c>
      <c r="P9" s="221">
        <v>0</v>
      </c>
      <c r="Q9" s="221">
        <v>335.26724267999998</v>
      </c>
      <c r="R9" s="221">
        <v>0</v>
      </c>
      <c r="S9" s="221">
        <v>0</v>
      </c>
      <c r="T9" s="221">
        <v>181.09897502000001</v>
      </c>
      <c r="U9" s="221">
        <v>0</v>
      </c>
      <c r="V9" s="221">
        <v>0</v>
      </c>
      <c r="W9" s="221">
        <v>82.392472959999992</v>
      </c>
      <c r="X9" s="221">
        <v>0</v>
      </c>
      <c r="Y9" s="221">
        <v>0</v>
      </c>
      <c r="Z9" s="221">
        <v>0</v>
      </c>
      <c r="AA9" s="221">
        <v>0</v>
      </c>
      <c r="AB9" s="221">
        <v>0</v>
      </c>
      <c r="AC9" s="221">
        <v>0</v>
      </c>
    </row>
    <row r="10" spans="1:29" x14ac:dyDescent="0.3">
      <c r="A10" s="87"/>
      <c r="B10" s="205" t="s">
        <v>173</v>
      </c>
      <c r="C10" s="205" t="s">
        <v>166</v>
      </c>
      <c r="D10" s="205" t="s">
        <v>91</v>
      </c>
      <c r="E10" s="61"/>
      <c r="F10" s="221">
        <v>0</v>
      </c>
      <c r="G10" s="221">
        <v>0</v>
      </c>
      <c r="H10" s="221">
        <v>514.47319555047875</v>
      </c>
      <c r="I10" s="221">
        <v>0</v>
      </c>
      <c r="J10" s="221">
        <v>0</v>
      </c>
      <c r="K10" s="221">
        <v>203.99347783517146</v>
      </c>
      <c r="L10" s="221">
        <v>0</v>
      </c>
      <c r="M10" s="221">
        <v>0</v>
      </c>
      <c r="N10" s="221">
        <v>94.333946982840772</v>
      </c>
      <c r="O10" s="221">
        <v>0</v>
      </c>
      <c r="P10" s="221">
        <v>0</v>
      </c>
      <c r="Q10" s="221">
        <v>48.454856659879361</v>
      </c>
      <c r="R10" s="221">
        <v>0</v>
      </c>
      <c r="S10" s="221">
        <v>0</v>
      </c>
      <c r="T10" s="221">
        <v>0</v>
      </c>
      <c r="U10" s="221">
        <v>0</v>
      </c>
      <c r="V10" s="221">
        <v>0</v>
      </c>
      <c r="W10" s="221">
        <v>0</v>
      </c>
      <c r="X10" s="221">
        <v>0</v>
      </c>
      <c r="Y10" s="221">
        <v>0</v>
      </c>
      <c r="Z10" s="221">
        <v>0</v>
      </c>
      <c r="AA10" s="221">
        <v>0</v>
      </c>
      <c r="AB10" s="221">
        <v>0</v>
      </c>
      <c r="AC10" s="221">
        <v>0</v>
      </c>
    </row>
    <row r="11" spans="1:29" x14ac:dyDescent="0.3">
      <c r="A11" s="87"/>
      <c r="B11" s="205" t="s">
        <v>134</v>
      </c>
      <c r="C11" s="205" t="s">
        <v>135</v>
      </c>
      <c r="D11" s="205" t="s">
        <v>91</v>
      </c>
      <c r="E11" s="61"/>
      <c r="F11" s="221">
        <v>0</v>
      </c>
      <c r="G11" s="221">
        <v>0</v>
      </c>
      <c r="H11" s="221">
        <v>1373.3422388188621</v>
      </c>
      <c r="I11" s="221">
        <v>0</v>
      </c>
      <c r="J11" s="221">
        <v>0</v>
      </c>
      <c r="K11" s="221">
        <v>759.60871153251992</v>
      </c>
      <c r="L11" s="221">
        <v>0</v>
      </c>
      <c r="M11" s="221">
        <v>0</v>
      </c>
      <c r="N11" s="221">
        <v>439.5016816398018</v>
      </c>
      <c r="O11" s="221">
        <v>0</v>
      </c>
      <c r="P11" s="221">
        <v>0</v>
      </c>
      <c r="Q11" s="221">
        <v>470.61167907456201</v>
      </c>
      <c r="R11" s="221">
        <v>0</v>
      </c>
      <c r="S11" s="221">
        <v>0</v>
      </c>
      <c r="T11" s="221">
        <v>377.27789429988695</v>
      </c>
      <c r="U11" s="221">
        <v>0</v>
      </c>
      <c r="V11" s="221">
        <v>0</v>
      </c>
      <c r="W11" s="221">
        <v>320.72147627888091</v>
      </c>
      <c r="X11" s="221">
        <v>0</v>
      </c>
      <c r="Y11" s="221">
        <v>0</v>
      </c>
      <c r="Z11" s="221">
        <v>300.94434919519944</v>
      </c>
      <c r="AA11" s="221">
        <v>0</v>
      </c>
      <c r="AB11" s="221">
        <v>0</v>
      </c>
      <c r="AC11" s="221">
        <v>258.84940905193241</v>
      </c>
    </row>
    <row r="12" spans="1:29" x14ac:dyDescent="0.3">
      <c r="A12" s="87"/>
      <c r="B12" s="205" t="s">
        <v>126</v>
      </c>
      <c r="C12" s="205" t="s">
        <v>127</v>
      </c>
      <c r="D12" s="205" t="s">
        <v>91</v>
      </c>
      <c r="E12" s="61"/>
      <c r="F12" s="221">
        <v>0</v>
      </c>
      <c r="G12" s="221">
        <v>369.87824446786112</v>
      </c>
      <c r="H12" s="221">
        <v>0</v>
      </c>
      <c r="I12" s="221">
        <v>0</v>
      </c>
      <c r="J12" s="221">
        <v>200.43858271865139</v>
      </c>
      <c r="K12" s="221">
        <v>0</v>
      </c>
      <c r="L12" s="221">
        <v>0</v>
      </c>
      <c r="M12" s="221">
        <v>79.592292518440544</v>
      </c>
      <c r="N12" s="221">
        <v>0</v>
      </c>
      <c r="O12" s="221">
        <v>0</v>
      </c>
      <c r="P12" s="221">
        <v>66.326486301369954</v>
      </c>
      <c r="Q12" s="221">
        <v>0</v>
      </c>
      <c r="R12" s="221">
        <v>0</v>
      </c>
      <c r="S12" s="221">
        <v>37.100507481559603</v>
      </c>
      <c r="T12" s="221">
        <v>0</v>
      </c>
      <c r="U12" s="221">
        <v>0</v>
      </c>
      <c r="V12" s="221">
        <v>15.426561544137007</v>
      </c>
      <c r="W12" s="221">
        <v>0</v>
      </c>
      <c r="X12" s="221">
        <v>0</v>
      </c>
      <c r="Y12" s="221">
        <v>0</v>
      </c>
      <c r="Z12" s="221">
        <v>0</v>
      </c>
      <c r="AA12" s="221">
        <v>0</v>
      </c>
      <c r="AB12" s="221">
        <v>0</v>
      </c>
      <c r="AC12" s="221">
        <v>0</v>
      </c>
    </row>
    <row r="13" spans="1:29" x14ac:dyDescent="0.3">
      <c r="A13" s="87"/>
      <c r="B13" s="205" t="s">
        <v>34</v>
      </c>
      <c r="C13" s="205" t="s">
        <v>35</v>
      </c>
      <c r="D13" s="205" t="s">
        <v>91</v>
      </c>
      <c r="E13" s="61"/>
      <c r="F13" s="221">
        <v>0</v>
      </c>
      <c r="G13" s="221">
        <v>7.0532510100289008</v>
      </c>
      <c r="H13" s="221">
        <v>0</v>
      </c>
      <c r="I13" s="221">
        <v>0</v>
      </c>
      <c r="J13" s="221">
        <v>0</v>
      </c>
      <c r="K13" s="221">
        <v>0</v>
      </c>
      <c r="L13" s="221">
        <v>0</v>
      </c>
      <c r="M13" s="221">
        <v>5.7426852621885054</v>
      </c>
      <c r="N13" s="221">
        <v>0</v>
      </c>
      <c r="O13" s="221">
        <v>0</v>
      </c>
      <c r="P13" s="221">
        <v>0</v>
      </c>
      <c r="Q13" s="221">
        <v>0</v>
      </c>
      <c r="R13" s="221">
        <v>0</v>
      </c>
      <c r="S13" s="221">
        <v>1.3686136674161151</v>
      </c>
      <c r="T13" s="221">
        <v>0</v>
      </c>
      <c r="U13" s="221">
        <v>0</v>
      </c>
      <c r="V13" s="221">
        <v>0</v>
      </c>
      <c r="W13" s="221">
        <v>0</v>
      </c>
      <c r="X13" s="221">
        <v>0</v>
      </c>
      <c r="Y13" s="221">
        <v>0.50379776915367058</v>
      </c>
      <c r="Z13" s="221">
        <v>0</v>
      </c>
      <c r="AA13" s="221">
        <v>0</v>
      </c>
      <c r="AB13" s="221">
        <v>0</v>
      </c>
      <c r="AC13" s="221">
        <v>0</v>
      </c>
    </row>
    <row r="14" spans="1:29" x14ac:dyDescent="0.3">
      <c r="A14" s="87"/>
      <c r="B14" s="205" t="s">
        <v>233</v>
      </c>
      <c r="C14" s="205" t="s">
        <v>235</v>
      </c>
      <c r="D14" s="205" t="s">
        <v>91</v>
      </c>
      <c r="E14" s="61"/>
      <c r="F14" s="221">
        <v>0</v>
      </c>
      <c r="G14" s="221">
        <v>0</v>
      </c>
      <c r="H14" s="221">
        <v>0</v>
      </c>
      <c r="I14" s="221">
        <v>0</v>
      </c>
      <c r="J14" s="221">
        <v>0</v>
      </c>
      <c r="K14" s="221">
        <v>0</v>
      </c>
      <c r="L14" s="221">
        <v>0</v>
      </c>
      <c r="M14" s="221">
        <v>0</v>
      </c>
      <c r="N14" s="221">
        <v>0</v>
      </c>
      <c r="O14" s="221">
        <v>0</v>
      </c>
      <c r="P14" s="221">
        <v>0</v>
      </c>
      <c r="Q14" s="221">
        <v>0</v>
      </c>
      <c r="R14" s="221">
        <v>0</v>
      </c>
      <c r="S14" s="221">
        <v>0</v>
      </c>
      <c r="T14" s="221">
        <v>0</v>
      </c>
      <c r="U14" s="221">
        <v>0</v>
      </c>
      <c r="V14" s="221">
        <v>0</v>
      </c>
      <c r="W14" s="221">
        <v>0</v>
      </c>
      <c r="X14" s="221">
        <v>0</v>
      </c>
      <c r="Y14" s="221">
        <v>0</v>
      </c>
      <c r="Z14" s="221">
        <v>0</v>
      </c>
      <c r="AA14" s="221">
        <v>0</v>
      </c>
      <c r="AB14" s="221">
        <v>0</v>
      </c>
      <c r="AC14" s="221">
        <v>0</v>
      </c>
    </row>
    <row r="15" spans="1:29" x14ac:dyDescent="0.3">
      <c r="A15" s="87"/>
      <c r="B15" s="205" t="s">
        <v>234</v>
      </c>
      <c r="C15" s="205" t="s">
        <v>236</v>
      </c>
      <c r="D15" s="205" t="s">
        <v>91</v>
      </c>
      <c r="E15" s="61"/>
      <c r="F15" s="221">
        <v>0</v>
      </c>
      <c r="G15" s="221">
        <v>0</v>
      </c>
      <c r="H15" s="221">
        <v>0</v>
      </c>
      <c r="I15" s="221">
        <v>0</v>
      </c>
      <c r="J15" s="221">
        <v>0</v>
      </c>
      <c r="K15" s="221">
        <v>0</v>
      </c>
      <c r="L15" s="221">
        <v>0</v>
      </c>
      <c r="M15" s="221">
        <v>0</v>
      </c>
      <c r="N15" s="221">
        <v>0</v>
      </c>
      <c r="O15" s="221">
        <v>0</v>
      </c>
      <c r="P15" s="221">
        <v>0</v>
      </c>
      <c r="Q15" s="221">
        <v>0</v>
      </c>
      <c r="R15" s="221">
        <v>0</v>
      </c>
      <c r="S15" s="221">
        <v>0</v>
      </c>
      <c r="T15" s="221">
        <v>0</v>
      </c>
      <c r="U15" s="221">
        <v>0</v>
      </c>
      <c r="V15" s="221">
        <v>0</v>
      </c>
      <c r="W15" s="221">
        <v>0</v>
      </c>
      <c r="X15" s="221">
        <v>0</v>
      </c>
      <c r="Y15" s="221">
        <v>0</v>
      </c>
      <c r="Z15" s="221">
        <v>0</v>
      </c>
      <c r="AA15" s="221">
        <v>0</v>
      </c>
      <c r="AB15" s="221">
        <v>0</v>
      </c>
      <c r="AC15" s="221">
        <v>0</v>
      </c>
    </row>
    <row r="16" spans="1:29" x14ac:dyDescent="0.3">
      <c r="A16" s="87"/>
      <c r="B16" s="205" t="s">
        <v>3</v>
      </c>
      <c r="C16" s="205" t="s">
        <v>4</v>
      </c>
      <c r="D16" s="205" t="s">
        <v>87</v>
      </c>
      <c r="E16" s="61"/>
      <c r="F16" s="221">
        <v>4.7686906799999997</v>
      </c>
      <c r="G16" s="221">
        <v>6.1797530900000002</v>
      </c>
      <c r="H16" s="221">
        <v>6.3459175599999993</v>
      </c>
      <c r="I16" s="221">
        <v>5.8067099899999999</v>
      </c>
      <c r="J16" s="221">
        <v>5.56710102</v>
      </c>
      <c r="K16" s="221">
        <v>5.1445287899999999</v>
      </c>
      <c r="L16" s="221">
        <v>4.1174538299999996</v>
      </c>
      <c r="M16" s="221">
        <v>3.4093023699999998</v>
      </c>
      <c r="N16" s="221">
        <v>2.3132147999999999</v>
      </c>
      <c r="O16" s="221">
        <v>1.04029588</v>
      </c>
      <c r="P16" s="221">
        <v>0</v>
      </c>
      <c r="Q16" s="221">
        <v>0</v>
      </c>
      <c r="R16" s="221">
        <v>0</v>
      </c>
      <c r="S16" s="221">
        <v>0</v>
      </c>
      <c r="T16" s="221">
        <v>0</v>
      </c>
      <c r="U16" s="221">
        <v>0</v>
      </c>
      <c r="V16" s="221">
        <v>0</v>
      </c>
      <c r="W16" s="221">
        <v>0</v>
      </c>
      <c r="X16" s="221">
        <v>0</v>
      </c>
      <c r="Y16" s="221">
        <v>0</v>
      </c>
      <c r="Z16" s="221">
        <v>0</v>
      </c>
      <c r="AA16" s="221">
        <v>0</v>
      </c>
      <c r="AB16" s="221">
        <v>0</v>
      </c>
      <c r="AC16" s="221">
        <v>0</v>
      </c>
    </row>
    <row r="17" spans="1:29" x14ac:dyDescent="0.3">
      <c r="A17" s="87"/>
      <c r="B17" s="205" t="s">
        <v>5</v>
      </c>
      <c r="C17" s="205" t="s">
        <v>6</v>
      </c>
      <c r="D17" s="205" t="s">
        <v>87</v>
      </c>
      <c r="E17" s="61"/>
      <c r="F17" s="221">
        <v>1.6931288799999999</v>
      </c>
      <c r="G17" s="221">
        <v>1.8261757700000001</v>
      </c>
      <c r="H17" s="221">
        <v>1.77621673</v>
      </c>
      <c r="I17" s="221">
        <v>1.69560771</v>
      </c>
      <c r="J17" s="221">
        <v>1.6999095100000003</v>
      </c>
      <c r="K17" s="221">
        <v>1.7536126900000002</v>
      </c>
      <c r="L17" s="221">
        <v>1.5277442999999999</v>
      </c>
      <c r="M17" s="221">
        <v>1.57188364</v>
      </c>
      <c r="N17" s="221">
        <v>1.5087641800000002</v>
      </c>
      <c r="O17" s="221">
        <v>1.2785304</v>
      </c>
      <c r="P17" s="221">
        <v>1.3410849599999999</v>
      </c>
      <c r="Q17" s="221">
        <v>1.0808224099999999</v>
      </c>
      <c r="R17" s="221">
        <v>1.2488822728677114</v>
      </c>
      <c r="S17" s="221">
        <v>1.2128504</v>
      </c>
      <c r="T17" s="221">
        <v>0.94462387000000003</v>
      </c>
      <c r="U17" s="221">
        <v>1.0847395699999998</v>
      </c>
      <c r="V17" s="221">
        <v>0.95431633999999999</v>
      </c>
      <c r="W17" s="221">
        <v>0.88751418999999998</v>
      </c>
      <c r="X17" s="221">
        <v>0.74184576000000002</v>
      </c>
      <c r="Y17" s="221">
        <v>0.67075222000000001</v>
      </c>
      <c r="Z17" s="221">
        <v>0.57493045999999992</v>
      </c>
      <c r="AA17" s="221">
        <v>0.45046208000000004</v>
      </c>
      <c r="AB17" s="221">
        <v>0.37238199</v>
      </c>
      <c r="AC17" s="221">
        <v>0.27027725000000002</v>
      </c>
    </row>
    <row r="18" spans="1:29" x14ac:dyDescent="0.3">
      <c r="A18" s="87"/>
      <c r="B18" s="205" t="s">
        <v>9</v>
      </c>
      <c r="C18" s="205" t="s">
        <v>10</v>
      </c>
      <c r="D18" s="205" t="s">
        <v>87</v>
      </c>
      <c r="E18" s="61"/>
      <c r="F18" s="221">
        <v>0.19310056076266668</v>
      </c>
      <c r="G18" s="221">
        <v>0.19234567321617499</v>
      </c>
      <c r="H18" s="221">
        <v>0.18675882835580834</v>
      </c>
      <c r="I18" s="221">
        <v>0.16931450965621672</v>
      </c>
      <c r="J18" s="221">
        <v>0.18247393336500001</v>
      </c>
      <c r="K18" s="221">
        <v>0.18781176640560002</v>
      </c>
      <c r="L18" s="221">
        <v>0.16382350953457497</v>
      </c>
      <c r="M18" s="221">
        <v>0.15804855228478337</v>
      </c>
      <c r="N18" s="221">
        <v>0.1512338486985437</v>
      </c>
      <c r="O18" s="221">
        <v>0.13956029635628162</v>
      </c>
      <c r="P18" s="221">
        <v>0.14303749567141874</v>
      </c>
      <c r="Q18" s="221">
        <v>0.1147660626237306</v>
      </c>
      <c r="R18" s="221">
        <v>0.11954038193369063</v>
      </c>
      <c r="S18" s="221">
        <v>0.12422432312278958</v>
      </c>
      <c r="T18" s="221">
        <v>9.607974990125609E-2</v>
      </c>
      <c r="U18" s="221">
        <v>0.10028526089368472</v>
      </c>
      <c r="V18" s="221">
        <v>9.1902490876384954E-2</v>
      </c>
      <c r="W18" s="221">
        <v>8.4414139837369229E-2</v>
      </c>
      <c r="X18" s="221">
        <v>7.1479715260458723E-2</v>
      </c>
      <c r="Y18" s="221">
        <v>6.1501718273340639E-2</v>
      </c>
      <c r="Z18" s="221">
        <v>5.1251431995620614E-2</v>
      </c>
      <c r="AA18" s="221">
        <v>3.9678528114097354E-2</v>
      </c>
      <c r="AB18" s="221">
        <v>3.0032876862266165E-2</v>
      </c>
      <c r="AC18" s="221">
        <v>1.9376049779799957E-2</v>
      </c>
    </row>
    <row r="19" spans="1:29" x14ac:dyDescent="0.3">
      <c r="A19" s="87"/>
      <c r="B19" s="205" t="s">
        <v>189</v>
      </c>
      <c r="C19" s="205" t="s">
        <v>240</v>
      </c>
      <c r="D19" s="205" t="s">
        <v>87</v>
      </c>
      <c r="E19" s="61"/>
      <c r="F19" s="221">
        <v>2.2007638691843261</v>
      </c>
      <c r="G19" s="221">
        <v>3.4422413524833777</v>
      </c>
      <c r="H19" s="221">
        <v>3.8928982785521491</v>
      </c>
      <c r="I19" s="221">
        <v>4.0217885701714975</v>
      </c>
      <c r="J19" s="221">
        <v>4.6361078364150332</v>
      </c>
      <c r="K19" s="221">
        <v>5.4433870362361079</v>
      </c>
      <c r="L19" s="221">
        <v>5.4961709365499187</v>
      </c>
      <c r="M19" s="221">
        <v>6.4460269306894578</v>
      </c>
      <c r="N19" s="221">
        <v>7.0387246904588885</v>
      </c>
      <c r="O19" s="221">
        <v>7.3722288975933639</v>
      </c>
      <c r="P19" s="221">
        <v>8.6293570676813616</v>
      </c>
      <c r="Q19" s="221">
        <v>7.7068287387122894</v>
      </c>
      <c r="R19" s="221">
        <v>8.8236241881087629</v>
      </c>
      <c r="S19" s="221">
        <v>9.4436765147743742</v>
      </c>
      <c r="T19" s="221">
        <v>7.8914856934170636</v>
      </c>
      <c r="U19" s="221">
        <v>8.7847262293439101</v>
      </c>
      <c r="V19" s="221">
        <v>8.4180014151955085</v>
      </c>
      <c r="W19" s="221">
        <v>8.6124766953934753</v>
      </c>
      <c r="X19" s="221">
        <v>8.0177791469514101</v>
      </c>
      <c r="Y19" s="221">
        <v>8.2013511947395106</v>
      </c>
      <c r="Z19" s="221">
        <v>8.1176639376292314</v>
      </c>
      <c r="AA19" s="221">
        <v>7.5536129933813054</v>
      </c>
      <c r="AB19" s="221">
        <v>7.7240938421693315</v>
      </c>
      <c r="AC19" s="221">
        <v>7.3962460559786871</v>
      </c>
    </row>
    <row r="20" spans="1:29" x14ac:dyDescent="0.3">
      <c r="A20" s="87"/>
      <c r="B20" s="205" t="s">
        <v>140</v>
      </c>
      <c r="C20" s="205" t="s">
        <v>141</v>
      </c>
      <c r="D20" s="205" t="s">
        <v>88</v>
      </c>
      <c r="E20" s="61"/>
      <c r="F20" s="221">
        <v>1602.5806222670271</v>
      </c>
      <c r="G20" s="221">
        <v>1457.8099936284852</v>
      </c>
      <c r="H20" s="221">
        <v>1202.650838674846</v>
      </c>
      <c r="I20" s="221">
        <v>1253.4127457647303</v>
      </c>
      <c r="J20" s="221">
        <v>821.35022503810012</v>
      </c>
      <c r="K20" s="221">
        <v>652.95019776047957</v>
      </c>
      <c r="L20" s="221">
        <v>357.50159076443703</v>
      </c>
      <c r="M20" s="221">
        <v>395.80717637272789</v>
      </c>
      <c r="N20" s="221">
        <v>382.88807551652383</v>
      </c>
      <c r="O20" s="221">
        <v>417.12820980520837</v>
      </c>
      <c r="P20" s="221">
        <v>425.54550700929434</v>
      </c>
      <c r="Q20" s="221">
        <v>370.53684725824269</v>
      </c>
      <c r="R20" s="221">
        <v>356.36768931420573</v>
      </c>
      <c r="S20" s="221">
        <v>298.73538461460959</v>
      </c>
      <c r="T20" s="221">
        <v>266.32854454220211</v>
      </c>
      <c r="U20" s="221">
        <v>250.65091169386471</v>
      </c>
      <c r="V20" s="221">
        <v>229.43527018313475</v>
      </c>
      <c r="W20" s="221">
        <v>217.82522132785303</v>
      </c>
      <c r="X20" s="221">
        <v>192.00789537102349</v>
      </c>
      <c r="Y20" s="221">
        <v>188.90390970239471</v>
      </c>
      <c r="Z20" s="221">
        <v>175.15709568481304</v>
      </c>
      <c r="AA20" s="221">
        <v>159.15244058723152</v>
      </c>
      <c r="AB20" s="221">
        <v>154.02941086137008</v>
      </c>
      <c r="AC20" s="221">
        <v>139.22574976282556</v>
      </c>
    </row>
    <row r="21" spans="1:29" customFormat="1" ht="6.75" customHeight="1" x14ac:dyDescent="0.3">
      <c r="B21" s="15"/>
      <c r="C21" s="13"/>
      <c r="D21" s="13"/>
      <c r="E21" s="16"/>
    </row>
    <row r="22" spans="1:29" ht="28.5" customHeight="1" x14ac:dyDescent="0.3">
      <c r="B22" s="311" t="s">
        <v>118</v>
      </c>
      <c r="C22" s="311"/>
      <c r="D22" s="311"/>
      <c r="E22" s="3"/>
      <c r="F22" s="186">
        <f t="shared" ref="F22:AC22" si="2">+SUM(F7:F20)</f>
        <v>1628.1925843669742</v>
      </c>
      <c r="G22" s="186">
        <f>+SUM(G7:G20)</f>
        <v>1846.3820049920748</v>
      </c>
      <c r="H22" s="186">
        <f t="shared" si="2"/>
        <v>4878.7863589410954</v>
      </c>
      <c r="I22" s="186">
        <f t="shared" si="2"/>
        <v>1283.958555034558</v>
      </c>
      <c r="J22" s="186">
        <f t="shared" si="2"/>
        <v>1033.8744000565316</v>
      </c>
      <c r="K22" s="186">
        <f t="shared" si="2"/>
        <v>2862.2950905306866</v>
      </c>
      <c r="L22" s="186">
        <f t="shared" si="2"/>
        <v>382.44488177052153</v>
      </c>
      <c r="M22" s="186">
        <f t="shared" si="2"/>
        <v>492.72741564633117</v>
      </c>
      <c r="N22" s="186">
        <f t="shared" si="2"/>
        <v>1362.9338830983238</v>
      </c>
      <c r="O22" s="186">
        <f t="shared" si="2"/>
        <v>432.55134739915803</v>
      </c>
      <c r="P22" s="186">
        <f t="shared" si="2"/>
        <v>501.98547283401706</v>
      </c>
      <c r="Q22" s="186">
        <f t="shared" si="2"/>
        <v>1522.4569620944085</v>
      </c>
      <c r="R22" s="186">
        <f t="shared" si="2"/>
        <v>370.18591572711591</v>
      </c>
      <c r="S22" s="186">
        <f t="shared" si="2"/>
        <v>347.98525700148247</v>
      </c>
      <c r="T22" s="186">
        <f t="shared" si="2"/>
        <v>833.63760317540732</v>
      </c>
      <c r="U22" s="186">
        <f t="shared" si="2"/>
        <v>263.26691494410233</v>
      </c>
      <c r="V22" s="186">
        <f t="shared" si="2"/>
        <v>254.32605197334365</v>
      </c>
      <c r="W22" s="186">
        <f t="shared" si="2"/>
        <v>630.52357559196469</v>
      </c>
      <c r="X22" s="186">
        <f t="shared" si="2"/>
        <v>202.93222400323538</v>
      </c>
      <c r="Y22" s="186">
        <f t="shared" si="2"/>
        <v>198.34131260456124</v>
      </c>
      <c r="Z22" s="186">
        <f t="shared" si="2"/>
        <v>484.84529070963737</v>
      </c>
      <c r="AA22" s="186">
        <f t="shared" si="2"/>
        <v>168.79112269872692</v>
      </c>
      <c r="AB22" s="186">
        <f t="shared" si="2"/>
        <v>162.15591957040169</v>
      </c>
      <c r="AC22" s="186">
        <f t="shared" si="2"/>
        <v>405.76105817051643</v>
      </c>
    </row>
    <row r="23" spans="1:29" ht="16.5" customHeight="1" x14ac:dyDescent="0.3">
      <c r="B23" s="312" t="s">
        <v>128</v>
      </c>
      <c r="C23" s="312"/>
      <c r="D23" s="312"/>
      <c r="F23" s="7"/>
      <c r="G23" s="7"/>
      <c r="H23" s="7"/>
      <c r="I23" s="7"/>
      <c r="J23" s="7"/>
      <c r="K23" s="7"/>
      <c r="L23" s="7"/>
      <c r="M23" s="7"/>
      <c r="N23" s="7"/>
      <c r="O23" s="7"/>
      <c r="P23" s="7"/>
      <c r="Q23" s="7"/>
      <c r="R23" s="7"/>
      <c r="S23" s="7"/>
      <c r="T23" s="7"/>
      <c r="U23" s="7"/>
      <c r="V23" s="7"/>
      <c r="W23" s="7"/>
      <c r="X23" s="7"/>
      <c r="Y23" s="7"/>
      <c r="Z23" s="7"/>
      <c r="AA23" s="7"/>
      <c r="AB23" s="7"/>
      <c r="AC23" s="7"/>
    </row>
    <row r="24" spans="1:29" x14ac:dyDescent="0.3">
      <c r="B24" s="312"/>
      <c r="C24" s="312"/>
      <c r="D24" s="312"/>
    </row>
    <row r="25" spans="1:29" x14ac:dyDescent="0.3">
      <c r="B25" s="74"/>
      <c r="C25" s="74"/>
      <c r="D25" s="74"/>
      <c r="M25" s="213"/>
    </row>
    <row r="26" spans="1:29" x14ac:dyDescent="0.3">
      <c r="B26" s="74"/>
      <c r="C26" s="74"/>
      <c r="D26" s="74"/>
    </row>
    <row r="27" spans="1:29" x14ac:dyDescent="0.3">
      <c r="B27" s="74"/>
      <c r="C27" s="74"/>
      <c r="D27" s="74"/>
    </row>
    <row r="28" spans="1:29" x14ac:dyDescent="0.3">
      <c r="B28" s="74"/>
      <c r="C28" s="74"/>
      <c r="D28" s="74"/>
    </row>
    <row r="29" spans="1:29" ht="30.75" customHeight="1" x14ac:dyDescent="0.3">
      <c r="B29" s="310" t="s">
        <v>96</v>
      </c>
      <c r="C29" s="310"/>
      <c r="D29" s="310"/>
      <c r="F29" s="90"/>
      <c r="G29" s="90"/>
      <c r="H29" s="90"/>
      <c r="I29" s="90"/>
      <c r="J29" s="90"/>
      <c r="K29" s="90"/>
      <c r="L29" s="90"/>
      <c r="M29" s="90"/>
      <c r="N29" s="90"/>
      <c r="O29" s="90"/>
      <c r="P29" s="90"/>
      <c r="Q29" s="90"/>
      <c r="R29" s="90"/>
      <c r="S29" s="90"/>
      <c r="T29" s="90"/>
      <c r="U29" s="90"/>
      <c r="V29" s="90"/>
      <c r="W29" s="90"/>
      <c r="X29" s="90"/>
      <c r="Y29" s="90"/>
      <c r="Z29" s="90"/>
      <c r="AA29" s="90"/>
      <c r="AB29" s="90"/>
      <c r="AC29" s="90"/>
    </row>
    <row r="30" spans="1:29" x14ac:dyDescent="0.3">
      <c r="B30" s="313" t="s">
        <v>0</v>
      </c>
      <c r="C30" s="289" t="s">
        <v>1</v>
      </c>
      <c r="D30" s="289" t="s">
        <v>93</v>
      </c>
      <c r="F30" s="187">
        <v>2024</v>
      </c>
      <c r="G30" s="187">
        <v>2024</v>
      </c>
      <c r="H30" s="187">
        <v>2024</v>
      </c>
      <c r="I30" s="187">
        <v>2024</v>
      </c>
      <c r="J30" s="187">
        <v>2024</v>
      </c>
      <c r="K30" s="187">
        <v>2024</v>
      </c>
      <c r="L30" s="187">
        <v>2024</v>
      </c>
      <c r="M30" s="187">
        <v>2024</v>
      </c>
      <c r="N30" s="187">
        <v>2024</v>
      </c>
      <c r="O30" s="187">
        <v>2024</v>
      </c>
      <c r="P30" s="187">
        <v>2024</v>
      </c>
      <c r="Q30" s="187">
        <v>2024</v>
      </c>
      <c r="R30" s="187">
        <v>2025</v>
      </c>
      <c r="S30" s="187">
        <v>2025</v>
      </c>
      <c r="T30" s="187">
        <v>2025</v>
      </c>
      <c r="U30" s="187">
        <v>2025</v>
      </c>
      <c r="V30" s="187">
        <v>2025</v>
      </c>
      <c r="W30" s="187">
        <v>2025</v>
      </c>
      <c r="X30" s="187">
        <v>2025</v>
      </c>
      <c r="Y30" s="187">
        <v>2025</v>
      </c>
      <c r="Z30" s="187">
        <v>2025</v>
      </c>
      <c r="AA30" s="187">
        <v>2025</v>
      </c>
      <c r="AB30" s="187">
        <v>2025</v>
      </c>
      <c r="AC30" s="187">
        <v>2025</v>
      </c>
    </row>
    <row r="31" spans="1:29" x14ac:dyDescent="0.3">
      <c r="B31" s="314"/>
      <c r="C31" s="290"/>
      <c r="D31" s="290"/>
      <c r="F31" s="187">
        <v>1</v>
      </c>
      <c r="G31" s="187">
        <f>+F31+1</f>
        <v>2</v>
      </c>
      <c r="H31" s="187">
        <f t="shared" ref="H31:Q31" si="3">+G31+1</f>
        <v>3</v>
      </c>
      <c r="I31" s="187">
        <f t="shared" si="3"/>
        <v>4</v>
      </c>
      <c r="J31" s="187">
        <f t="shared" si="3"/>
        <v>5</v>
      </c>
      <c r="K31" s="187">
        <f t="shared" si="3"/>
        <v>6</v>
      </c>
      <c r="L31" s="187">
        <f t="shared" si="3"/>
        <v>7</v>
      </c>
      <c r="M31" s="187">
        <f t="shared" si="3"/>
        <v>8</v>
      </c>
      <c r="N31" s="187">
        <f t="shared" si="3"/>
        <v>9</v>
      </c>
      <c r="O31" s="187">
        <f t="shared" si="3"/>
        <v>10</v>
      </c>
      <c r="P31" s="187">
        <f t="shared" si="3"/>
        <v>11</v>
      </c>
      <c r="Q31" s="187">
        <f t="shared" si="3"/>
        <v>12</v>
      </c>
      <c r="R31" s="187">
        <v>1</v>
      </c>
      <c r="S31" s="187">
        <f t="shared" ref="S31:AC31" si="4">+R31+1</f>
        <v>2</v>
      </c>
      <c r="T31" s="187">
        <f t="shared" si="4"/>
        <v>3</v>
      </c>
      <c r="U31" s="187">
        <f t="shared" si="4"/>
        <v>4</v>
      </c>
      <c r="V31" s="187">
        <f t="shared" si="4"/>
        <v>5</v>
      </c>
      <c r="W31" s="187">
        <f t="shared" si="4"/>
        <v>6</v>
      </c>
      <c r="X31" s="187">
        <f t="shared" si="4"/>
        <v>7</v>
      </c>
      <c r="Y31" s="187">
        <f t="shared" si="4"/>
        <v>8</v>
      </c>
      <c r="Z31" s="187">
        <f t="shared" si="4"/>
        <v>9</v>
      </c>
      <c r="AA31" s="187">
        <f t="shared" si="4"/>
        <v>10</v>
      </c>
      <c r="AB31" s="187">
        <f t="shared" si="4"/>
        <v>11</v>
      </c>
      <c r="AC31" s="187">
        <f t="shared" si="4"/>
        <v>12</v>
      </c>
    </row>
    <row r="32" spans="1:29" x14ac:dyDescent="0.3">
      <c r="A32" s="18" t="s">
        <v>40</v>
      </c>
      <c r="B32" s="154" t="s">
        <v>13</v>
      </c>
      <c r="C32" s="154" t="s">
        <v>14</v>
      </c>
      <c r="D32" s="154" t="s">
        <v>90</v>
      </c>
      <c r="E32" s="61"/>
      <c r="F32" s="221">
        <v>0</v>
      </c>
      <c r="G32" s="221">
        <v>0</v>
      </c>
      <c r="H32" s="221">
        <v>0</v>
      </c>
      <c r="I32" s="221">
        <v>0</v>
      </c>
      <c r="J32" s="221">
        <v>0</v>
      </c>
      <c r="K32" s="221">
        <v>0.91654387000000004</v>
      </c>
      <c r="L32" s="221">
        <v>0</v>
      </c>
      <c r="M32" s="221">
        <v>0</v>
      </c>
      <c r="N32" s="221">
        <v>0</v>
      </c>
      <c r="O32" s="221">
        <v>0</v>
      </c>
      <c r="P32" s="221">
        <v>0</v>
      </c>
      <c r="Q32" s="221">
        <v>0.86054716409041176</v>
      </c>
      <c r="R32" s="221">
        <v>0</v>
      </c>
      <c r="S32" s="221">
        <v>0</v>
      </c>
      <c r="T32" s="221">
        <v>0</v>
      </c>
      <c r="U32" s="221">
        <v>0</v>
      </c>
      <c r="V32" s="221">
        <v>0</v>
      </c>
      <c r="W32" s="221">
        <v>0.95663354949013502</v>
      </c>
      <c r="X32" s="221">
        <v>0</v>
      </c>
      <c r="Y32" s="221">
        <v>0</v>
      </c>
      <c r="Z32" s="221">
        <v>0</v>
      </c>
      <c r="AA32" s="221">
        <v>0</v>
      </c>
      <c r="AB32" s="221">
        <v>0</v>
      </c>
      <c r="AC32" s="221">
        <v>0.87522152695526156</v>
      </c>
    </row>
    <row r="33" spans="1:29" x14ac:dyDescent="0.3">
      <c r="A33" s="18" t="s">
        <v>40</v>
      </c>
      <c r="B33" s="154" t="s">
        <v>19</v>
      </c>
      <c r="C33" s="154" t="s">
        <v>20</v>
      </c>
      <c r="D33" s="154" t="s">
        <v>90</v>
      </c>
      <c r="E33" s="61"/>
      <c r="F33" s="221">
        <v>0</v>
      </c>
      <c r="G33" s="221">
        <v>1.4534148200000003</v>
      </c>
      <c r="H33" s="221">
        <v>0</v>
      </c>
      <c r="I33" s="221">
        <v>0</v>
      </c>
      <c r="J33" s="221">
        <v>0</v>
      </c>
      <c r="K33" s="221">
        <v>0</v>
      </c>
      <c r="L33" s="221">
        <v>0</v>
      </c>
      <c r="M33" s="221">
        <v>1.3476921399999999</v>
      </c>
      <c r="N33" s="221">
        <v>0</v>
      </c>
      <c r="O33" s="221">
        <v>0</v>
      </c>
      <c r="P33" s="221">
        <v>0</v>
      </c>
      <c r="Q33" s="221">
        <v>0</v>
      </c>
      <c r="R33" s="221">
        <v>0</v>
      </c>
      <c r="S33" s="221">
        <v>1.2077826299999999</v>
      </c>
      <c r="T33" s="221">
        <v>0</v>
      </c>
      <c r="U33" s="221">
        <v>0</v>
      </c>
      <c r="V33" s="221">
        <v>0</v>
      </c>
      <c r="W33" s="221">
        <v>0</v>
      </c>
      <c r="X33" s="221">
        <v>0</v>
      </c>
      <c r="Y33" s="221">
        <v>1.0341804481701513</v>
      </c>
      <c r="Z33" s="221">
        <v>0</v>
      </c>
      <c r="AA33" s="221">
        <v>0</v>
      </c>
      <c r="AB33" s="221">
        <v>0</v>
      </c>
      <c r="AC33" s="221">
        <v>0</v>
      </c>
    </row>
    <row r="34" spans="1:29" x14ac:dyDescent="0.3">
      <c r="A34" s="18" t="s">
        <v>40</v>
      </c>
      <c r="B34" s="154" t="s">
        <v>15</v>
      </c>
      <c r="C34" s="154" t="s">
        <v>16</v>
      </c>
      <c r="D34" s="154" t="s">
        <v>90</v>
      </c>
      <c r="E34" s="61"/>
      <c r="F34" s="221">
        <v>0</v>
      </c>
      <c r="G34" s="221">
        <v>0</v>
      </c>
      <c r="H34" s="221">
        <v>0</v>
      </c>
      <c r="I34" s="221">
        <v>0.40834123</v>
      </c>
      <c r="J34" s="221">
        <v>0</v>
      </c>
      <c r="K34" s="221">
        <v>0</v>
      </c>
      <c r="L34" s="221">
        <v>0</v>
      </c>
      <c r="M34" s="221">
        <v>0</v>
      </c>
      <c r="N34" s="221">
        <v>0</v>
      </c>
      <c r="O34" s="221">
        <v>0.38413993000000002</v>
      </c>
      <c r="P34" s="221">
        <v>0</v>
      </c>
      <c r="Q34" s="221">
        <v>0</v>
      </c>
      <c r="R34" s="221">
        <v>0</v>
      </c>
      <c r="S34" s="221">
        <v>0</v>
      </c>
      <c r="T34" s="221">
        <v>0</v>
      </c>
      <c r="U34" s="221">
        <v>0.83370761999999998</v>
      </c>
      <c r="V34" s="221">
        <v>0</v>
      </c>
      <c r="W34" s="221">
        <v>0</v>
      </c>
      <c r="X34" s="221">
        <v>0</v>
      </c>
      <c r="Y34" s="221">
        <v>0</v>
      </c>
      <c r="Z34" s="221">
        <v>0</v>
      </c>
      <c r="AA34" s="221">
        <v>0.73124613999999999</v>
      </c>
      <c r="AB34" s="221">
        <v>0</v>
      </c>
      <c r="AC34" s="221">
        <v>0</v>
      </c>
    </row>
    <row r="35" spans="1:29" x14ac:dyDescent="0.3">
      <c r="A35" s="18" t="s">
        <v>40</v>
      </c>
      <c r="B35" s="154" t="s">
        <v>17</v>
      </c>
      <c r="C35" s="154" t="s">
        <v>18</v>
      </c>
      <c r="D35" s="154" t="s">
        <v>90</v>
      </c>
      <c r="E35" s="61"/>
      <c r="F35" s="221">
        <v>0</v>
      </c>
      <c r="G35" s="221">
        <v>0.33478243352378567</v>
      </c>
      <c r="H35" s="221">
        <v>0</v>
      </c>
      <c r="I35" s="221">
        <v>0</v>
      </c>
      <c r="J35" s="221">
        <v>0</v>
      </c>
      <c r="K35" s="221">
        <v>0</v>
      </c>
      <c r="L35" s="221">
        <v>0</v>
      </c>
      <c r="M35" s="221">
        <v>0.24289015</v>
      </c>
      <c r="N35" s="221">
        <v>0</v>
      </c>
      <c r="O35" s="221">
        <v>0</v>
      </c>
      <c r="P35" s="221">
        <v>0</v>
      </c>
      <c r="Q35" s="221">
        <v>0</v>
      </c>
      <c r="R35" s="221">
        <v>0</v>
      </c>
      <c r="S35" s="221">
        <v>0.1476182</v>
      </c>
      <c r="T35" s="221">
        <v>0</v>
      </c>
      <c r="U35" s="221">
        <v>0</v>
      </c>
      <c r="V35" s="221">
        <v>0</v>
      </c>
      <c r="W35" s="221">
        <v>0</v>
      </c>
      <c r="X35" s="221">
        <v>0</v>
      </c>
      <c r="Y35" s="221">
        <v>6.5937420819852044E-2</v>
      </c>
      <c r="Z35" s="221">
        <v>0</v>
      </c>
      <c r="AA35" s="221">
        <v>0</v>
      </c>
      <c r="AB35" s="221">
        <v>0</v>
      </c>
      <c r="AC35" s="221">
        <v>0</v>
      </c>
    </row>
    <row r="36" spans="1:29" x14ac:dyDescent="0.3">
      <c r="A36" s="18" t="s">
        <v>40</v>
      </c>
      <c r="B36" s="154" t="s">
        <v>23</v>
      </c>
      <c r="C36" s="154" t="s">
        <v>24</v>
      </c>
      <c r="D36" s="154" t="s">
        <v>90</v>
      </c>
      <c r="E36" s="61"/>
      <c r="F36" s="221">
        <v>0</v>
      </c>
      <c r="G36" s="221">
        <v>0</v>
      </c>
      <c r="H36" s="221">
        <v>0</v>
      </c>
      <c r="I36" s="221">
        <v>0.46031688248263569</v>
      </c>
      <c r="J36" s="221">
        <v>0</v>
      </c>
      <c r="K36" s="221">
        <v>0</v>
      </c>
      <c r="L36" s="221">
        <v>0</v>
      </c>
      <c r="M36" s="221">
        <v>0</v>
      </c>
      <c r="N36" s="221">
        <v>0</v>
      </c>
      <c r="O36" s="221">
        <v>0.46203687999999998</v>
      </c>
      <c r="P36" s="221">
        <v>0</v>
      </c>
      <c r="Q36" s="221">
        <v>0</v>
      </c>
      <c r="R36" s="221">
        <v>0</v>
      </c>
      <c r="S36" s="221">
        <v>0</v>
      </c>
      <c r="T36" s="221">
        <v>0</v>
      </c>
      <c r="U36" s="221">
        <v>0.39408563946282871</v>
      </c>
      <c r="V36" s="221">
        <v>0</v>
      </c>
      <c r="W36" s="221">
        <v>0</v>
      </c>
      <c r="X36" s="221">
        <v>0</v>
      </c>
      <c r="Y36" s="221">
        <v>0</v>
      </c>
      <c r="Z36" s="221">
        <v>0</v>
      </c>
      <c r="AA36" s="221">
        <v>0.35199253187442597</v>
      </c>
      <c r="AB36" s="221">
        <v>0</v>
      </c>
      <c r="AC36" s="221">
        <v>0</v>
      </c>
    </row>
    <row r="37" spans="1:29" x14ac:dyDescent="0.3">
      <c r="A37" s="18" t="s">
        <v>40</v>
      </c>
      <c r="B37" s="154" t="s">
        <v>21</v>
      </c>
      <c r="C37" s="154" t="s">
        <v>22</v>
      </c>
      <c r="D37" s="154" t="s">
        <v>90</v>
      </c>
      <c r="E37" s="61"/>
      <c r="F37" s="221">
        <v>0</v>
      </c>
      <c r="G37" s="221">
        <v>0</v>
      </c>
      <c r="H37" s="221">
        <v>0</v>
      </c>
      <c r="I37" s="221">
        <v>0</v>
      </c>
      <c r="J37" s="221">
        <v>8.3268839999999997E-2</v>
      </c>
      <c r="K37" s="221">
        <v>0</v>
      </c>
      <c r="L37" s="221">
        <v>0</v>
      </c>
      <c r="M37" s="221">
        <v>0</v>
      </c>
      <c r="N37" s="221">
        <v>0</v>
      </c>
      <c r="O37" s="221">
        <v>0</v>
      </c>
      <c r="P37" s="221">
        <v>7.8466330000000001E-2</v>
      </c>
      <c r="Q37" s="221">
        <v>0</v>
      </c>
      <c r="R37" s="221">
        <v>0</v>
      </c>
      <c r="S37" s="221">
        <v>0</v>
      </c>
      <c r="T37" s="221">
        <v>0</v>
      </c>
      <c r="U37" s="221">
        <v>0</v>
      </c>
      <c r="V37" s="221">
        <v>0.10478598583402848</v>
      </c>
      <c r="W37" s="221">
        <v>0</v>
      </c>
      <c r="X37" s="221">
        <v>0</v>
      </c>
      <c r="Y37" s="221">
        <v>0</v>
      </c>
      <c r="Z37" s="221">
        <v>0</v>
      </c>
      <c r="AA37" s="221">
        <v>0</v>
      </c>
      <c r="AB37" s="221">
        <v>9.3517530449137382E-2</v>
      </c>
      <c r="AC37" s="221">
        <v>0</v>
      </c>
    </row>
    <row r="38" spans="1:29" x14ac:dyDescent="0.3">
      <c r="A38" s="18" t="s">
        <v>40</v>
      </c>
      <c r="B38" s="154" t="s">
        <v>123</v>
      </c>
      <c r="C38" s="154" t="s">
        <v>124</v>
      </c>
      <c r="D38" s="154" t="s">
        <v>90</v>
      </c>
      <c r="E38" s="61"/>
      <c r="F38" s="221">
        <v>0</v>
      </c>
      <c r="G38" s="221">
        <v>0</v>
      </c>
      <c r="H38" s="221">
        <v>0</v>
      </c>
      <c r="I38" s="221">
        <v>0</v>
      </c>
      <c r="J38" s="221">
        <v>0.91214308999999971</v>
      </c>
      <c r="K38" s="221">
        <v>0</v>
      </c>
      <c r="L38" s="221">
        <v>0</v>
      </c>
      <c r="M38" s="221">
        <v>0</v>
      </c>
      <c r="N38" s="221">
        <v>0</v>
      </c>
      <c r="O38" s="221">
        <v>0</v>
      </c>
      <c r="P38" s="221">
        <v>0.90393193999999999</v>
      </c>
      <c r="Q38" s="221">
        <v>0</v>
      </c>
      <c r="R38" s="221">
        <v>0</v>
      </c>
      <c r="S38" s="221">
        <v>0</v>
      </c>
      <c r="T38" s="221">
        <v>0</v>
      </c>
      <c r="U38" s="221">
        <v>0</v>
      </c>
      <c r="V38" s="221">
        <v>0.98292027945205496</v>
      </c>
      <c r="W38" s="221">
        <v>0</v>
      </c>
      <c r="X38" s="221">
        <v>0</v>
      </c>
      <c r="Y38" s="221">
        <v>0</v>
      </c>
      <c r="Z38" s="221">
        <v>0</v>
      </c>
      <c r="AA38" s="221">
        <v>0</v>
      </c>
      <c r="AB38" s="221">
        <v>0.90762991693150685</v>
      </c>
      <c r="AC38" s="221">
        <v>0</v>
      </c>
    </row>
    <row r="39" spans="1:29" x14ac:dyDescent="0.3">
      <c r="A39" s="18"/>
      <c r="B39" s="154" t="s">
        <v>143</v>
      </c>
      <c r="C39" s="154" t="s">
        <v>214</v>
      </c>
      <c r="D39" s="154" t="s">
        <v>90</v>
      </c>
      <c r="E39" s="61"/>
      <c r="F39" s="221">
        <v>0.14575804000000001</v>
      </c>
      <c r="G39" s="221">
        <v>0</v>
      </c>
      <c r="H39" s="221">
        <v>0</v>
      </c>
      <c r="I39" s="221">
        <v>0</v>
      </c>
      <c r="J39" s="221">
        <v>0</v>
      </c>
      <c r="K39" s="221">
        <v>0</v>
      </c>
      <c r="L39" s="221">
        <v>0.16066514999999998</v>
      </c>
      <c r="M39" s="221">
        <v>0</v>
      </c>
      <c r="N39" s="221">
        <v>0</v>
      </c>
      <c r="O39" s="221">
        <v>0</v>
      </c>
      <c r="P39" s="221">
        <v>0</v>
      </c>
      <c r="Q39" s="221">
        <v>0</v>
      </c>
      <c r="R39" s="221">
        <v>0.13756038000000004</v>
      </c>
      <c r="S39" s="221">
        <v>0</v>
      </c>
      <c r="T39" s="221">
        <v>0</v>
      </c>
      <c r="U39" s="221">
        <v>0</v>
      </c>
      <c r="V39" s="221">
        <v>0</v>
      </c>
      <c r="W39" s="221">
        <v>0</v>
      </c>
      <c r="X39" s="221">
        <v>0.15210930048623034</v>
      </c>
      <c r="Y39" s="221">
        <v>0</v>
      </c>
      <c r="Z39" s="221">
        <v>0</v>
      </c>
      <c r="AA39" s="221">
        <v>0</v>
      </c>
      <c r="AB39" s="221">
        <v>0</v>
      </c>
      <c r="AC39" s="221">
        <v>0</v>
      </c>
    </row>
    <row r="40" spans="1:29" x14ac:dyDescent="0.3">
      <c r="A40" s="18" t="s">
        <v>40</v>
      </c>
      <c r="B40" s="154" t="s">
        <v>25</v>
      </c>
      <c r="C40" s="154" t="s">
        <v>26</v>
      </c>
      <c r="D40" s="154" t="s">
        <v>90</v>
      </c>
      <c r="E40" s="61"/>
      <c r="F40" s="221">
        <v>0</v>
      </c>
      <c r="G40" s="221">
        <v>0</v>
      </c>
      <c r="H40" s="221">
        <v>0</v>
      </c>
      <c r="I40" s="221">
        <v>6.5242394462007086E-3</v>
      </c>
      <c r="J40" s="221">
        <v>0</v>
      </c>
      <c r="K40" s="221">
        <v>0</v>
      </c>
      <c r="L40" s="221">
        <v>0</v>
      </c>
      <c r="M40" s="221">
        <v>0</v>
      </c>
      <c r="N40" s="221">
        <v>0</v>
      </c>
      <c r="O40" s="221">
        <v>3.2496399999999998E-3</v>
      </c>
      <c r="P40" s="221">
        <v>0</v>
      </c>
      <c r="Q40" s="221">
        <v>0</v>
      </c>
      <c r="R40" s="221">
        <v>0</v>
      </c>
      <c r="S40" s="221">
        <v>0</v>
      </c>
      <c r="T40" s="221">
        <v>0</v>
      </c>
      <c r="U40" s="221">
        <v>0</v>
      </c>
      <c r="V40" s="221">
        <v>0</v>
      </c>
      <c r="W40" s="221">
        <v>0</v>
      </c>
      <c r="X40" s="221">
        <v>0</v>
      </c>
      <c r="Y40" s="221">
        <v>0</v>
      </c>
      <c r="Z40" s="221">
        <v>0</v>
      </c>
      <c r="AA40" s="221">
        <v>0</v>
      </c>
      <c r="AB40" s="221">
        <v>0</v>
      </c>
      <c r="AC40" s="221">
        <v>0</v>
      </c>
    </row>
    <row r="41" spans="1:29" x14ac:dyDescent="0.3">
      <c r="A41" s="18" t="s">
        <v>40</v>
      </c>
      <c r="B41" s="154" t="s">
        <v>27</v>
      </c>
      <c r="C41" s="154" t="s">
        <v>28</v>
      </c>
      <c r="D41" s="154" t="s">
        <v>90</v>
      </c>
      <c r="E41" s="61"/>
      <c r="F41" s="221">
        <v>0</v>
      </c>
      <c r="G41" s="221">
        <v>0</v>
      </c>
      <c r="H41" s="221">
        <v>9.8865781158152745E-4</v>
      </c>
      <c r="I41" s="221">
        <v>0</v>
      </c>
      <c r="J41" s="221">
        <v>0</v>
      </c>
      <c r="K41" s="221">
        <v>9.6857044222806111E-4</v>
      </c>
      <c r="L41" s="221">
        <v>0</v>
      </c>
      <c r="M41" s="221">
        <v>0</v>
      </c>
      <c r="N41" s="221">
        <v>9.4842331295076881E-4</v>
      </c>
      <c r="O41" s="221">
        <v>0</v>
      </c>
      <c r="P41" s="221">
        <v>0</v>
      </c>
      <c r="Q41" s="221">
        <v>9.2821624596387843E-4</v>
      </c>
      <c r="R41" s="221">
        <v>0</v>
      </c>
      <c r="S41" s="221">
        <v>0</v>
      </c>
      <c r="T41" s="221">
        <v>9.0794906295270014E-4</v>
      </c>
      <c r="U41" s="221">
        <v>0</v>
      </c>
      <c r="V41" s="221">
        <v>0</v>
      </c>
      <c r="W41" s="221">
        <v>8.8762158507206393E-4</v>
      </c>
      <c r="X41" s="221">
        <v>0</v>
      </c>
      <c r="Y41" s="221">
        <v>0</v>
      </c>
      <c r="Z41" s="221">
        <v>8.6723363294473311E-4</v>
      </c>
      <c r="AA41" s="221">
        <v>0</v>
      </c>
      <c r="AB41" s="221">
        <v>0</v>
      </c>
      <c r="AC41" s="221">
        <v>8.4678502665982351E-4</v>
      </c>
    </row>
    <row r="42" spans="1:29" s="233" customFormat="1" x14ac:dyDescent="0.3">
      <c r="A42" s="231" t="s">
        <v>40</v>
      </c>
      <c r="B42" s="154" t="s">
        <v>29</v>
      </c>
      <c r="C42" s="154" t="s">
        <v>30</v>
      </c>
      <c r="D42" s="154" t="s">
        <v>90</v>
      </c>
      <c r="E42" s="232"/>
      <c r="F42" s="221">
        <v>0</v>
      </c>
      <c r="G42" s="221">
        <v>0</v>
      </c>
      <c r="H42" s="221">
        <v>0</v>
      </c>
      <c r="I42" s="221">
        <v>0</v>
      </c>
      <c r="J42" s="221">
        <v>0</v>
      </c>
      <c r="K42" s="221">
        <v>0</v>
      </c>
      <c r="L42" s="221">
        <v>0</v>
      </c>
      <c r="M42" s="221">
        <v>0</v>
      </c>
      <c r="N42" s="221">
        <v>3.2994308695652179E-3</v>
      </c>
      <c r="O42" s="221">
        <v>0</v>
      </c>
      <c r="P42" s="221">
        <v>0</v>
      </c>
      <c r="Q42" s="221">
        <v>0</v>
      </c>
      <c r="R42" s="221">
        <v>0</v>
      </c>
      <c r="S42" s="221">
        <v>0</v>
      </c>
      <c r="T42" s="221">
        <v>0</v>
      </c>
      <c r="U42" s="221">
        <v>0</v>
      </c>
      <c r="V42" s="221">
        <v>0</v>
      </c>
      <c r="W42" s="221">
        <v>0</v>
      </c>
      <c r="X42" s="221">
        <v>0</v>
      </c>
      <c r="Y42" s="221">
        <v>0</v>
      </c>
      <c r="Z42" s="221">
        <v>0</v>
      </c>
      <c r="AA42" s="221">
        <v>0</v>
      </c>
      <c r="AB42" s="221">
        <v>0</v>
      </c>
      <c r="AC42" s="221">
        <v>0</v>
      </c>
    </row>
    <row r="43" spans="1:29" x14ac:dyDescent="0.3">
      <c r="A43" s="18" t="s">
        <v>40</v>
      </c>
      <c r="B43" s="154" t="s">
        <v>32</v>
      </c>
      <c r="C43" s="154" t="s">
        <v>33</v>
      </c>
      <c r="D43" s="154" t="s">
        <v>90</v>
      </c>
      <c r="E43" s="61"/>
      <c r="F43" s="221">
        <v>0</v>
      </c>
      <c r="G43" s="221">
        <v>0</v>
      </c>
      <c r="H43" s="221">
        <v>0.50201371163283404</v>
      </c>
      <c r="I43" s="221">
        <v>0</v>
      </c>
      <c r="J43" s="221">
        <v>0</v>
      </c>
      <c r="K43" s="221">
        <v>0</v>
      </c>
      <c r="L43" s="221">
        <v>0</v>
      </c>
      <c r="M43" s="221">
        <v>0</v>
      </c>
      <c r="N43" s="221">
        <v>0.48824227602003845</v>
      </c>
      <c r="O43" s="221">
        <v>0</v>
      </c>
      <c r="P43" s="221">
        <v>0</v>
      </c>
      <c r="Q43" s="221">
        <v>0</v>
      </c>
      <c r="R43" s="221">
        <v>0</v>
      </c>
      <c r="S43" s="221">
        <v>0</v>
      </c>
      <c r="T43" s="221">
        <v>0.82497488996233892</v>
      </c>
      <c r="U43" s="221">
        <v>0</v>
      </c>
      <c r="V43" s="221">
        <v>0</v>
      </c>
      <c r="W43" s="221">
        <v>0</v>
      </c>
      <c r="X43" s="221">
        <v>0</v>
      </c>
      <c r="Y43" s="221">
        <v>0</v>
      </c>
      <c r="Z43" s="221">
        <v>0.7376205238475817</v>
      </c>
      <c r="AA43" s="221">
        <v>0</v>
      </c>
      <c r="AB43" s="221">
        <v>0</v>
      </c>
      <c r="AC43" s="221">
        <v>0</v>
      </c>
    </row>
    <row r="44" spans="1:29" x14ac:dyDescent="0.3">
      <c r="A44" s="18"/>
      <c r="B44" s="154" t="s">
        <v>144</v>
      </c>
      <c r="C44" s="154" t="s">
        <v>145</v>
      </c>
      <c r="D44" s="154" t="s">
        <v>90</v>
      </c>
      <c r="E44" s="61"/>
      <c r="F44" s="221">
        <v>3.760695E-2</v>
      </c>
      <c r="G44" s="221">
        <v>0</v>
      </c>
      <c r="H44" s="221">
        <v>0</v>
      </c>
      <c r="I44" s="221">
        <v>0</v>
      </c>
      <c r="J44" s="221">
        <v>0</v>
      </c>
      <c r="K44" s="221">
        <v>0</v>
      </c>
      <c r="L44" s="221">
        <v>6.5543130000000005E-2</v>
      </c>
      <c r="M44" s="221">
        <v>0</v>
      </c>
      <c r="N44" s="221">
        <v>0</v>
      </c>
      <c r="O44" s="221">
        <v>0</v>
      </c>
      <c r="P44" s="221">
        <v>0</v>
      </c>
      <c r="Q44" s="221">
        <v>0</v>
      </c>
      <c r="R44" s="221">
        <v>6.7422179999999998E-2</v>
      </c>
      <c r="S44" s="221">
        <v>0</v>
      </c>
      <c r="T44" s="221">
        <v>0</v>
      </c>
      <c r="U44" s="221">
        <v>0</v>
      </c>
      <c r="V44" s="221">
        <v>0</v>
      </c>
      <c r="W44" s="221">
        <v>0</v>
      </c>
      <c r="X44" s="221">
        <v>6.3493610000000006E-2</v>
      </c>
      <c r="Y44" s="221">
        <v>0</v>
      </c>
      <c r="Z44" s="221">
        <v>0</v>
      </c>
      <c r="AA44" s="221">
        <v>0</v>
      </c>
      <c r="AB44" s="221">
        <v>0</v>
      </c>
      <c r="AC44" s="221">
        <v>0</v>
      </c>
    </row>
    <row r="45" spans="1:29" x14ac:dyDescent="0.3">
      <c r="A45" s="18"/>
      <c r="B45" s="9" t="s">
        <v>169</v>
      </c>
      <c r="C45" s="9" t="s">
        <v>170</v>
      </c>
      <c r="D45" s="9" t="s">
        <v>90</v>
      </c>
      <c r="E45" s="225"/>
      <c r="F45" s="221">
        <v>0</v>
      </c>
      <c r="G45" s="221">
        <v>0</v>
      </c>
      <c r="H45" s="221">
        <v>0</v>
      </c>
      <c r="I45" s="221">
        <v>0</v>
      </c>
      <c r="J45" s="221">
        <v>0.16708867000000002</v>
      </c>
      <c r="K45" s="221">
        <v>0</v>
      </c>
      <c r="L45" s="221">
        <v>0</v>
      </c>
      <c r="M45" s="221">
        <v>0</v>
      </c>
      <c r="N45" s="221">
        <v>0</v>
      </c>
      <c r="O45" s="221">
        <v>0</v>
      </c>
      <c r="P45" s="221">
        <v>0.17005560038276288</v>
      </c>
      <c r="Q45" s="221">
        <v>0</v>
      </c>
      <c r="R45" s="221">
        <v>0</v>
      </c>
      <c r="S45" s="221">
        <v>0</v>
      </c>
      <c r="T45" s="221">
        <v>0</v>
      </c>
      <c r="U45" s="221">
        <v>0</v>
      </c>
      <c r="V45" s="221">
        <v>0.16873068353530579</v>
      </c>
      <c r="W45" s="221">
        <v>0</v>
      </c>
      <c r="X45" s="221">
        <v>0</v>
      </c>
      <c r="Y45" s="221">
        <v>0</v>
      </c>
      <c r="Z45" s="221">
        <v>0</v>
      </c>
      <c r="AA45" s="221">
        <v>0</v>
      </c>
      <c r="AB45" s="221">
        <v>0.15059574967662012</v>
      </c>
      <c r="AC45" s="221">
        <v>0</v>
      </c>
    </row>
    <row r="46" spans="1:29" x14ac:dyDescent="0.3">
      <c r="A46" s="18" t="s">
        <v>40</v>
      </c>
      <c r="B46" s="154" t="s">
        <v>122</v>
      </c>
      <c r="C46" s="154" t="s">
        <v>121</v>
      </c>
      <c r="D46" s="154" t="s">
        <v>91</v>
      </c>
      <c r="E46" s="61"/>
      <c r="F46" s="221">
        <v>0</v>
      </c>
      <c r="G46" s="221">
        <v>0</v>
      </c>
      <c r="H46" s="221">
        <v>12.601857019999999</v>
      </c>
      <c r="I46" s="221">
        <v>0</v>
      </c>
      <c r="J46" s="221">
        <v>0</v>
      </c>
      <c r="K46" s="221">
        <v>0</v>
      </c>
      <c r="L46" s="221">
        <v>0</v>
      </c>
      <c r="M46" s="221">
        <v>0</v>
      </c>
      <c r="N46" s="221">
        <v>11.45623365</v>
      </c>
      <c r="O46" s="221">
        <v>0</v>
      </c>
      <c r="P46" s="221">
        <v>0</v>
      </c>
      <c r="Q46" s="221">
        <v>0</v>
      </c>
      <c r="R46" s="221">
        <v>0</v>
      </c>
      <c r="S46" s="221">
        <v>0</v>
      </c>
      <c r="T46" s="221">
        <v>10.31061029</v>
      </c>
      <c r="U46" s="221">
        <v>0</v>
      </c>
      <c r="V46" s="221">
        <v>0</v>
      </c>
      <c r="W46" s="221">
        <v>0</v>
      </c>
      <c r="X46" s="221">
        <v>0</v>
      </c>
      <c r="Y46" s="221">
        <v>0</v>
      </c>
      <c r="Z46" s="221">
        <v>9.1649869230769276</v>
      </c>
      <c r="AA46" s="221">
        <v>0</v>
      </c>
      <c r="AB46" s="221">
        <v>0</v>
      </c>
      <c r="AC46" s="221">
        <v>0</v>
      </c>
    </row>
    <row r="47" spans="1:29" customFormat="1" ht="6.75" customHeight="1" x14ac:dyDescent="0.3">
      <c r="B47" s="15"/>
      <c r="C47" s="13"/>
      <c r="D47" s="13"/>
      <c r="E47" s="16"/>
    </row>
    <row r="48" spans="1:29" ht="28.5" customHeight="1" x14ac:dyDescent="0.3">
      <c r="B48" s="311" t="s">
        <v>119</v>
      </c>
      <c r="C48" s="311"/>
      <c r="D48" s="311"/>
      <c r="E48" s="3"/>
      <c r="F48" s="186">
        <f t="shared" ref="F48:Q48" si="5">+SUM(F32:F46)</f>
        <v>0.18336499000000001</v>
      </c>
      <c r="G48" s="186">
        <f t="shared" si="5"/>
        <v>1.788197253523786</v>
      </c>
      <c r="H48" s="186">
        <f t="shared" si="5"/>
        <v>13.104859389444414</v>
      </c>
      <c r="I48" s="186">
        <f t="shared" si="5"/>
        <v>0.87518235192883642</v>
      </c>
      <c r="J48" s="186">
        <f t="shared" si="5"/>
        <v>1.1625005999999998</v>
      </c>
      <c r="K48" s="186">
        <f t="shared" si="5"/>
        <v>0.91751244044222813</v>
      </c>
      <c r="L48" s="186">
        <f t="shared" si="5"/>
        <v>0.22620827999999998</v>
      </c>
      <c r="M48" s="186">
        <f t="shared" si="5"/>
        <v>1.59058229</v>
      </c>
      <c r="N48" s="186">
        <f t="shared" si="5"/>
        <v>11.948723780202554</v>
      </c>
      <c r="O48" s="186">
        <f t="shared" si="5"/>
        <v>0.84942645000000006</v>
      </c>
      <c r="P48" s="186">
        <f t="shared" si="5"/>
        <v>1.1524538703827629</v>
      </c>
      <c r="Q48" s="186">
        <f t="shared" si="5"/>
        <v>0.86147538033637561</v>
      </c>
      <c r="R48" s="186">
        <f>+SUM(R32:R46)</f>
        <v>0.20498256000000004</v>
      </c>
      <c r="S48" s="186">
        <f t="shared" ref="S48:AC48" si="6">+SUM(S32:S46)</f>
        <v>1.3554008299999998</v>
      </c>
      <c r="T48" s="186">
        <f t="shared" si="6"/>
        <v>11.136493129025292</v>
      </c>
      <c r="U48" s="186">
        <f t="shared" si="6"/>
        <v>1.2277932594628287</v>
      </c>
      <c r="V48" s="186">
        <f t="shared" si="6"/>
        <v>1.2564369488213891</v>
      </c>
      <c r="W48" s="186">
        <f t="shared" si="6"/>
        <v>0.95752117107520707</v>
      </c>
      <c r="X48" s="186">
        <f t="shared" si="6"/>
        <v>0.21560291048623034</v>
      </c>
      <c r="Y48" s="186">
        <f t="shared" si="6"/>
        <v>1.1001178689900033</v>
      </c>
      <c r="Z48" s="186">
        <f t="shared" si="6"/>
        <v>9.9034746805574549</v>
      </c>
      <c r="AA48" s="186">
        <f t="shared" si="6"/>
        <v>1.083238671874426</v>
      </c>
      <c r="AB48" s="186">
        <f t="shared" si="6"/>
        <v>1.1517431970572645</v>
      </c>
      <c r="AC48" s="186">
        <f t="shared" si="6"/>
        <v>0.87606831198192137</v>
      </c>
    </row>
    <row r="49" spans="2:29" x14ac:dyDescent="0.3">
      <c r="B49" s="4"/>
      <c r="C49" s="4"/>
      <c r="D49" s="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3">
      <c r="B50" s="4"/>
      <c r="C50" s="4"/>
      <c r="D50" s="4"/>
      <c r="F50" s="218"/>
      <c r="G50" s="14"/>
      <c r="H50" s="219"/>
      <c r="I50" s="14"/>
      <c r="J50" s="14"/>
      <c r="K50" s="14"/>
      <c r="L50" s="14"/>
      <c r="M50" s="14"/>
      <c r="O50" s="14"/>
      <c r="P50" s="14"/>
      <c r="R50" s="14"/>
      <c r="S50" s="14"/>
      <c r="U50" s="14"/>
      <c r="V50" s="14"/>
      <c r="X50" s="14"/>
      <c r="Y50" s="14"/>
      <c r="AA50" s="14"/>
      <c r="AB50" s="14"/>
    </row>
    <row r="51" spans="2:29" x14ac:dyDescent="0.3">
      <c r="B51" s="4"/>
      <c r="C51" s="4"/>
      <c r="D51" s="4"/>
      <c r="F51" s="14"/>
      <c r="G51" s="14"/>
      <c r="I51" s="14"/>
      <c r="J51" s="14"/>
      <c r="L51" s="14"/>
      <c r="M51" s="14"/>
      <c r="O51" s="14"/>
      <c r="P51" s="14"/>
      <c r="R51" s="14"/>
      <c r="S51" s="14"/>
      <c r="U51" s="14"/>
      <c r="V51" s="14"/>
      <c r="X51" s="14"/>
      <c r="Y51" s="14"/>
      <c r="AA51" s="14"/>
      <c r="AB51" s="14"/>
      <c r="AC51" s="14"/>
    </row>
    <row r="52" spans="2:29" x14ac:dyDescent="0.3">
      <c r="I52" s="14"/>
    </row>
    <row r="53" spans="2:29" x14ac:dyDescent="0.3">
      <c r="I53" s="14"/>
    </row>
    <row r="54" spans="2:29" x14ac:dyDescent="0.3">
      <c r="I54" s="14"/>
    </row>
    <row r="55" spans="2:29" x14ac:dyDescent="0.3">
      <c r="I55" s="14"/>
    </row>
    <row r="56" spans="2:29" x14ac:dyDescent="0.3">
      <c r="I56" s="14"/>
    </row>
    <row r="57" spans="2:29" x14ac:dyDescent="0.3">
      <c r="I57" s="14"/>
    </row>
  </sheetData>
  <mergeCells count="12">
    <mergeCell ref="D30:D31"/>
    <mergeCell ref="B29:D29"/>
    <mergeCell ref="B22:D22"/>
    <mergeCell ref="B48:D48"/>
    <mergeCell ref="B23:D24"/>
    <mergeCell ref="B30:B31"/>
    <mergeCell ref="C30:C31"/>
    <mergeCell ref="B1:E1"/>
    <mergeCell ref="B5:B6"/>
    <mergeCell ref="C5:C6"/>
    <mergeCell ref="B4:D4"/>
    <mergeCell ref="D5:D6"/>
  </mergeCells>
  <hyperlinks>
    <hyperlink ref="C33" location="BIDF40!A1" display="BIDF40" xr:uid="{00000000-0004-0000-0200-000000000000}"/>
    <hyperlink ref="C40" location="BIDO24!A1" display="BIDO24" xr:uid="{00000000-0004-0000-0200-000001000000}"/>
    <hyperlink ref="C37" location="BIDN32!A1" display="BIDN32" xr:uid="{00000000-0004-0000-0200-000002000000}"/>
    <hyperlink ref="C41" location="BIDS34!A1" display="BIDS34" xr:uid="{00000000-0004-0000-0200-000003000000}"/>
    <hyperlink ref="C42" location="BIDS23!A1" display="BIDS23" xr:uid="{00000000-0004-0000-0200-000004000000}"/>
    <hyperlink ref="C36" location="BIDY42!A1" display="BIDY42" xr:uid="{00000000-0004-0000-0200-000005000000}"/>
    <hyperlink ref="C43" location="BIRS38!A1" display="BIRS38" xr:uid="{00000000-0004-0000-0200-000006000000}"/>
    <hyperlink ref="C10" location="ANSE23!A1" display="ANSE23" xr:uid="{00000000-0004-0000-0200-000007000000}"/>
    <hyperlink ref="C7" location="FFDPO23!A1" display="FFDPO23" xr:uid="{00000000-0004-0000-0200-000008000000}"/>
    <hyperlink ref="C11" location="IPVO26!A1" display="IPVO26" xr:uid="{00000000-0004-0000-0200-000009000000}"/>
    <hyperlink ref="C18" location="'PMG25'!A1" display="PMG25" xr:uid="{00000000-0004-0000-0200-00000A000000}"/>
    <hyperlink ref="C19" location="FFFIRO24!A1" display="FFFIRO24" xr:uid="{00000000-0004-0000-0200-00000B000000}"/>
    <hyperlink ref="C20" location="FFFIRF26!A1" display="FFFIRF26" xr:uid="{00000000-0004-0000-0200-00000C000000}"/>
    <hyperlink ref="C9" location="GOBD23!A1" display="GOBD23" xr:uid="{00000000-0004-0000-0200-00000E000000}"/>
    <hyperlink ref="C16" location="'PMY25'!A1" display="PMY25" xr:uid="{00000000-0004-0000-0200-00000F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2"/>
  <sheetViews>
    <sheetView showGridLines="0" zoomScaleNormal="100" workbookViewId="0">
      <pane xSplit="3" ySplit="6" topLeftCell="D7" activePane="bottomRight" state="frozen"/>
      <selection activeCell="F1" sqref="F1:F1048576"/>
      <selection pane="topRight" activeCell="F1" sqref="F1:F1048576"/>
      <selection pane="bottomLeft" activeCell="F1" sqref="F1:F1048576"/>
      <selection pane="bottomRight" activeCell="A2" sqref="A2"/>
    </sheetView>
  </sheetViews>
  <sheetFormatPr baseColWidth="10" defaultRowHeight="16.5" x14ac:dyDescent="0.3"/>
  <cols>
    <col min="1" max="1" width="5.28515625" style="17" customWidth="1"/>
    <col min="2" max="2" width="43.7109375" style="2" bestFit="1" customWidth="1"/>
    <col min="3" max="3" width="12.5703125" style="2" customWidth="1"/>
    <col min="4" max="4" width="30.85546875" style="2" bestFit="1" customWidth="1"/>
    <col min="5" max="5" width="13.7109375" style="116" customWidth="1"/>
    <col min="6" max="6" width="14.85546875" style="116" bestFit="1" customWidth="1"/>
    <col min="7" max="17" width="13" style="116" bestFit="1" customWidth="1"/>
    <col min="18" max="21" width="11.42578125" style="116"/>
    <col min="22" max="16384" width="11.42578125" style="1"/>
  </cols>
  <sheetData>
    <row r="1" spans="1:29" ht="28.5" customHeight="1" x14ac:dyDescent="0.3">
      <c r="A1" s="115"/>
      <c r="B1" s="321" t="s">
        <v>38</v>
      </c>
      <c r="C1" s="321"/>
      <c r="D1" s="321"/>
      <c r="E1" s="321"/>
    </row>
    <row r="2" spans="1:29" x14ac:dyDescent="0.3">
      <c r="B2" s="183" t="s">
        <v>46</v>
      </c>
    </row>
    <row r="4" spans="1:29" ht="30.75" customHeight="1" x14ac:dyDescent="0.3">
      <c r="B4" s="307" t="s">
        <v>129</v>
      </c>
      <c r="C4" s="307"/>
      <c r="D4" s="307"/>
      <c r="F4" s="117"/>
      <c r="G4" s="117"/>
      <c r="H4" s="117"/>
      <c r="I4" s="117"/>
      <c r="J4" s="117"/>
      <c r="K4" s="117"/>
      <c r="L4" s="117"/>
      <c r="M4" s="117"/>
      <c r="N4" s="117"/>
      <c r="O4" s="117"/>
      <c r="P4" s="117"/>
      <c r="Q4" s="117"/>
      <c r="R4" s="117"/>
      <c r="S4" s="117"/>
      <c r="T4" s="117"/>
      <c r="U4" s="117"/>
      <c r="V4" s="117"/>
      <c r="W4" s="117"/>
      <c r="X4" s="117"/>
      <c r="Y4" s="117"/>
      <c r="Z4" s="117"/>
      <c r="AA4" s="117"/>
      <c r="AB4" s="117"/>
      <c r="AC4" s="117"/>
    </row>
    <row r="5" spans="1:29" ht="15.75" customHeight="1" x14ac:dyDescent="0.3">
      <c r="B5" s="316" t="s">
        <v>0</v>
      </c>
      <c r="C5" s="318" t="s">
        <v>1</v>
      </c>
      <c r="D5" s="318" t="s">
        <v>93</v>
      </c>
      <c r="F5" s="185">
        <v>2024</v>
      </c>
      <c r="G5" s="185">
        <v>2024</v>
      </c>
      <c r="H5" s="185">
        <v>2024</v>
      </c>
      <c r="I5" s="185">
        <v>2024</v>
      </c>
      <c r="J5" s="185">
        <v>2024</v>
      </c>
      <c r="K5" s="185">
        <v>2024</v>
      </c>
      <c r="L5" s="185">
        <v>2024</v>
      </c>
      <c r="M5" s="185">
        <v>2024</v>
      </c>
      <c r="N5" s="185">
        <v>2024</v>
      </c>
      <c r="O5" s="185">
        <v>2024</v>
      </c>
      <c r="P5" s="185">
        <v>2024</v>
      </c>
      <c r="Q5" s="185">
        <v>2024</v>
      </c>
      <c r="R5" s="185">
        <v>2025</v>
      </c>
      <c r="S5" s="185">
        <v>2025</v>
      </c>
      <c r="T5" s="185">
        <v>2025</v>
      </c>
      <c r="U5" s="185">
        <v>2025</v>
      </c>
      <c r="V5" s="185">
        <v>2025</v>
      </c>
      <c r="W5" s="185">
        <v>2025</v>
      </c>
      <c r="X5" s="185">
        <v>2025</v>
      </c>
      <c r="Y5" s="185">
        <v>2025</v>
      </c>
      <c r="Z5" s="185">
        <v>2025</v>
      </c>
      <c r="AA5" s="185">
        <v>2025</v>
      </c>
      <c r="AB5" s="185">
        <v>2025</v>
      </c>
      <c r="AC5" s="185">
        <v>2025</v>
      </c>
    </row>
    <row r="6" spans="1:29" x14ac:dyDescent="0.3">
      <c r="B6" s="317"/>
      <c r="C6" s="319"/>
      <c r="D6" s="319"/>
      <c r="F6" s="185">
        <v>1</v>
      </c>
      <c r="G6" s="185">
        <f>+F6+1</f>
        <v>2</v>
      </c>
      <c r="H6" s="185">
        <f t="shared" ref="H6:Q6" si="0">+G6+1</f>
        <v>3</v>
      </c>
      <c r="I6" s="185">
        <f t="shared" si="0"/>
        <v>4</v>
      </c>
      <c r="J6" s="185">
        <f t="shared" si="0"/>
        <v>5</v>
      </c>
      <c r="K6" s="185">
        <f t="shared" si="0"/>
        <v>6</v>
      </c>
      <c r="L6" s="185">
        <f t="shared" si="0"/>
        <v>7</v>
      </c>
      <c r="M6" s="185">
        <f t="shared" si="0"/>
        <v>8</v>
      </c>
      <c r="N6" s="185">
        <f t="shared" si="0"/>
        <v>9</v>
      </c>
      <c r="O6" s="185">
        <f t="shared" si="0"/>
        <v>10</v>
      </c>
      <c r="P6" s="185">
        <f t="shared" si="0"/>
        <v>11</v>
      </c>
      <c r="Q6" s="185">
        <f t="shared" si="0"/>
        <v>12</v>
      </c>
      <c r="R6" s="185">
        <v>1</v>
      </c>
      <c r="S6" s="185">
        <f t="shared" ref="S6:AC6" si="1">+R6+1</f>
        <v>2</v>
      </c>
      <c r="T6" s="185">
        <f t="shared" si="1"/>
        <v>3</v>
      </c>
      <c r="U6" s="185">
        <f t="shared" si="1"/>
        <v>4</v>
      </c>
      <c r="V6" s="185">
        <f t="shared" si="1"/>
        <v>5</v>
      </c>
      <c r="W6" s="185">
        <f t="shared" si="1"/>
        <v>6</v>
      </c>
      <c r="X6" s="185">
        <f t="shared" si="1"/>
        <v>7</v>
      </c>
      <c r="Y6" s="185">
        <f t="shared" si="1"/>
        <v>8</v>
      </c>
      <c r="Z6" s="185">
        <f t="shared" si="1"/>
        <v>9</v>
      </c>
      <c r="AA6" s="185">
        <f t="shared" si="1"/>
        <v>10</v>
      </c>
      <c r="AB6" s="185">
        <f t="shared" si="1"/>
        <v>11</v>
      </c>
      <c r="AC6" s="185">
        <f t="shared" si="1"/>
        <v>12</v>
      </c>
    </row>
    <row r="7" spans="1:29" x14ac:dyDescent="0.3">
      <c r="A7" s="87"/>
      <c r="B7" s="205" t="s">
        <v>7</v>
      </c>
      <c r="C7" s="205" t="s">
        <v>8</v>
      </c>
      <c r="D7" s="205" t="s">
        <v>87</v>
      </c>
      <c r="F7" s="221">
        <v>5.3271497999999999</v>
      </c>
      <c r="G7" s="221">
        <v>0</v>
      </c>
      <c r="H7" s="221">
        <v>0</v>
      </c>
      <c r="I7" s="221">
        <v>5.5510141299999995</v>
      </c>
      <c r="J7" s="221">
        <v>0</v>
      </c>
      <c r="K7" s="221">
        <v>0</v>
      </c>
      <c r="L7" s="221">
        <v>5.5882304000000005</v>
      </c>
      <c r="M7" s="221">
        <v>0</v>
      </c>
      <c r="N7" s="221">
        <v>0</v>
      </c>
      <c r="O7" s="221">
        <v>5.6110632000000003</v>
      </c>
      <c r="P7" s="221">
        <v>0</v>
      </c>
      <c r="Q7" s="221">
        <v>0</v>
      </c>
      <c r="R7" s="221">
        <v>5.83294493</v>
      </c>
      <c r="S7" s="221">
        <v>0</v>
      </c>
      <c r="T7" s="221">
        <v>0</v>
      </c>
      <c r="U7" s="221">
        <v>6.0230032400000004</v>
      </c>
      <c r="V7" s="221">
        <v>0</v>
      </c>
      <c r="W7" s="221">
        <v>0</v>
      </c>
      <c r="X7" s="221">
        <v>6.0949683800000001</v>
      </c>
      <c r="Y7" s="221">
        <v>0</v>
      </c>
      <c r="Z7" s="221">
        <v>0</v>
      </c>
      <c r="AA7" s="221">
        <v>6.2482901200000001</v>
      </c>
      <c r="AB7" s="221">
        <v>0</v>
      </c>
      <c r="AC7" s="221">
        <v>0</v>
      </c>
    </row>
    <row r="8" spans="1:29" x14ac:dyDescent="0.3">
      <c r="A8" s="87"/>
      <c r="B8" s="205" t="s">
        <v>132</v>
      </c>
      <c r="C8" s="205" t="s">
        <v>133</v>
      </c>
      <c r="D8" s="205" t="s">
        <v>91</v>
      </c>
      <c r="F8" s="221">
        <v>0</v>
      </c>
      <c r="G8" s="221">
        <v>0</v>
      </c>
      <c r="H8" s="221">
        <v>0</v>
      </c>
      <c r="I8" s="221">
        <v>0</v>
      </c>
      <c r="J8" s="221">
        <v>0</v>
      </c>
      <c r="K8" s="221">
        <v>10553.175258406711</v>
      </c>
      <c r="L8" s="221">
        <v>0</v>
      </c>
      <c r="M8" s="221">
        <v>0</v>
      </c>
      <c r="N8" s="221">
        <v>0</v>
      </c>
      <c r="O8" s="221">
        <v>0</v>
      </c>
      <c r="P8" s="221">
        <v>0</v>
      </c>
      <c r="Q8" s="221">
        <v>13548.007780365369</v>
      </c>
      <c r="R8" s="221">
        <v>0</v>
      </c>
      <c r="S8" s="221">
        <v>0</v>
      </c>
      <c r="T8" s="221">
        <v>0</v>
      </c>
      <c r="U8" s="221">
        <v>0</v>
      </c>
      <c r="V8" s="221">
        <v>0</v>
      </c>
      <c r="W8" s="221">
        <v>0</v>
      </c>
      <c r="X8" s="221">
        <v>0</v>
      </c>
      <c r="Y8" s="221">
        <v>0</v>
      </c>
      <c r="Z8" s="221">
        <v>0</v>
      </c>
      <c r="AA8" s="221">
        <v>0</v>
      </c>
      <c r="AB8" s="221">
        <v>0</v>
      </c>
      <c r="AC8" s="221">
        <v>0</v>
      </c>
    </row>
    <row r="9" spans="1:29" x14ac:dyDescent="0.3">
      <c r="A9" s="87"/>
      <c r="B9" s="205" t="s">
        <v>172</v>
      </c>
      <c r="C9" s="205" t="s">
        <v>165</v>
      </c>
      <c r="D9" s="205" t="s">
        <v>91</v>
      </c>
      <c r="F9" s="221">
        <v>0</v>
      </c>
      <c r="G9" s="221">
        <v>0</v>
      </c>
      <c r="H9" s="221">
        <v>1008.75</v>
      </c>
      <c r="I9" s="221">
        <v>0</v>
      </c>
      <c r="J9" s="221">
        <v>0</v>
      </c>
      <c r="K9" s="221">
        <v>1008.75</v>
      </c>
      <c r="L9" s="221">
        <v>0</v>
      </c>
      <c r="M9" s="221">
        <v>0</v>
      </c>
      <c r="N9" s="221">
        <v>1008.75</v>
      </c>
      <c r="O9" s="221">
        <v>0</v>
      </c>
      <c r="P9" s="221">
        <v>0</v>
      </c>
      <c r="Q9" s="221">
        <v>1008.75</v>
      </c>
      <c r="R9" s="221">
        <v>0</v>
      </c>
      <c r="S9" s="221">
        <v>0</v>
      </c>
      <c r="T9" s="221">
        <v>1008.75</v>
      </c>
      <c r="U9" s="221">
        <v>0</v>
      </c>
      <c r="V9" s="221">
        <v>0</v>
      </c>
      <c r="W9" s="221">
        <v>1008.75</v>
      </c>
      <c r="X9" s="221">
        <v>0</v>
      </c>
      <c r="Y9" s="221">
        <v>0</v>
      </c>
      <c r="Z9" s="221">
        <v>0</v>
      </c>
      <c r="AA9" s="221">
        <v>0</v>
      </c>
      <c r="AB9" s="221">
        <v>0</v>
      </c>
      <c r="AC9" s="221">
        <v>0</v>
      </c>
    </row>
    <row r="10" spans="1:29" x14ac:dyDescent="0.3">
      <c r="A10" s="87"/>
      <c r="B10" s="205" t="s">
        <v>173</v>
      </c>
      <c r="C10" s="205" t="s">
        <v>166</v>
      </c>
      <c r="D10" s="205" t="s">
        <v>91</v>
      </c>
      <c r="F10" s="221">
        <v>0</v>
      </c>
      <c r="G10" s="221">
        <v>0</v>
      </c>
      <c r="H10" s="221">
        <v>438.85341849999998</v>
      </c>
      <c r="I10" s="221">
        <v>0</v>
      </c>
      <c r="J10" s="221">
        <v>0</v>
      </c>
      <c r="K10" s="221">
        <v>438.85341849999998</v>
      </c>
      <c r="L10" s="221">
        <v>0</v>
      </c>
      <c r="M10" s="221">
        <v>0</v>
      </c>
      <c r="N10" s="221">
        <v>438.85341849999998</v>
      </c>
      <c r="O10" s="221">
        <v>0</v>
      </c>
      <c r="P10" s="221">
        <v>0</v>
      </c>
      <c r="Q10" s="221">
        <v>438.85341849999998</v>
      </c>
      <c r="R10" s="221">
        <v>0</v>
      </c>
      <c r="S10" s="221">
        <v>0</v>
      </c>
      <c r="T10" s="221">
        <v>0</v>
      </c>
      <c r="U10" s="221">
        <v>0</v>
      </c>
      <c r="V10" s="221">
        <v>0</v>
      </c>
      <c r="W10" s="221">
        <v>0</v>
      </c>
      <c r="X10" s="221">
        <v>0</v>
      </c>
      <c r="Y10" s="221">
        <v>0</v>
      </c>
      <c r="Z10" s="221">
        <v>0</v>
      </c>
      <c r="AA10" s="221">
        <v>0</v>
      </c>
      <c r="AB10" s="221">
        <v>0</v>
      </c>
      <c r="AC10" s="221">
        <v>0</v>
      </c>
    </row>
    <row r="11" spans="1:29" x14ac:dyDescent="0.3">
      <c r="A11" s="87"/>
      <c r="B11" s="205" t="s">
        <v>134</v>
      </c>
      <c r="C11" s="205" t="s">
        <v>135</v>
      </c>
      <c r="D11" s="205" t="s">
        <v>91</v>
      </c>
      <c r="F11" s="221">
        <v>0</v>
      </c>
      <c r="G11" s="221">
        <v>0</v>
      </c>
      <c r="H11" s="221">
        <v>0</v>
      </c>
      <c r="I11" s="221">
        <v>0</v>
      </c>
      <c r="J11" s="221">
        <v>0</v>
      </c>
      <c r="K11" s="221">
        <v>0</v>
      </c>
      <c r="L11" s="221">
        <v>0</v>
      </c>
      <c r="M11" s="221">
        <v>0</v>
      </c>
      <c r="N11" s="221">
        <v>0</v>
      </c>
      <c r="O11" s="221">
        <v>0</v>
      </c>
      <c r="P11" s="221">
        <v>0</v>
      </c>
      <c r="Q11" s="221">
        <v>0</v>
      </c>
      <c r="R11" s="221">
        <v>0</v>
      </c>
      <c r="S11" s="221">
        <v>0</v>
      </c>
      <c r="T11" s="221">
        <v>0</v>
      </c>
      <c r="U11" s="221">
        <v>0</v>
      </c>
      <c r="V11" s="221">
        <v>0</v>
      </c>
      <c r="W11" s="221">
        <v>0</v>
      </c>
      <c r="X11" s="221">
        <v>0</v>
      </c>
      <c r="Y11" s="221">
        <v>0</v>
      </c>
      <c r="Z11" s="221">
        <v>406.55448841666663</v>
      </c>
      <c r="AA11" s="221">
        <v>0</v>
      </c>
      <c r="AB11" s="221">
        <v>0</v>
      </c>
      <c r="AC11" s="221">
        <v>0</v>
      </c>
    </row>
    <row r="12" spans="1:29" x14ac:dyDescent="0.3">
      <c r="A12" s="87"/>
      <c r="B12" s="205" t="s">
        <v>126</v>
      </c>
      <c r="C12" s="205" t="s">
        <v>127</v>
      </c>
      <c r="D12" s="205" t="s">
        <v>91</v>
      </c>
      <c r="F12" s="221">
        <v>0</v>
      </c>
      <c r="G12" s="221">
        <v>201.92307692307693</v>
      </c>
      <c r="H12" s="221">
        <v>0</v>
      </c>
      <c r="I12" s="221">
        <v>0</v>
      </c>
      <c r="J12" s="221">
        <v>201.92307692307693</v>
      </c>
      <c r="K12" s="221">
        <v>0</v>
      </c>
      <c r="L12" s="221">
        <v>0</v>
      </c>
      <c r="M12" s="221">
        <v>201.92307692307693</v>
      </c>
      <c r="N12" s="221">
        <v>0</v>
      </c>
      <c r="O12" s="221">
        <v>0</v>
      </c>
      <c r="P12" s="221">
        <v>201.92307692307693</v>
      </c>
      <c r="Q12" s="221">
        <v>0</v>
      </c>
      <c r="R12" s="221">
        <v>0</v>
      </c>
      <c r="S12" s="221">
        <v>201.92307692307693</v>
      </c>
      <c r="T12" s="221">
        <v>0</v>
      </c>
      <c r="U12" s="221">
        <v>0</v>
      </c>
      <c r="V12" s="221">
        <v>201.92307692307693</v>
      </c>
      <c r="W12" s="221">
        <v>0</v>
      </c>
      <c r="X12" s="221">
        <v>0</v>
      </c>
      <c r="Y12" s="221">
        <v>0</v>
      </c>
      <c r="Z12" s="221">
        <v>0</v>
      </c>
      <c r="AA12" s="221">
        <v>0</v>
      </c>
      <c r="AB12" s="221">
        <v>0</v>
      </c>
      <c r="AC12" s="221">
        <v>0</v>
      </c>
    </row>
    <row r="13" spans="1:29" x14ac:dyDescent="0.3">
      <c r="A13" s="87"/>
      <c r="B13" s="205" t="s">
        <v>34</v>
      </c>
      <c r="C13" s="205" t="s">
        <v>35</v>
      </c>
      <c r="D13" s="205" t="s">
        <v>91</v>
      </c>
      <c r="F13" s="221">
        <v>0</v>
      </c>
      <c r="G13" s="221">
        <v>3.5214128711999999</v>
      </c>
      <c r="H13" s="221">
        <v>0</v>
      </c>
      <c r="I13" s="221">
        <v>0</v>
      </c>
      <c r="J13" s="221">
        <v>0</v>
      </c>
      <c r="K13" s="221">
        <v>0</v>
      </c>
      <c r="L13" s="221">
        <v>0</v>
      </c>
      <c r="M13" s="221">
        <v>3.5214128711999999</v>
      </c>
      <c r="N13" s="221">
        <v>0</v>
      </c>
      <c r="O13" s="221">
        <v>0</v>
      </c>
      <c r="P13" s="221">
        <v>0</v>
      </c>
      <c r="Q13" s="221">
        <v>0</v>
      </c>
      <c r="R13" s="221">
        <v>0</v>
      </c>
      <c r="S13" s="221">
        <v>3.5214128711999999</v>
      </c>
      <c r="T13" s="221">
        <v>0</v>
      </c>
      <c r="U13" s="221">
        <v>0</v>
      </c>
      <c r="V13" s="221">
        <v>0</v>
      </c>
      <c r="W13" s="221">
        <v>0</v>
      </c>
      <c r="X13" s="221">
        <v>0</v>
      </c>
      <c r="Y13" s="221">
        <v>3.5383224167999998</v>
      </c>
      <c r="Z13" s="221">
        <v>0</v>
      </c>
      <c r="AA13" s="221">
        <v>0</v>
      </c>
      <c r="AB13" s="221">
        <v>0</v>
      </c>
      <c r="AC13" s="221">
        <v>0</v>
      </c>
    </row>
    <row r="14" spans="1:29" x14ac:dyDescent="0.3">
      <c r="A14" s="87"/>
      <c r="B14" s="205" t="s">
        <v>233</v>
      </c>
      <c r="C14" s="205" t="s">
        <v>235</v>
      </c>
      <c r="D14" s="205" t="s">
        <v>91</v>
      </c>
      <c r="F14" s="221">
        <v>0</v>
      </c>
      <c r="G14" s="221">
        <v>0</v>
      </c>
      <c r="H14" s="221">
        <v>0</v>
      </c>
      <c r="I14" s="221">
        <v>0</v>
      </c>
      <c r="J14" s="221">
        <v>0</v>
      </c>
      <c r="K14" s="221">
        <v>0</v>
      </c>
      <c r="L14" s="221">
        <v>0</v>
      </c>
      <c r="M14" s="221">
        <v>0</v>
      </c>
      <c r="N14" s="221">
        <v>0</v>
      </c>
      <c r="O14" s="221">
        <v>0</v>
      </c>
      <c r="P14" s="221">
        <v>0</v>
      </c>
      <c r="Q14" s="221">
        <v>0</v>
      </c>
      <c r="R14" s="221">
        <v>0</v>
      </c>
      <c r="S14" s="221">
        <v>0</v>
      </c>
      <c r="T14" s="221">
        <v>0</v>
      </c>
      <c r="U14" s="221">
        <v>0</v>
      </c>
      <c r="V14" s="221">
        <v>0</v>
      </c>
      <c r="W14" s="221">
        <v>0</v>
      </c>
      <c r="X14" s="221">
        <v>0</v>
      </c>
      <c r="Y14" s="221">
        <v>0</v>
      </c>
      <c r="Z14" s="221">
        <v>0</v>
      </c>
      <c r="AA14" s="221">
        <v>0</v>
      </c>
      <c r="AB14" s="221">
        <v>0</v>
      </c>
      <c r="AC14" s="221">
        <v>37314.775999999998</v>
      </c>
    </row>
    <row r="15" spans="1:29" x14ac:dyDescent="0.3">
      <c r="A15" s="87"/>
      <c r="B15" s="205" t="s">
        <v>234</v>
      </c>
      <c r="C15" s="205" t="s">
        <v>236</v>
      </c>
      <c r="D15" s="205" t="s">
        <v>91</v>
      </c>
      <c r="F15" s="221">
        <v>0</v>
      </c>
      <c r="G15" s="221">
        <v>0</v>
      </c>
      <c r="H15" s="221">
        <v>0</v>
      </c>
      <c r="I15" s="221">
        <v>0</v>
      </c>
      <c r="J15" s="221">
        <v>0</v>
      </c>
      <c r="K15" s="221">
        <v>0</v>
      </c>
      <c r="L15" s="221">
        <v>0</v>
      </c>
      <c r="M15" s="221">
        <v>0</v>
      </c>
      <c r="N15" s="221">
        <v>0</v>
      </c>
      <c r="O15" s="221">
        <v>0</v>
      </c>
      <c r="P15" s="221">
        <v>0</v>
      </c>
      <c r="Q15" s="221">
        <v>0</v>
      </c>
      <c r="R15" s="221">
        <v>0</v>
      </c>
      <c r="S15" s="221">
        <v>0</v>
      </c>
      <c r="T15" s="221">
        <v>0</v>
      </c>
      <c r="U15" s="221">
        <v>0</v>
      </c>
      <c r="V15" s="221">
        <v>0</v>
      </c>
      <c r="W15" s="221">
        <v>0</v>
      </c>
      <c r="X15" s="221">
        <v>0</v>
      </c>
      <c r="Y15" s="221">
        <v>0</v>
      </c>
      <c r="Z15" s="221">
        <v>0</v>
      </c>
      <c r="AA15" s="221">
        <v>0</v>
      </c>
      <c r="AB15" s="221">
        <v>0</v>
      </c>
      <c r="AC15" s="221">
        <v>0</v>
      </c>
    </row>
    <row r="16" spans="1:29" x14ac:dyDescent="0.3">
      <c r="A16" s="87"/>
      <c r="B16" s="205" t="s">
        <v>3</v>
      </c>
      <c r="C16" s="205" t="s">
        <v>4</v>
      </c>
      <c r="D16" s="205" t="s">
        <v>87</v>
      </c>
      <c r="F16" s="221">
        <v>80.146061861197197</v>
      </c>
      <c r="G16" s="221">
        <v>104.23365951178366</v>
      </c>
      <c r="H16" s="221">
        <v>120.41589298328648</v>
      </c>
      <c r="I16" s="221">
        <v>128.07977323139792</v>
      </c>
      <c r="J16" s="221">
        <v>138.48510001809717</v>
      </c>
      <c r="K16" s="221">
        <v>143.97002204907358</v>
      </c>
      <c r="L16" s="221">
        <v>159.52940087246719</v>
      </c>
      <c r="M16" s="221">
        <v>164.76029292273154</v>
      </c>
      <c r="N16" s="221">
        <v>167.68501631986348</v>
      </c>
      <c r="O16" s="221">
        <v>170.3076474828585</v>
      </c>
      <c r="P16" s="221">
        <v>0</v>
      </c>
      <c r="Q16" s="221">
        <v>0</v>
      </c>
      <c r="R16" s="221">
        <v>0</v>
      </c>
      <c r="S16" s="221">
        <v>0</v>
      </c>
      <c r="T16" s="221">
        <v>0</v>
      </c>
      <c r="U16" s="221">
        <v>0</v>
      </c>
      <c r="V16" s="221">
        <v>0</v>
      </c>
      <c r="W16" s="221">
        <v>0</v>
      </c>
      <c r="X16" s="221">
        <v>0</v>
      </c>
      <c r="Y16" s="221">
        <v>0</v>
      </c>
      <c r="Z16" s="221">
        <v>0</v>
      </c>
      <c r="AA16" s="221">
        <v>0</v>
      </c>
      <c r="AB16" s="221">
        <v>0</v>
      </c>
      <c r="AC16" s="221">
        <v>0</v>
      </c>
    </row>
    <row r="17" spans="1:29" x14ac:dyDescent="0.3">
      <c r="A17" s="87"/>
      <c r="B17" s="205" t="s">
        <v>5</v>
      </c>
      <c r="C17" s="205" t="s">
        <v>6</v>
      </c>
      <c r="D17" s="205" t="s">
        <v>87</v>
      </c>
      <c r="F17" s="221">
        <v>10.94459516691923</v>
      </c>
      <c r="G17" s="221">
        <v>11.088733278711496</v>
      </c>
      <c r="H17" s="221">
        <v>11.234767390185677</v>
      </c>
      <c r="I17" s="221">
        <v>11.382718568062645</v>
      </c>
      <c r="J17" s="221">
        <v>11.532628935672799</v>
      </c>
      <c r="K17" s="221">
        <v>11.684519594108414</v>
      </c>
      <c r="L17" s="221">
        <v>11.838390519999999</v>
      </c>
      <c r="M17" s="221">
        <v>11.99430488</v>
      </c>
      <c r="N17" s="221">
        <v>12.15226272</v>
      </c>
      <c r="O17" s="221">
        <v>12.31230616</v>
      </c>
      <c r="P17" s="221">
        <v>12.474435209999999</v>
      </c>
      <c r="Q17" s="221">
        <v>12.63873411</v>
      </c>
      <c r="R17" s="221">
        <v>12.80518182</v>
      </c>
      <c r="S17" s="221">
        <v>12.973820469999998</v>
      </c>
      <c r="T17" s="221">
        <v>12.97382043</v>
      </c>
      <c r="U17" s="221">
        <v>12.97382043</v>
      </c>
      <c r="V17" s="221">
        <v>12.97382043</v>
      </c>
      <c r="W17" s="221">
        <v>12.97382043</v>
      </c>
      <c r="X17" s="221">
        <v>12.97382043</v>
      </c>
      <c r="Y17" s="221">
        <v>12.97382043</v>
      </c>
      <c r="Z17" s="221">
        <v>12.97382043</v>
      </c>
      <c r="AA17" s="221">
        <v>12.97382043</v>
      </c>
      <c r="AB17" s="221">
        <v>12.97382043</v>
      </c>
      <c r="AC17" s="221">
        <v>12.97382043</v>
      </c>
    </row>
    <row r="18" spans="1:29" x14ac:dyDescent="0.3">
      <c r="A18" s="87"/>
      <c r="B18" s="205" t="s">
        <v>9</v>
      </c>
      <c r="C18" s="205" t="s">
        <v>10</v>
      </c>
      <c r="D18" s="205" t="s">
        <v>87</v>
      </c>
      <c r="F18" s="221">
        <v>1.1822483319961241</v>
      </c>
      <c r="G18" s="221">
        <v>1.197818304133444</v>
      </c>
      <c r="H18" s="221">
        <v>1.2135930944019933</v>
      </c>
      <c r="I18" s="221">
        <v>1.2295749486517167</v>
      </c>
      <c r="J18" s="221">
        <v>1.2457684378765228</v>
      </c>
      <c r="K18" s="221">
        <v>1.262175859593023</v>
      </c>
      <c r="L18" s="221">
        <v>1.2787971802297895</v>
      </c>
      <c r="M18" s="221">
        <v>1.295639241511628</v>
      </c>
      <c r="N18" s="221">
        <v>1.3127020356976744</v>
      </c>
      <c r="O18" s="221">
        <v>1.3299901196113377</v>
      </c>
      <c r="P18" s="221">
        <v>1.347503493618857</v>
      </c>
      <c r="Q18" s="221">
        <v>1.3652512461283288</v>
      </c>
      <c r="R18" s="221">
        <v>1.3832311408153957</v>
      </c>
      <c r="S18" s="221">
        <v>1.4014476895148205</v>
      </c>
      <c r="T18" s="221">
        <v>1.4014476795148203</v>
      </c>
      <c r="U18" s="221">
        <v>1.4014476795148203</v>
      </c>
      <c r="V18" s="221">
        <v>1.4014476795148203</v>
      </c>
      <c r="W18" s="221">
        <v>1.4014476795148203</v>
      </c>
      <c r="X18" s="221">
        <v>1.4014476795148203</v>
      </c>
      <c r="Y18" s="221">
        <v>1.4014476795148203</v>
      </c>
      <c r="Z18" s="221">
        <v>1.4014476795148203</v>
      </c>
      <c r="AA18" s="221">
        <v>1.4014476795148203</v>
      </c>
      <c r="AB18" s="221">
        <v>1.4014476795148203</v>
      </c>
      <c r="AC18" s="221">
        <v>1.4014476795148203</v>
      </c>
    </row>
    <row r="19" spans="1:29" x14ac:dyDescent="0.3">
      <c r="A19" s="87"/>
      <c r="B19" s="205" t="s">
        <v>189</v>
      </c>
      <c r="C19" s="205" t="s">
        <v>240</v>
      </c>
      <c r="D19" s="205" t="s">
        <v>87</v>
      </c>
      <c r="F19" s="221">
        <v>0</v>
      </c>
      <c r="G19" s="221">
        <v>0</v>
      </c>
      <c r="H19" s="221">
        <v>0</v>
      </c>
      <c r="I19" s="221">
        <v>0</v>
      </c>
      <c r="J19" s="221">
        <v>0</v>
      </c>
      <c r="K19" s="221">
        <v>0</v>
      </c>
      <c r="L19" s="221">
        <v>0</v>
      </c>
      <c r="M19" s="221">
        <v>0</v>
      </c>
      <c r="N19" s="221">
        <v>0</v>
      </c>
      <c r="O19" s="221">
        <v>8.9371403079017924</v>
      </c>
      <c r="P19" s="221">
        <v>9.5989890774485538</v>
      </c>
      <c r="Q19" s="221">
        <v>10.198976402173823</v>
      </c>
      <c r="R19" s="221">
        <v>10.824338636989163</v>
      </c>
      <c r="S19" s="221">
        <v>11.330867097003706</v>
      </c>
      <c r="T19" s="221">
        <v>11.330867097003706</v>
      </c>
      <c r="U19" s="221">
        <v>11.330867097003706</v>
      </c>
      <c r="V19" s="221">
        <v>11.330867097003706</v>
      </c>
      <c r="W19" s="221">
        <v>11.330867097003706</v>
      </c>
      <c r="X19" s="221">
        <v>11.330867097003706</v>
      </c>
      <c r="Y19" s="221">
        <v>11.330867097003706</v>
      </c>
      <c r="Z19" s="221">
        <v>11.330867097003706</v>
      </c>
      <c r="AA19" s="221">
        <v>11.330867097003706</v>
      </c>
      <c r="AB19" s="221">
        <v>11.330867097003706</v>
      </c>
      <c r="AC19" s="221">
        <v>11.330867097003706</v>
      </c>
    </row>
    <row r="20" spans="1:29" x14ac:dyDescent="0.3">
      <c r="A20" s="87"/>
      <c r="B20" s="205" t="s">
        <v>140</v>
      </c>
      <c r="C20" s="205" t="s">
        <v>141</v>
      </c>
      <c r="D20" s="205" t="s">
        <v>88</v>
      </c>
      <c r="F20" s="221">
        <v>358.91512632999996</v>
      </c>
      <c r="G20" s="221">
        <v>358.91512632999996</v>
      </c>
      <c r="H20" s="221">
        <v>358.91512632999996</v>
      </c>
      <c r="I20" s="221">
        <v>358.91512632999996</v>
      </c>
      <c r="J20" s="221">
        <v>358.91512632999996</v>
      </c>
      <c r="K20" s="221">
        <v>358.91512632999996</v>
      </c>
      <c r="L20" s="221">
        <v>358.91512632999996</v>
      </c>
      <c r="M20" s="221">
        <v>358.91512632999996</v>
      </c>
      <c r="N20" s="221">
        <v>358.91512632999996</v>
      </c>
      <c r="O20" s="221">
        <v>358.91512632999996</v>
      </c>
      <c r="P20" s="221">
        <v>358.91512632999996</v>
      </c>
      <c r="Q20" s="221">
        <v>358.91512632999996</v>
      </c>
      <c r="R20" s="221">
        <v>358.91512632999996</v>
      </c>
      <c r="S20" s="221">
        <v>358.91512632999996</v>
      </c>
      <c r="T20" s="221">
        <v>358.91512632999996</v>
      </c>
      <c r="U20" s="221">
        <v>358.91512632999996</v>
      </c>
      <c r="V20" s="221">
        <v>358.91512632999996</v>
      </c>
      <c r="W20" s="221">
        <v>358.91512632999996</v>
      </c>
      <c r="X20" s="221">
        <v>358.91512632999996</v>
      </c>
      <c r="Y20" s="221">
        <v>358.91512632999996</v>
      </c>
      <c r="Z20" s="221">
        <v>358.91512632999996</v>
      </c>
      <c r="AA20" s="221">
        <v>358.91512632999996</v>
      </c>
      <c r="AB20" s="221">
        <v>358.91512632999996</v>
      </c>
      <c r="AC20" s="221">
        <v>358.91512632999996</v>
      </c>
    </row>
    <row r="21" spans="1:29" customFormat="1" ht="6.75" customHeight="1" x14ac:dyDescent="0.25">
      <c r="B21" s="4"/>
      <c r="C21" s="4"/>
      <c r="D21" s="4"/>
      <c r="E21" s="119"/>
      <c r="F21" s="120"/>
      <c r="G21" s="120"/>
      <c r="H21" s="120"/>
      <c r="I21" s="120"/>
      <c r="J21" s="120"/>
      <c r="K21" s="120"/>
      <c r="L21" s="120"/>
      <c r="M21" s="120"/>
      <c r="N21" s="120"/>
      <c r="O21" s="120"/>
      <c r="P21" s="120"/>
      <c r="Q21" s="120"/>
      <c r="R21" s="120"/>
      <c r="S21" s="120"/>
      <c r="T21" s="120"/>
      <c r="U21" s="120"/>
    </row>
    <row r="22" spans="1:29" ht="28.5" customHeight="1" x14ac:dyDescent="0.3">
      <c r="B22" s="315" t="s">
        <v>37</v>
      </c>
      <c r="C22" s="315"/>
      <c r="D22" s="315"/>
      <c r="E22" s="118"/>
      <c r="F22" s="184">
        <f>+SUM(F7:F20)</f>
        <v>456.51518149011252</v>
      </c>
      <c r="G22" s="184">
        <f>+SUM(G7:G20)</f>
        <v>680.87982721890558</v>
      </c>
      <c r="H22" s="184">
        <f t="shared" ref="H22:AC22" si="2">+SUM(H7:H20)</f>
        <v>1939.3827982978742</v>
      </c>
      <c r="I22" s="184">
        <f t="shared" si="2"/>
        <v>505.15820720811223</v>
      </c>
      <c r="J22" s="184">
        <f t="shared" si="2"/>
        <v>712.10170064472345</v>
      </c>
      <c r="K22" s="184">
        <f t="shared" si="2"/>
        <v>12516.610520739485</v>
      </c>
      <c r="L22" s="184">
        <f t="shared" si="2"/>
        <v>537.14994530269689</v>
      </c>
      <c r="M22" s="184">
        <f t="shared" si="2"/>
        <v>742.40985316852016</v>
      </c>
      <c r="N22" s="184">
        <f t="shared" si="2"/>
        <v>1987.668525905561</v>
      </c>
      <c r="O22" s="184">
        <f t="shared" si="2"/>
        <v>557.41327360037155</v>
      </c>
      <c r="P22" s="184">
        <f t="shared" si="2"/>
        <v>584.25913103414427</v>
      </c>
      <c r="Q22" s="184">
        <f t="shared" si="2"/>
        <v>15378.729286953672</v>
      </c>
      <c r="R22" s="184">
        <f t="shared" si="2"/>
        <v>389.7608228578045</v>
      </c>
      <c r="S22" s="184">
        <f t="shared" si="2"/>
        <v>590.0657513807954</v>
      </c>
      <c r="T22" s="184">
        <f t="shared" si="2"/>
        <v>1393.3712615365187</v>
      </c>
      <c r="U22" s="184">
        <f t="shared" si="2"/>
        <v>390.64426477651847</v>
      </c>
      <c r="V22" s="184">
        <f t="shared" si="2"/>
        <v>586.54433845959545</v>
      </c>
      <c r="W22" s="184">
        <f t="shared" si="2"/>
        <v>1393.3712615365187</v>
      </c>
      <c r="X22" s="184">
        <f t="shared" si="2"/>
        <v>390.7162299165185</v>
      </c>
      <c r="Y22" s="184">
        <f t="shared" si="2"/>
        <v>388.15958395331847</v>
      </c>
      <c r="Z22" s="184">
        <f t="shared" si="2"/>
        <v>791.17574995318512</v>
      </c>
      <c r="AA22" s="184">
        <f t="shared" si="2"/>
        <v>390.86955165651847</v>
      </c>
      <c r="AB22" s="184">
        <f t="shared" si="2"/>
        <v>384.62126153651849</v>
      </c>
      <c r="AC22" s="184">
        <f t="shared" si="2"/>
        <v>37699.39726153652</v>
      </c>
    </row>
    <row r="23" spans="1:29" x14ac:dyDescent="0.3">
      <c r="B23" s="320" t="s">
        <v>181</v>
      </c>
      <c r="C23" s="320"/>
      <c r="D23" s="320"/>
      <c r="E23" s="118"/>
      <c r="F23" s="118"/>
      <c r="G23" s="118"/>
      <c r="H23" s="118"/>
      <c r="I23" s="118"/>
      <c r="J23" s="118"/>
      <c r="K23" s="118"/>
      <c r="L23" s="118"/>
      <c r="M23" s="118"/>
      <c r="N23" s="118"/>
      <c r="O23" s="118"/>
      <c r="P23" s="118"/>
      <c r="Q23" s="118"/>
    </row>
    <row r="24" spans="1:29" x14ac:dyDescent="0.3">
      <c r="B24" s="320"/>
      <c r="C24" s="320"/>
      <c r="D24" s="320"/>
      <c r="E24" s="118"/>
      <c r="F24" s="118"/>
      <c r="G24" s="118"/>
    </row>
    <row r="25" spans="1:29" ht="16.5" customHeight="1" x14ac:dyDescent="0.3">
      <c r="B25" s="320"/>
      <c r="C25" s="320"/>
      <c r="D25" s="320"/>
      <c r="E25" s="118"/>
    </row>
    <row r="26" spans="1:29" x14ac:dyDescent="0.3">
      <c r="B26" s="320"/>
      <c r="C26" s="320"/>
      <c r="D26" s="320"/>
      <c r="E26" s="118"/>
    </row>
    <row r="27" spans="1:29" x14ac:dyDescent="0.3">
      <c r="B27" s="121"/>
      <c r="C27" s="121"/>
      <c r="D27" s="121"/>
      <c r="E27" s="118"/>
    </row>
    <row r="28" spans="1:29" x14ac:dyDescent="0.3">
      <c r="B28" s="116"/>
      <c r="C28" s="121"/>
      <c r="D28" s="121"/>
      <c r="E28" s="118"/>
    </row>
    <row r="29" spans="1:29" ht="30.75" customHeight="1" x14ac:dyDescent="0.3">
      <c r="B29" s="307" t="s">
        <v>96</v>
      </c>
      <c r="C29" s="307"/>
      <c r="D29" s="307"/>
      <c r="E29" s="118"/>
      <c r="F29" s="117"/>
      <c r="G29" s="117"/>
      <c r="H29" s="117"/>
      <c r="I29" s="117"/>
      <c r="J29" s="117"/>
      <c r="K29" s="117"/>
      <c r="L29" s="117"/>
      <c r="M29" s="117"/>
      <c r="N29" s="117"/>
      <c r="O29" s="117"/>
      <c r="P29" s="117"/>
      <c r="Q29" s="117"/>
    </row>
    <row r="30" spans="1:29" x14ac:dyDescent="0.3">
      <c r="B30" s="316" t="s">
        <v>0</v>
      </c>
      <c r="C30" s="318" t="s">
        <v>1</v>
      </c>
      <c r="D30" s="318" t="s">
        <v>93</v>
      </c>
      <c r="E30" s="118"/>
      <c r="F30" s="185">
        <v>2024</v>
      </c>
      <c r="G30" s="185">
        <v>2024</v>
      </c>
      <c r="H30" s="185">
        <v>2024</v>
      </c>
      <c r="I30" s="185">
        <v>2024</v>
      </c>
      <c r="J30" s="185">
        <v>2024</v>
      </c>
      <c r="K30" s="185">
        <v>2024</v>
      </c>
      <c r="L30" s="185">
        <v>2024</v>
      </c>
      <c r="M30" s="185">
        <v>2024</v>
      </c>
      <c r="N30" s="185">
        <v>2024</v>
      </c>
      <c r="O30" s="185">
        <v>2024</v>
      </c>
      <c r="P30" s="185">
        <v>2024</v>
      </c>
      <c r="Q30" s="185">
        <v>2024</v>
      </c>
      <c r="R30" s="185">
        <v>2025</v>
      </c>
      <c r="S30" s="185">
        <v>2025</v>
      </c>
      <c r="T30" s="185">
        <v>2025</v>
      </c>
      <c r="U30" s="185">
        <v>2025</v>
      </c>
      <c r="V30" s="185">
        <v>2025</v>
      </c>
      <c r="W30" s="185">
        <v>2025</v>
      </c>
      <c r="X30" s="185">
        <v>2025</v>
      </c>
      <c r="Y30" s="185">
        <v>2025</v>
      </c>
      <c r="Z30" s="185">
        <v>2025</v>
      </c>
      <c r="AA30" s="185">
        <v>2025</v>
      </c>
      <c r="AB30" s="185">
        <v>2025</v>
      </c>
      <c r="AC30" s="185">
        <v>2025</v>
      </c>
    </row>
    <row r="31" spans="1:29" x14ac:dyDescent="0.3">
      <c r="B31" s="317"/>
      <c r="C31" s="319"/>
      <c r="D31" s="319"/>
      <c r="E31" s="118"/>
      <c r="F31" s="185">
        <v>1</v>
      </c>
      <c r="G31" s="185">
        <f>+F31+1</f>
        <v>2</v>
      </c>
      <c r="H31" s="185">
        <f t="shared" ref="H31:Q31" si="3">+G31+1</f>
        <v>3</v>
      </c>
      <c r="I31" s="185">
        <f t="shared" si="3"/>
        <v>4</v>
      </c>
      <c r="J31" s="185">
        <f t="shared" si="3"/>
        <v>5</v>
      </c>
      <c r="K31" s="185">
        <f t="shared" si="3"/>
        <v>6</v>
      </c>
      <c r="L31" s="185">
        <f t="shared" si="3"/>
        <v>7</v>
      </c>
      <c r="M31" s="185">
        <f t="shared" si="3"/>
        <v>8</v>
      </c>
      <c r="N31" s="185">
        <f t="shared" si="3"/>
        <v>9</v>
      </c>
      <c r="O31" s="185">
        <f t="shared" si="3"/>
        <v>10</v>
      </c>
      <c r="P31" s="185">
        <f t="shared" si="3"/>
        <v>11</v>
      </c>
      <c r="Q31" s="185">
        <f t="shared" si="3"/>
        <v>12</v>
      </c>
      <c r="R31" s="185">
        <v>1</v>
      </c>
      <c r="S31" s="185">
        <f t="shared" ref="S31:AC31" si="4">+R31+1</f>
        <v>2</v>
      </c>
      <c r="T31" s="185">
        <f t="shared" si="4"/>
        <v>3</v>
      </c>
      <c r="U31" s="185">
        <f t="shared" si="4"/>
        <v>4</v>
      </c>
      <c r="V31" s="185">
        <f t="shared" si="4"/>
        <v>5</v>
      </c>
      <c r="W31" s="185">
        <f t="shared" si="4"/>
        <v>6</v>
      </c>
      <c r="X31" s="185">
        <f t="shared" si="4"/>
        <v>7</v>
      </c>
      <c r="Y31" s="185">
        <f t="shared" si="4"/>
        <v>8</v>
      </c>
      <c r="Z31" s="185">
        <f t="shared" si="4"/>
        <v>9</v>
      </c>
      <c r="AA31" s="185">
        <f t="shared" si="4"/>
        <v>10</v>
      </c>
      <c r="AB31" s="185">
        <f t="shared" si="4"/>
        <v>11</v>
      </c>
      <c r="AC31" s="185">
        <f t="shared" si="4"/>
        <v>12</v>
      </c>
    </row>
    <row r="32" spans="1:29" x14ac:dyDescent="0.3">
      <c r="A32" s="18" t="s">
        <v>40</v>
      </c>
      <c r="B32" s="205" t="s">
        <v>13</v>
      </c>
      <c r="C32" s="205" t="s">
        <v>14</v>
      </c>
      <c r="D32" s="205" t="s">
        <v>90</v>
      </c>
      <c r="E32" s="118"/>
      <c r="F32" s="221">
        <v>0</v>
      </c>
      <c r="G32" s="221">
        <v>0</v>
      </c>
      <c r="H32" s="221">
        <v>0</v>
      </c>
      <c r="I32" s="221">
        <v>0</v>
      </c>
      <c r="J32" s="221">
        <v>0</v>
      </c>
      <c r="K32" s="221">
        <v>1.42576605</v>
      </c>
      <c r="L32" s="221">
        <v>0</v>
      </c>
      <c r="M32" s="221">
        <v>0</v>
      </c>
      <c r="N32" s="221">
        <v>0</v>
      </c>
      <c r="O32" s="221">
        <v>0</v>
      </c>
      <c r="P32" s="221">
        <v>0</v>
      </c>
      <c r="Q32" s="221">
        <v>1.4257660471664431</v>
      </c>
      <c r="R32" s="221">
        <v>0</v>
      </c>
      <c r="S32" s="221">
        <v>0</v>
      </c>
      <c r="T32" s="221">
        <v>0</v>
      </c>
      <c r="U32" s="221">
        <v>0</v>
      </c>
      <c r="V32" s="221">
        <v>0</v>
      </c>
      <c r="W32" s="221">
        <v>1.4257660471664431</v>
      </c>
      <c r="X32" s="221">
        <v>0</v>
      </c>
      <c r="Y32" s="221">
        <v>0</v>
      </c>
      <c r="Z32" s="221">
        <v>0</v>
      </c>
      <c r="AA32" s="221">
        <v>0</v>
      </c>
      <c r="AB32" s="221">
        <v>0</v>
      </c>
      <c r="AC32" s="221">
        <v>1.4257660471664431</v>
      </c>
    </row>
    <row r="33" spans="1:29" x14ac:dyDescent="0.3">
      <c r="A33" s="18" t="s">
        <v>40</v>
      </c>
      <c r="B33" s="205" t="s">
        <v>19</v>
      </c>
      <c r="C33" s="205" t="s">
        <v>20</v>
      </c>
      <c r="D33" s="205" t="s">
        <v>90</v>
      </c>
      <c r="E33" s="118"/>
      <c r="F33" s="221">
        <v>0</v>
      </c>
      <c r="G33" s="221">
        <v>1.2705903105221876</v>
      </c>
      <c r="H33" s="221">
        <v>0</v>
      </c>
      <c r="I33" s="221">
        <v>0</v>
      </c>
      <c r="J33" s="221">
        <v>0</v>
      </c>
      <c r="K33" s="221">
        <v>0</v>
      </c>
      <c r="L33" s="221">
        <v>0</v>
      </c>
      <c r="M33" s="221">
        <v>1.27059031</v>
      </c>
      <c r="N33" s="221">
        <v>0</v>
      </c>
      <c r="O33" s="221">
        <v>0</v>
      </c>
      <c r="P33" s="221">
        <v>0</v>
      </c>
      <c r="Q33" s="221">
        <v>0</v>
      </c>
      <c r="R33" s="221">
        <v>0</v>
      </c>
      <c r="S33" s="221">
        <v>1.27059031</v>
      </c>
      <c r="T33" s="221">
        <v>0</v>
      </c>
      <c r="U33" s="221">
        <v>0</v>
      </c>
      <c r="V33" s="221">
        <v>0</v>
      </c>
      <c r="W33" s="221">
        <v>0</v>
      </c>
      <c r="X33" s="221">
        <v>0</v>
      </c>
      <c r="Y33" s="221">
        <v>1.2705903105221876</v>
      </c>
      <c r="Z33" s="221">
        <v>0</v>
      </c>
      <c r="AA33" s="221">
        <v>0</v>
      </c>
      <c r="AB33" s="221">
        <v>0</v>
      </c>
      <c r="AC33" s="221">
        <v>0</v>
      </c>
    </row>
    <row r="34" spans="1:29" x14ac:dyDescent="0.3">
      <c r="A34" s="18" t="s">
        <v>40</v>
      </c>
      <c r="B34" s="205" t="s">
        <v>15</v>
      </c>
      <c r="C34" s="205" t="s">
        <v>16</v>
      </c>
      <c r="D34" s="205" t="s">
        <v>90</v>
      </c>
      <c r="E34" s="118"/>
      <c r="F34" s="221">
        <v>0</v>
      </c>
      <c r="G34" s="221">
        <v>0</v>
      </c>
      <c r="H34" s="221">
        <v>0</v>
      </c>
      <c r="I34" s="221">
        <v>1.44594277</v>
      </c>
      <c r="J34" s="221">
        <v>0</v>
      </c>
      <c r="K34" s="221">
        <v>0</v>
      </c>
      <c r="L34" s="221">
        <v>0</v>
      </c>
      <c r="M34" s="221">
        <v>0</v>
      </c>
      <c r="N34" s="221">
        <v>0</v>
      </c>
      <c r="O34" s="221">
        <v>1.44594277</v>
      </c>
      <c r="P34" s="221">
        <v>0</v>
      </c>
      <c r="Q34" s="221">
        <v>0</v>
      </c>
      <c r="R34" s="155">
        <v>0</v>
      </c>
      <c r="S34" s="221">
        <v>0</v>
      </c>
      <c r="T34" s="221">
        <v>0</v>
      </c>
      <c r="U34" s="221">
        <v>1.445942759999999</v>
      </c>
      <c r="V34" s="221">
        <v>0</v>
      </c>
      <c r="W34" s="221">
        <v>0</v>
      </c>
      <c r="X34" s="221">
        <v>0</v>
      </c>
      <c r="Y34" s="221">
        <v>0</v>
      </c>
      <c r="Z34" s="221">
        <v>0</v>
      </c>
      <c r="AA34" s="221">
        <v>1.445942759999999</v>
      </c>
      <c r="AB34" s="221">
        <v>0</v>
      </c>
      <c r="AC34" s="221">
        <v>0</v>
      </c>
    </row>
    <row r="35" spans="1:29" x14ac:dyDescent="0.3">
      <c r="A35" s="18" t="s">
        <v>40</v>
      </c>
      <c r="B35" s="205" t="s">
        <v>17</v>
      </c>
      <c r="C35" s="205" t="s">
        <v>18</v>
      </c>
      <c r="D35" s="205" t="s">
        <v>90</v>
      </c>
      <c r="E35" s="118"/>
      <c r="F35" s="221">
        <v>0</v>
      </c>
      <c r="G35" s="221">
        <v>2.4354049257142849</v>
      </c>
      <c r="H35" s="221">
        <v>0</v>
      </c>
      <c r="I35" s="221">
        <v>0</v>
      </c>
      <c r="J35" s="221">
        <v>0</v>
      </c>
      <c r="K35" s="221">
        <v>0</v>
      </c>
      <c r="L35" s="221">
        <v>0</v>
      </c>
      <c r="M35" s="221">
        <v>2.4354049300000002</v>
      </c>
      <c r="N35" s="221">
        <v>0</v>
      </c>
      <c r="O35" s="221">
        <v>0</v>
      </c>
      <c r="P35" s="221">
        <v>0</v>
      </c>
      <c r="Q35" s="221">
        <v>0</v>
      </c>
      <c r="R35" s="155">
        <v>0</v>
      </c>
      <c r="S35" s="221">
        <v>2.4354049257142849</v>
      </c>
      <c r="T35" s="221">
        <v>0</v>
      </c>
      <c r="U35" s="221">
        <v>0</v>
      </c>
      <c r="V35" s="221">
        <v>0</v>
      </c>
      <c r="W35" s="221">
        <v>0</v>
      </c>
      <c r="X35" s="221">
        <v>0</v>
      </c>
      <c r="Y35" s="221">
        <v>2.4354049257142849</v>
      </c>
      <c r="Z35" s="221">
        <v>0</v>
      </c>
      <c r="AA35" s="221">
        <v>0</v>
      </c>
      <c r="AB35" s="221">
        <v>0</v>
      </c>
      <c r="AC35" s="221">
        <v>0</v>
      </c>
    </row>
    <row r="36" spans="1:29" x14ac:dyDescent="0.3">
      <c r="A36" s="18" t="s">
        <v>40</v>
      </c>
      <c r="B36" s="205" t="s">
        <v>23</v>
      </c>
      <c r="C36" s="205" t="s">
        <v>24</v>
      </c>
      <c r="D36" s="205" t="s">
        <v>90</v>
      </c>
      <c r="E36" s="118"/>
      <c r="F36" s="221">
        <v>0</v>
      </c>
      <c r="G36" s="221">
        <v>0</v>
      </c>
      <c r="H36" s="221">
        <v>0</v>
      </c>
      <c r="I36" s="221">
        <v>0.3826226830985438</v>
      </c>
      <c r="J36" s="221">
        <v>0</v>
      </c>
      <c r="K36" s="221">
        <v>0</v>
      </c>
      <c r="L36" s="221">
        <v>0</v>
      </c>
      <c r="M36" s="221">
        <v>0</v>
      </c>
      <c r="N36" s="221">
        <v>0</v>
      </c>
      <c r="O36" s="221">
        <v>0.38262267999999999</v>
      </c>
      <c r="P36" s="221">
        <v>0</v>
      </c>
      <c r="Q36" s="221">
        <v>0</v>
      </c>
      <c r="R36" s="155">
        <v>0</v>
      </c>
      <c r="S36" s="221">
        <v>0</v>
      </c>
      <c r="T36" s="221">
        <v>0</v>
      </c>
      <c r="U36" s="221">
        <v>0.38262268318707354</v>
      </c>
      <c r="V36" s="221">
        <v>0</v>
      </c>
      <c r="W36" s="221">
        <v>0</v>
      </c>
      <c r="X36" s="221">
        <v>0</v>
      </c>
      <c r="Y36" s="221">
        <v>0</v>
      </c>
      <c r="Z36" s="221">
        <v>0</v>
      </c>
      <c r="AA36" s="221">
        <v>0.38262268318707354</v>
      </c>
      <c r="AB36" s="221">
        <v>0</v>
      </c>
      <c r="AC36" s="221">
        <v>0</v>
      </c>
    </row>
    <row r="37" spans="1:29" x14ac:dyDescent="0.3">
      <c r="A37" s="18" t="s">
        <v>40</v>
      </c>
      <c r="B37" s="205" t="s">
        <v>21</v>
      </c>
      <c r="C37" s="205" t="s">
        <v>22</v>
      </c>
      <c r="D37" s="205" t="s">
        <v>90</v>
      </c>
      <c r="E37" s="118"/>
      <c r="F37" s="221">
        <v>0</v>
      </c>
      <c r="G37" s="221">
        <v>0</v>
      </c>
      <c r="H37" s="221">
        <v>0</v>
      </c>
      <c r="I37" s="221">
        <v>0</v>
      </c>
      <c r="J37" s="221">
        <v>0.19690853</v>
      </c>
      <c r="K37" s="221">
        <v>0</v>
      </c>
      <c r="L37" s="221">
        <v>0</v>
      </c>
      <c r="M37" s="221">
        <v>0</v>
      </c>
      <c r="N37" s="221">
        <v>0</v>
      </c>
      <c r="O37" s="221">
        <v>0</v>
      </c>
      <c r="P37" s="221">
        <v>0.196908532</v>
      </c>
      <c r="Q37" s="221">
        <v>0</v>
      </c>
      <c r="R37" s="155">
        <v>0</v>
      </c>
      <c r="S37" s="221">
        <v>0</v>
      </c>
      <c r="T37" s="221">
        <v>0</v>
      </c>
      <c r="U37" s="221">
        <v>0</v>
      </c>
      <c r="V37" s="221">
        <v>0.19690854065460509</v>
      </c>
      <c r="W37" s="221">
        <v>0</v>
      </c>
      <c r="X37" s="221">
        <v>0</v>
      </c>
      <c r="Y37" s="221">
        <v>0</v>
      </c>
      <c r="Z37" s="221">
        <v>0</v>
      </c>
      <c r="AA37" s="221">
        <v>0</v>
      </c>
      <c r="AB37" s="221">
        <v>0.19690854065460511</v>
      </c>
      <c r="AC37" s="221">
        <v>0</v>
      </c>
    </row>
    <row r="38" spans="1:29" x14ac:dyDescent="0.3">
      <c r="A38" s="18" t="s">
        <v>40</v>
      </c>
      <c r="B38" s="205" t="s">
        <v>123</v>
      </c>
      <c r="C38" s="205" t="s">
        <v>124</v>
      </c>
      <c r="D38" s="205" t="s">
        <v>90</v>
      </c>
      <c r="E38" s="118"/>
      <c r="F38" s="221">
        <v>0</v>
      </c>
      <c r="G38" s="221">
        <v>0</v>
      </c>
      <c r="H38" s="221">
        <v>0</v>
      </c>
      <c r="I38" s="221">
        <v>0</v>
      </c>
      <c r="J38" s="221">
        <v>0</v>
      </c>
      <c r="K38" s="221">
        <v>0</v>
      </c>
      <c r="L38" s="221">
        <v>0</v>
      </c>
      <c r="M38" s="221">
        <v>0</v>
      </c>
      <c r="N38" s="221">
        <v>0</v>
      </c>
      <c r="O38" s="221">
        <v>0</v>
      </c>
      <c r="P38" s="221">
        <v>0</v>
      </c>
      <c r="Q38" s="221">
        <v>0</v>
      </c>
      <c r="R38" s="155">
        <v>0</v>
      </c>
      <c r="S38" s="221">
        <v>0</v>
      </c>
      <c r="T38" s="221">
        <v>0</v>
      </c>
      <c r="U38" s="221">
        <v>0</v>
      </c>
      <c r="V38" s="221">
        <v>0.86129999999999995</v>
      </c>
      <c r="W38" s="221">
        <v>0</v>
      </c>
      <c r="X38" s="221">
        <v>0</v>
      </c>
      <c r="Y38" s="221">
        <v>0</v>
      </c>
      <c r="Z38" s="221">
        <v>0</v>
      </c>
      <c r="AA38" s="221">
        <v>0</v>
      </c>
      <c r="AB38" s="221">
        <v>0.86129999999999995</v>
      </c>
      <c r="AC38" s="221">
        <v>0</v>
      </c>
    </row>
    <row r="39" spans="1:29" x14ac:dyDescent="0.3">
      <c r="A39" s="18"/>
      <c r="B39" s="205" t="s">
        <v>143</v>
      </c>
      <c r="C39" s="205" t="s">
        <v>214</v>
      </c>
      <c r="D39" s="205" t="s">
        <v>90</v>
      </c>
      <c r="E39" s="118"/>
      <c r="F39" s="221">
        <v>0</v>
      </c>
      <c r="G39" s="221">
        <v>0</v>
      </c>
      <c r="H39" s="221">
        <v>0</v>
      </c>
      <c r="I39" s="221">
        <v>0</v>
      </c>
      <c r="J39" s="221">
        <v>0</v>
      </c>
      <c r="K39" s="221">
        <v>0</v>
      </c>
      <c r="L39" s="221">
        <v>0</v>
      </c>
      <c r="M39" s="221">
        <v>0</v>
      </c>
      <c r="N39" s="221">
        <v>0</v>
      </c>
      <c r="O39" s="221">
        <v>0</v>
      </c>
      <c r="P39" s="221">
        <v>0</v>
      </c>
      <c r="Q39" s="221">
        <v>0</v>
      </c>
      <c r="R39" s="155">
        <v>0</v>
      </c>
      <c r="S39" s="221">
        <v>0</v>
      </c>
      <c r="T39" s="221">
        <v>0</v>
      </c>
      <c r="U39" s="221">
        <v>0</v>
      </c>
      <c r="V39" s="221">
        <v>0</v>
      </c>
      <c r="W39" s="221">
        <v>0</v>
      </c>
      <c r="X39" s="221">
        <v>0</v>
      </c>
      <c r="Y39" s="221">
        <v>0</v>
      </c>
      <c r="Z39" s="221">
        <v>0</v>
      </c>
      <c r="AA39" s="221">
        <v>0</v>
      </c>
      <c r="AB39" s="221">
        <v>0</v>
      </c>
      <c r="AC39" s="221">
        <v>0</v>
      </c>
    </row>
    <row r="40" spans="1:29" x14ac:dyDescent="0.3">
      <c r="A40" s="18" t="s">
        <v>40</v>
      </c>
      <c r="B40" s="205" t="s">
        <v>25</v>
      </c>
      <c r="C40" s="205" t="s">
        <v>26</v>
      </c>
      <c r="D40" s="205" t="s">
        <v>90</v>
      </c>
      <c r="E40" s="118"/>
      <c r="F40" s="221">
        <v>0</v>
      </c>
      <c r="G40" s="221">
        <v>0</v>
      </c>
      <c r="H40" s="221">
        <v>0</v>
      </c>
      <c r="I40" s="221">
        <v>0.12026002000000001</v>
      </c>
      <c r="J40" s="221">
        <v>0</v>
      </c>
      <c r="K40" s="221">
        <v>0</v>
      </c>
      <c r="L40" s="221">
        <v>0</v>
      </c>
      <c r="M40" s="221">
        <v>0</v>
      </c>
      <c r="N40" s="221">
        <v>0</v>
      </c>
      <c r="O40" s="221">
        <v>0.12025115</v>
      </c>
      <c r="P40" s="221">
        <v>0</v>
      </c>
      <c r="Q40" s="221">
        <v>0</v>
      </c>
      <c r="R40" s="155">
        <v>0</v>
      </c>
      <c r="S40" s="221">
        <v>0</v>
      </c>
      <c r="T40" s="221">
        <v>0</v>
      </c>
      <c r="U40" s="221">
        <v>0</v>
      </c>
      <c r="V40" s="221">
        <v>0</v>
      </c>
      <c r="W40" s="221">
        <v>0</v>
      </c>
      <c r="X40" s="221">
        <v>0</v>
      </c>
      <c r="Y40" s="221">
        <v>0</v>
      </c>
      <c r="Z40" s="221">
        <v>0</v>
      </c>
      <c r="AA40" s="221">
        <v>0</v>
      </c>
      <c r="AB40" s="221">
        <v>0</v>
      </c>
      <c r="AC40" s="221">
        <v>0</v>
      </c>
    </row>
    <row r="41" spans="1:29" x14ac:dyDescent="0.3">
      <c r="A41" s="18" t="s">
        <v>40</v>
      </c>
      <c r="B41" s="205" t="s">
        <v>27</v>
      </c>
      <c r="C41" s="205" t="s">
        <v>28</v>
      </c>
      <c r="D41" s="205" t="s">
        <v>90</v>
      </c>
      <c r="E41" s="118"/>
      <c r="F41" s="221">
        <v>0</v>
      </c>
      <c r="G41" s="221">
        <v>0</v>
      </c>
      <c r="H41" s="221">
        <v>6.7520600000000007E-3</v>
      </c>
      <c r="I41" s="221">
        <v>0</v>
      </c>
      <c r="J41" s="221">
        <v>0</v>
      </c>
      <c r="K41" s="221">
        <v>6.7721400000000003E-3</v>
      </c>
      <c r="L41" s="221">
        <v>0</v>
      </c>
      <c r="M41" s="221">
        <v>0</v>
      </c>
      <c r="N41" s="221">
        <v>6.7922900000000003E-3</v>
      </c>
      <c r="O41" s="221">
        <v>0</v>
      </c>
      <c r="P41" s="221">
        <v>0</v>
      </c>
      <c r="Q41" s="221">
        <v>6.8125E-3</v>
      </c>
      <c r="R41" s="155">
        <v>0</v>
      </c>
      <c r="S41" s="221">
        <v>0</v>
      </c>
      <c r="T41" s="221">
        <v>6.8327700000000002E-3</v>
      </c>
      <c r="U41" s="221">
        <v>0</v>
      </c>
      <c r="V41" s="221">
        <v>0</v>
      </c>
      <c r="W41" s="221">
        <v>6.85309E-3</v>
      </c>
      <c r="X41" s="221">
        <v>0</v>
      </c>
      <c r="Y41" s="221">
        <v>0</v>
      </c>
      <c r="Z41" s="221">
        <v>6.8734799999999995E-3</v>
      </c>
      <c r="AA41" s="221">
        <v>0</v>
      </c>
      <c r="AB41" s="221">
        <v>0</v>
      </c>
      <c r="AC41" s="221">
        <v>6.8939300000000004E-3</v>
      </c>
    </row>
    <row r="42" spans="1:29" x14ac:dyDescent="0.3">
      <c r="A42" s="18" t="s">
        <v>40</v>
      </c>
      <c r="B42" s="205" t="s">
        <v>29</v>
      </c>
      <c r="C42" s="205" t="s">
        <v>30</v>
      </c>
      <c r="D42" s="205" t="s">
        <v>90</v>
      </c>
      <c r="E42" s="118"/>
      <c r="F42" s="221">
        <v>0</v>
      </c>
      <c r="G42" s="221">
        <v>0</v>
      </c>
      <c r="H42" s="221">
        <v>0</v>
      </c>
      <c r="I42" s="221">
        <v>0</v>
      </c>
      <c r="J42" s="221">
        <v>0</v>
      </c>
      <c r="K42" s="221">
        <v>0</v>
      </c>
      <c r="L42" s="221">
        <v>0</v>
      </c>
      <c r="M42" s="221">
        <v>0</v>
      </c>
      <c r="N42" s="221">
        <v>6.1915900000000003E-2</v>
      </c>
      <c r="O42" s="221">
        <v>0</v>
      </c>
      <c r="P42" s="221">
        <v>0</v>
      </c>
      <c r="Q42" s="221">
        <v>0</v>
      </c>
      <c r="R42" s="155">
        <v>0</v>
      </c>
      <c r="S42" s="221">
        <v>0</v>
      </c>
      <c r="T42" s="221">
        <v>0</v>
      </c>
      <c r="U42" s="221">
        <v>0</v>
      </c>
      <c r="V42" s="221">
        <v>0</v>
      </c>
      <c r="W42" s="221">
        <v>0</v>
      </c>
      <c r="X42" s="221">
        <v>0</v>
      </c>
      <c r="Y42" s="221">
        <v>0</v>
      </c>
      <c r="Z42" s="221">
        <v>0</v>
      </c>
      <c r="AA42" s="221">
        <v>0</v>
      </c>
      <c r="AB42" s="221">
        <v>0</v>
      </c>
      <c r="AC42" s="221">
        <v>0</v>
      </c>
    </row>
    <row r="43" spans="1:29" x14ac:dyDescent="0.3">
      <c r="A43" s="18" t="s">
        <v>40</v>
      </c>
      <c r="B43" s="205" t="s">
        <v>32</v>
      </c>
      <c r="C43" s="205" t="s">
        <v>33</v>
      </c>
      <c r="D43" s="205" t="s">
        <v>90</v>
      </c>
      <c r="E43" s="118"/>
      <c r="F43" s="221">
        <v>0</v>
      </c>
      <c r="G43" s="221">
        <v>0</v>
      </c>
      <c r="H43" s="221">
        <v>0.89227885142857055</v>
      </c>
      <c r="I43" s="221">
        <v>0</v>
      </c>
      <c r="J43" s="221">
        <v>0</v>
      </c>
      <c r="K43" s="221">
        <v>0</v>
      </c>
      <c r="L43" s="221">
        <v>0</v>
      </c>
      <c r="M43" s="221">
        <v>0</v>
      </c>
      <c r="N43" s="221">
        <v>0.89227885142857055</v>
      </c>
      <c r="O43" s="221">
        <v>0</v>
      </c>
      <c r="P43" s="221">
        <v>0</v>
      </c>
      <c r="Q43" s="221">
        <v>0</v>
      </c>
      <c r="R43" s="155">
        <v>0</v>
      </c>
      <c r="S43" s="221">
        <v>0</v>
      </c>
      <c r="T43" s="221">
        <v>0.89227885142857055</v>
      </c>
      <c r="U43" s="221">
        <v>0</v>
      </c>
      <c r="V43" s="221">
        <v>0</v>
      </c>
      <c r="W43" s="221">
        <v>0</v>
      </c>
      <c r="X43" s="221">
        <v>0</v>
      </c>
      <c r="Y43" s="221">
        <v>0</v>
      </c>
      <c r="Z43" s="221">
        <v>0.89227885142857055</v>
      </c>
      <c r="AA43" s="221">
        <v>0</v>
      </c>
      <c r="AB43" s="221">
        <v>0</v>
      </c>
      <c r="AC43" s="221">
        <v>0</v>
      </c>
    </row>
    <row r="44" spans="1:29" x14ac:dyDescent="0.3">
      <c r="A44" s="18"/>
      <c r="B44" s="205" t="s">
        <v>144</v>
      </c>
      <c r="C44" s="205" t="s">
        <v>145</v>
      </c>
      <c r="D44" s="205" t="s">
        <v>90</v>
      </c>
      <c r="E44" s="122"/>
      <c r="F44" s="221">
        <v>0</v>
      </c>
      <c r="G44" s="221">
        <v>0</v>
      </c>
      <c r="H44" s="221">
        <v>0</v>
      </c>
      <c r="I44" s="221">
        <v>0</v>
      </c>
      <c r="J44" s="221">
        <v>0</v>
      </c>
      <c r="K44" s="221">
        <v>0</v>
      </c>
      <c r="L44" s="221">
        <v>0</v>
      </c>
      <c r="M44" s="221">
        <v>0</v>
      </c>
      <c r="N44" s="221">
        <v>0</v>
      </c>
      <c r="O44" s="221">
        <v>0</v>
      </c>
      <c r="P44" s="221">
        <v>0</v>
      </c>
      <c r="Q44" s="221">
        <v>0</v>
      </c>
      <c r="R44" s="155">
        <v>0</v>
      </c>
      <c r="S44" s="221">
        <v>0</v>
      </c>
      <c r="T44" s="221">
        <v>0</v>
      </c>
      <c r="U44" s="221">
        <v>0</v>
      </c>
      <c r="V44" s="221">
        <v>0</v>
      </c>
      <c r="W44" s="221">
        <v>0</v>
      </c>
      <c r="X44" s="221">
        <v>0</v>
      </c>
      <c r="Y44" s="221">
        <v>0</v>
      </c>
      <c r="Z44" s="221">
        <v>0</v>
      </c>
      <c r="AA44" s="221">
        <v>0</v>
      </c>
      <c r="AB44" s="221">
        <v>0</v>
      </c>
      <c r="AC44" s="221">
        <v>0</v>
      </c>
    </row>
    <row r="45" spans="1:29" x14ac:dyDescent="0.3">
      <c r="A45" s="18"/>
      <c r="B45" s="223" t="s">
        <v>169</v>
      </c>
      <c r="C45" s="223" t="s">
        <v>170</v>
      </c>
      <c r="D45" s="223" t="s">
        <v>90</v>
      </c>
      <c r="E45" s="122"/>
      <c r="F45" s="221">
        <v>0</v>
      </c>
      <c r="G45" s="221">
        <v>0</v>
      </c>
      <c r="H45" s="221">
        <v>0</v>
      </c>
      <c r="I45" s="221">
        <v>0</v>
      </c>
      <c r="J45" s="221">
        <v>0</v>
      </c>
      <c r="K45" s="221">
        <v>0</v>
      </c>
      <c r="L45" s="221">
        <v>0</v>
      </c>
      <c r="M45" s="221">
        <v>0</v>
      </c>
      <c r="N45" s="221">
        <v>0</v>
      </c>
      <c r="O45" s="221">
        <v>0</v>
      </c>
      <c r="P45" s="221">
        <v>0</v>
      </c>
      <c r="Q45" s="221">
        <v>0</v>
      </c>
      <c r="R45" s="224">
        <v>0</v>
      </c>
      <c r="S45" s="221">
        <v>0</v>
      </c>
      <c r="T45" s="221">
        <v>0</v>
      </c>
      <c r="U45" s="221">
        <v>0</v>
      </c>
      <c r="V45" s="221">
        <v>0.20005386819791166</v>
      </c>
      <c r="W45" s="221">
        <v>0</v>
      </c>
      <c r="X45" s="221">
        <v>0</v>
      </c>
      <c r="Y45" s="221">
        <v>0</v>
      </c>
      <c r="Z45" s="221">
        <v>0</v>
      </c>
      <c r="AA45" s="221">
        <v>0</v>
      </c>
      <c r="AB45" s="221">
        <v>0.20005386819791166</v>
      </c>
      <c r="AC45" s="221">
        <v>0</v>
      </c>
    </row>
    <row r="46" spans="1:29" x14ac:dyDescent="0.3">
      <c r="A46" s="18" t="s">
        <v>40</v>
      </c>
      <c r="B46" s="205" t="s">
        <v>122</v>
      </c>
      <c r="C46" s="205" t="s">
        <v>121</v>
      </c>
      <c r="D46" s="205" t="s">
        <v>91</v>
      </c>
      <c r="E46" s="118"/>
      <c r="F46" s="221">
        <v>0</v>
      </c>
      <c r="G46" s="221">
        <v>0</v>
      </c>
      <c r="H46" s="221">
        <v>39.847769229999997</v>
      </c>
      <c r="I46" s="221">
        <v>0</v>
      </c>
      <c r="J46" s="221">
        <v>0</v>
      </c>
      <c r="K46" s="221">
        <v>0</v>
      </c>
      <c r="L46" s="221">
        <v>0</v>
      </c>
      <c r="M46" s="221">
        <v>0</v>
      </c>
      <c r="N46" s="221">
        <v>39.847769229999997</v>
      </c>
      <c r="O46" s="221">
        <v>0</v>
      </c>
      <c r="P46" s="221">
        <v>0</v>
      </c>
      <c r="Q46" s="221">
        <v>0</v>
      </c>
      <c r="R46" s="155">
        <v>0</v>
      </c>
      <c r="S46" s="221">
        <v>0</v>
      </c>
      <c r="T46" s="221">
        <v>39.847769230769231</v>
      </c>
      <c r="U46" s="221">
        <v>0</v>
      </c>
      <c r="V46" s="221">
        <v>0</v>
      </c>
      <c r="W46" s="221">
        <v>0</v>
      </c>
      <c r="X46" s="221">
        <v>0</v>
      </c>
      <c r="Y46" s="221">
        <v>0</v>
      </c>
      <c r="Z46" s="221">
        <v>39.847769230769231</v>
      </c>
      <c r="AA46" s="221">
        <v>0</v>
      </c>
      <c r="AB46" s="221">
        <v>0</v>
      </c>
      <c r="AC46" s="221">
        <v>0</v>
      </c>
    </row>
    <row r="47" spans="1:29" customFormat="1" ht="6.75" customHeight="1" x14ac:dyDescent="0.25">
      <c r="B47" s="123"/>
      <c r="C47" s="4"/>
      <c r="D47" s="4"/>
      <c r="E47" s="119"/>
      <c r="F47" s="120"/>
      <c r="G47" s="120"/>
      <c r="H47" s="120"/>
      <c r="I47" s="120"/>
      <c r="J47" s="120"/>
      <c r="K47" s="120"/>
      <c r="L47" s="120"/>
      <c r="M47" s="120"/>
      <c r="N47" s="120"/>
      <c r="O47" s="120"/>
      <c r="P47" s="120"/>
      <c r="Q47" s="120"/>
      <c r="R47" s="120"/>
      <c r="S47" s="120"/>
      <c r="T47" s="120"/>
      <c r="U47" s="120"/>
    </row>
    <row r="48" spans="1:29" ht="28.5" customHeight="1" x14ac:dyDescent="0.3">
      <c r="B48" s="315" t="s">
        <v>117</v>
      </c>
      <c r="C48" s="315"/>
      <c r="D48" s="315"/>
      <c r="E48" s="124"/>
      <c r="F48" s="184">
        <f t="shared" ref="F48:AC48" si="5">+SUM(F32:F46)</f>
        <v>0</v>
      </c>
      <c r="G48" s="184">
        <f t="shared" si="5"/>
        <v>3.7059952362364728</v>
      </c>
      <c r="H48" s="184">
        <f t="shared" si="5"/>
        <v>40.746800141428565</v>
      </c>
      <c r="I48" s="184">
        <f t="shared" si="5"/>
        <v>1.9488254730985437</v>
      </c>
      <c r="J48" s="184">
        <f t="shared" si="5"/>
        <v>0.19690853</v>
      </c>
      <c r="K48" s="184">
        <f t="shared" si="5"/>
        <v>1.43253819</v>
      </c>
      <c r="L48" s="184">
        <f t="shared" si="5"/>
        <v>0</v>
      </c>
      <c r="M48" s="184">
        <f t="shared" si="5"/>
        <v>3.70599524</v>
      </c>
      <c r="N48" s="184">
        <f t="shared" si="5"/>
        <v>40.808756271428571</v>
      </c>
      <c r="O48" s="184">
        <f t="shared" si="5"/>
        <v>1.9488166000000002</v>
      </c>
      <c r="P48" s="184">
        <f t="shared" si="5"/>
        <v>0.196908532</v>
      </c>
      <c r="Q48" s="184">
        <f t="shared" si="5"/>
        <v>1.4325785471664432</v>
      </c>
      <c r="R48" s="184">
        <f t="shared" si="5"/>
        <v>0</v>
      </c>
      <c r="S48" s="184">
        <f t="shared" si="5"/>
        <v>3.7059952357142851</v>
      </c>
      <c r="T48" s="184">
        <f t="shared" si="5"/>
        <v>40.746880852197805</v>
      </c>
      <c r="U48" s="184">
        <f t="shared" si="5"/>
        <v>1.8285654431870726</v>
      </c>
      <c r="V48" s="184">
        <f t="shared" si="5"/>
        <v>1.2582624088525167</v>
      </c>
      <c r="W48" s="184">
        <f t="shared" si="5"/>
        <v>1.432619137166443</v>
      </c>
      <c r="X48" s="184">
        <f t="shared" si="5"/>
        <v>0</v>
      </c>
      <c r="Y48" s="184">
        <f t="shared" si="5"/>
        <v>3.7059952362364728</v>
      </c>
      <c r="Z48" s="184">
        <f t="shared" si="5"/>
        <v>40.746921562197798</v>
      </c>
      <c r="AA48" s="184">
        <f t="shared" si="5"/>
        <v>1.8285654431870726</v>
      </c>
      <c r="AB48" s="184">
        <f t="shared" si="5"/>
        <v>1.2582624088525167</v>
      </c>
      <c r="AC48" s="184">
        <f t="shared" si="5"/>
        <v>1.432659977166443</v>
      </c>
    </row>
    <row r="49" spans="2:29" x14ac:dyDescent="0.3">
      <c r="B49" s="4"/>
      <c r="C49" s="4"/>
      <c r="D49" s="4"/>
      <c r="E49" s="118"/>
    </row>
    <row r="50" spans="2:29" x14ac:dyDescent="0.3">
      <c r="B50" s="4"/>
      <c r="C50" s="4"/>
      <c r="D50" s="4"/>
      <c r="E50" s="118"/>
      <c r="F50" s="220"/>
    </row>
    <row r="51" spans="2:29" x14ac:dyDescent="0.3">
      <c r="B51" s="4"/>
      <c r="C51" s="4"/>
      <c r="D51" s="4"/>
      <c r="F51" s="220"/>
      <c r="G51" s="220"/>
    </row>
    <row r="52" spans="2:29" x14ac:dyDescent="0.3">
      <c r="W52" s="116"/>
      <c r="Z52" s="116"/>
      <c r="AC52" s="116"/>
    </row>
  </sheetData>
  <mergeCells count="13">
    <mergeCell ref="B1:E1"/>
    <mergeCell ref="D5:D6"/>
    <mergeCell ref="D30:D31"/>
    <mergeCell ref="B4:D4"/>
    <mergeCell ref="B29:D29"/>
    <mergeCell ref="B5:B6"/>
    <mergeCell ref="C5:C6"/>
    <mergeCell ref="B25:D26"/>
    <mergeCell ref="B48:D48"/>
    <mergeCell ref="B22:D22"/>
    <mergeCell ref="B30:B31"/>
    <mergeCell ref="C30:C31"/>
    <mergeCell ref="B23:D24"/>
  </mergeCells>
  <hyperlinks>
    <hyperlink ref="C7" location="IPVO26!A1" display="IPVO26" xr:uid="{00000000-0004-0000-0100-000002000000}"/>
    <hyperlink ref="C13" location="'PMG25'!A1" display="PMG25" xr:uid="{00000000-0004-0000-0100-000003000000}"/>
    <hyperlink ref="C33" location="BIDF40!A1" display="BIDF40" xr:uid="{00000000-0004-0000-0100-000004000000}"/>
    <hyperlink ref="C40" location="BIDO24!A1" display="BIDO24" xr:uid="{00000000-0004-0000-0100-000005000000}"/>
    <hyperlink ref="C37" location="BIDN32!A1" display="BIDN32" xr:uid="{00000000-0004-0000-0100-000006000000}"/>
    <hyperlink ref="C41" location="BIDS34!A1" display="BIDS34" xr:uid="{00000000-0004-0000-0100-000007000000}"/>
    <hyperlink ref="C42" location="BIDS23!A1" display="BIDS23" xr:uid="{00000000-0004-0000-0100-000008000000}"/>
    <hyperlink ref="C36" location="BIDY42!A1" display="BIDY42" xr:uid="{00000000-0004-0000-0100-000009000000}"/>
    <hyperlink ref="C43" location="BIRS38!A1" display="BIRS38" xr:uid="{00000000-0004-0000-0100-00000A000000}"/>
    <hyperlink ref="C16" location="FFFIRO24!A1" display="FFFIRO24" xr:uid="{00000000-0004-0000-0100-00000B000000}"/>
    <hyperlink ref="C17" location="FFFIRF26!A1" display="FFFIRF26" xr:uid="{00000000-0004-0000-0100-00000C000000}"/>
    <hyperlink ref="C18" location="FFFIRE26!A1" display="FFFIRE26" xr:uid="{00000000-0004-0000-0100-00000D000000}"/>
    <hyperlink ref="C12" location="'PMY25'!A1" display="PMY25" xr:uid="{00000000-0004-0000-0100-00000F000000}"/>
  </hyperlink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80915-7664-4825-B653-7EF4E52844CD}">
  <dimension ref="A1:N66"/>
  <sheetViews>
    <sheetView showGridLines="0" workbookViewId="0"/>
  </sheetViews>
  <sheetFormatPr baseColWidth="10" defaultRowHeight="15" x14ac:dyDescent="0.25"/>
  <sheetData>
    <row r="1" spans="1:13" ht="21" x14ac:dyDescent="0.35">
      <c r="A1" s="159" t="s">
        <v>218</v>
      </c>
    </row>
    <row r="2" spans="1:13" ht="21" x14ac:dyDescent="0.35">
      <c r="A2" s="159"/>
    </row>
    <row r="3" spans="1:13" ht="18" x14ac:dyDescent="0.25">
      <c r="A3" s="284" t="s">
        <v>219</v>
      </c>
      <c r="B3" s="285"/>
      <c r="C3" s="285"/>
      <c r="D3" s="285"/>
      <c r="E3" s="285"/>
      <c r="F3" s="285"/>
      <c r="I3" s="284" t="s">
        <v>220</v>
      </c>
      <c r="J3" s="285"/>
      <c r="K3" s="285"/>
      <c r="L3" s="285"/>
      <c r="M3" s="285"/>
    </row>
    <row r="4" spans="1:13" ht="15.75" x14ac:dyDescent="0.25">
      <c r="A4" s="198" t="s">
        <v>221</v>
      </c>
      <c r="I4" s="198" t="s">
        <v>222</v>
      </c>
    </row>
    <row r="24" spans="1:14" ht="18" x14ac:dyDescent="0.25">
      <c r="A24" s="284" t="s">
        <v>223</v>
      </c>
      <c r="B24" s="285"/>
      <c r="C24" s="285"/>
      <c r="D24" s="285"/>
      <c r="E24" s="285"/>
      <c r="F24" s="285"/>
      <c r="I24" s="284" t="s">
        <v>224</v>
      </c>
      <c r="J24" s="285"/>
      <c r="K24" s="285"/>
      <c r="L24" s="285"/>
      <c r="M24" s="285"/>
      <c r="N24" s="285"/>
    </row>
    <row r="25" spans="1:14" ht="15.75" x14ac:dyDescent="0.25">
      <c r="A25" s="198" t="s">
        <v>226</v>
      </c>
      <c r="I25" s="198" t="s">
        <v>225</v>
      </c>
    </row>
    <row r="44" spans="1:9" ht="18" x14ac:dyDescent="0.25">
      <c r="A44" s="160" t="s">
        <v>230</v>
      </c>
      <c r="I44" s="160" t="s">
        <v>227</v>
      </c>
    </row>
    <row r="45" spans="1:9" ht="15.75" x14ac:dyDescent="0.25">
      <c r="A45" s="198" t="s">
        <v>229</v>
      </c>
      <c r="I45" s="198" t="s">
        <v>228</v>
      </c>
    </row>
    <row r="65" spans="1:9" ht="18" x14ac:dyDescent="0.25">
      <c r="A65" s="160" t="s">
        <v>231</v>
      </c>
      <c r="I65" s="160" t="s">
        <v>232</v>
      </c>
    </row>
    <row r="66" spans="1:9" ht="15.75" x14ac:dyDescent="0.25">
      <c r="A66" s="198" t="s">
        <v>226</v>
      </c>
      <c r="I66" s="198" t="s">
        <v>225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2:BV174"/>
  <sheetViews>
    <sheetView showGridLines="0" topLeftCell="BC1" zoomScale="85" zoomScaleNormal="85" workbookViewId="0">
      <selection activeCell="BQ173" sqref="BQ173"/>
    </sheetView>
  </sheetViews>
  <sheetFormatPr baseColWidth="10" defaultRowHeight="15" x14ac:dyDescent="0.25"/>
  <cols>
    <col min="1" max="1" width="20.42578125" bestFit="1" customWidth="1"/>
    <col min="7" max="7" width="20.42578125" bestFit="1" customWidth="1"/>
    <col min="8" max="8" width="11.85546875" bestFit="1" customWidth="1"/>
    <col min="21" max="21" width="19.85546875" customWidth="1"/>
    <col min="22" max="22" width="26.28515625" customWidth="1"/>
    <col min="28" max="28" width="20.42578125" bestFit="1" customWidth="1"/>
    <col min="29" max="42" width="18.28515625" customWidth="1"/>
    <col min="43" max="44" width="23" bestFit="1" customWidth="1"/>
    <col min="45"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323" t="s">
        <v>84</v>
      </c>
      <c r="H2" s="323" t="s">
        <v>85</v>
      </c>
      <c r="I2" s="323"/>
      <c r="J2" s="323"/>
      <c r="K2" s="323" t="s">
        <v>86</v>
      </c>
      <c r="L2" s="323"/>
      <c r="M2" s="323"/>
      <c r="N2" s="323" t="s">
        <v>83</v>
      </c>
      <c r="O2" s="323"/>
      <c r="P2" s="323"/>
      <c r="Q2" s="323" t="s">
        <v>85</v>
      </c>
      <c r="R2" s="323"/>
      <c r="S2" s="323"/>
      <c r="T2" s="323" t="s">
        <v>86</v>
      </c>
      <c r="U2" s="323"/>
      <c r="V2" s="323"/>
      <c r="W2" s="323" t="s">
        <v>83</v>
      </c>
      <c r="X2" s="323"/>
      <c r="Y2" s="323"/>
      <c r="AB2" s="323" t="s">
        <v>92</v>
      </c>
      <c r="AC2" s="49" t="s">
        <v>87</v>
      </c>
      <c r="AD2" s="49" t="s">
        <v>87</v>
      </c>
      <c r="AE2" s="49" t="s">
        <v>87</v>
      </c>
      <c r="AF2" s="49" t="s">
        <v>88</v>
      </c>
      <c r="AG2" s="49" t="s">
        <v>88</v>
      </c>
      <c r="AH2" s="49" t="s">
        <v>88</v>
      </c>
      <c r="AI2" s="49" t="s">
        <v>89</v>
      </c>
      <c r="AJ2" s="49" t="s">
        <v>89</v>
      </c>
      <c r="AK2" s="49" t="s">
        <v>89</v>
      </c>
      <c r="AL2" s="49" t="s">
        <v>90</v>
      </c>
      <c r="AM2" s="49" t="s">
        <v>90</v>
      </c>
      <c r="AN2" s="49" t="s">
        <v>90</v>
      </c>
      <c r="AO2" s="49" t="s">
        <v>91</v>
      </c>
      <c r="AP2" s="49" t="s">
        <v>91</v>
      </c>
      <c r="AQ2" s="49" t="s">
        <v>91</v>
      </c>
      <c r="AR2" s="323" t="s">
        <v>83</v>
      </c>
      <c r="AS2" s="323"/>
      <c r="AT2" s="323"/>
    </row>
    <row r="3" spans="1:74" ht="27" customHeight="1" x14ac:dyDescent="0.25">
      <c r="A3" s="46" t="s">
        <v>82</v>
      </c>
      <c r="B3" s="47" t="s">
        <v>2</v>
      </c>
      <c r="C3" s="47" t="s">
        <v>97</v>
      </c>
      <c r="D3" s="47" t="s">
        <v>41</v>
      </c>
      <c r="G3" s="323"/>
      <c r="H3" s="47" t="s">
        <v>2</v>
      </c>
      <c r="I3" s="47" t="s">
        <v>97</v>
      </c>
      <c r="J3" s="47" t="s">
        <v>41</v>
      </c>
      <c r="K3" s="47" t="s">
        <v>2</v>
      </c>
      <c r="L3" s="47" t="s">
        <v>97</v>
      </c>
      <c r="M3" s="47" t="s">
        <v>41</v>
      </c>
      <c r="N3" s="47" t="s">
        <v>2</v>
      </c>
      <c r="O3" s="47" t="s">
        <v>97</v>
      </c>
      <c r="P3" s="47" t="s">
        <v>41</v>
      </c>
      <c r="Q3" s="47" t="s">
        <v>2</v>
      </c>
      <c r="R3" s="47" t="s">
        <v>97</v>
      </c>
      <c r="S3" s="47" t="s">
        <v>41</v>
      </c>
      <c r="T3" s="47" t="s">
        <v>2</v>
      </c>
      <c r="U3" s="47" t="s">
        <v>97</v>
      </c>
      <c r="V3" s="47" t="s">
        <v>41</v>
      </c>
      <c r="W3" s="47" t="s">
        <v>2</v>
      </c>
      <c r="X3" s="47" t="s">
        <v>97</v>
      </c>
      <c r="Y3" s="47" t="s">
        <v>41</v>
      </c>
      <c r="AB3" s="323"/>
      <c r="AC3" s="47" t="s">
        <v>2</v>
      </c>
      <c r="AD3" s="47" t="s">
        <v>97</v>
      </c>
      <c r="AE3" s="47" t="s">
        <v>41</v>
      </c>
      <c r="AF3" s="47" t="s">
        <v>2</v>
      </c>
      <c r="AG3" s="47" t="s">
        <v>97</v>
      </c>
      <c r="AH3" s="47" t="s">
        <v>41</v>
      </c>
      <c r="AI3" s="47" t="s">
        <v>2</v>
      </c>
      <c r="AJ3" s="47" t="s">
        <v>97</v>
      </c>
      <c r="AK3" s="47" t="s">
        <v>41</v>
      </c>
      <c r="AL3" s="47" t="s">
        <v>2</v>
      </c>
      <c r="AM3" s="47" t="s">
        <v>97</v>
      </c>
      <c r="AN3" s="47" t="s">
        <v>41</v>
      </c>
      <c r="AO3" s="47" t="s">
        <v>2</v>
      </c>
      <c r="AP3" s="47" t="s">
        <v>97</v>
      </c>
      <c r="AQ3" s="47" t="s">
        <v>41</v>
      </c>
      <c r="AR3" s="47" t="s">
        <v>2</v>
      </c>
      <c r="AS3" s="47" t="s">
        <v>97</v>
      </c>
      <c r="AT3" s="47" t="s">
        <v>41</v>
      </c>
      <c r="AW3" s="46" t="s">
        <v>98</v>
      </c>
      <c r="AX3" s="47" t="s">
        <v>2</v>
      </c>
      <c r="AY3" s="47" t="s">
        <v>97</v>
      </c>
      <c r="AZ3" s="47" t="s">
        <v>41</v>
      </c>
      <c r="BA3" s="48" t="s">
        <v>100</v>
      </c>
      <c r="BD3" s="46" t="s">
        <v>101</v>
      </c>
      <c r="BE3" s="47" t="s">
        <v>104</v>
      </c>
      <c r="BF3" s="47" t="s">
        <v>105</v>
      </c>
      <c r="BG3" s="47" t="s">
        <v>106</v>
      </c>
      <c r="BH3" s="47" t="s">
        <v>102</v>
      </c>
      <c r="BI3" s="47" t="s">
        <v>103</v>
      </c>
      <c r="BJ3" s="48" t="s">
        <v>107</v>
      </c>
      <c r="BK3" s="48" t="s">
        <v>100</v>
      </c>
      <c r="BP3" s="196" t="s">
        <v>219</v>
      </c>
      <c r="BT3" s="322" t="s">
        <v>116</v>
      </c>
      <c r="BU3" s="322"/>
      <c r="BV3" s="322"/>
    </row>
    <row r="4" spans="1:74" ht="16.5" x14ac:dyDescent="0.25">
      <c r="A4" s="52">
        <v>2020</v>
      </c>
      <c r="B4" s="131">
        <v>3065.3877530712161</v>
      </c>
      <c r="C4" s="131">
        <v>45.469618353511237</v>
      </c>
      <c r="D4" s="131">
        <v>55.569016177820686</v>
      </c>
      <c r="E4" s="33"/>
      <c r="F4" s="33"/>
      <c r="G4" s="53">
        <v>2020</v>
      </c>
      <c r="H4" s="131">
        <v>424.70894349503453</v>
      </c>
      <c r="I4" s="131">
        <v>17.845133027467902</v>
      </c>
      <c r="J4" s="131">
        <v>44.483175448205863</v>
      </c>
      <c r="K4" s="131">
        <v>2640.6788095761817</v>
      </c>
      <c r="L4" s="131">
        <v>27.624485326043335</v>
      </c>
      <c r="M4" s="131">
        <v>11.085840729614823</v>
      </c>
      <c r="N4" s="76">
        <f>+K4+H4</f>
        <v>3065.3877530712161</v>
      </c>
      <c r="O4" s="76">
        <f>+L4+I4</f>
        <v>45.469618353511237</v>
      </c>
      <c r="P4" s="76">
        <f>+M4+J4</f>
        <v>55.569016177820686</v>
      </c>
      <c r="Q4" s="77">
        <f>+H4/N4</f>
        <v>0.13854982720196427</v>
      </c>
      <c r="R4" s="77">
        <f>+I4/O4</f>
        <v>0.39246278446253713</v>
      </c>
      <c r="S4" s="77">
        <f>+J4/P4</f>
        <v>0.80050320318538359</v>
      </c>
      <c r="T4" s="77">
        <f>+K4/N4</f>
        <v>0.86145017279803571</v>
      </c>
      <c r="U4" s="77">
        <f>+L4/O4</f>
        <v>0.60753721553746287</v>
      </c>
      <c r="V4" s="77">
        <f>+M4/P4</f>
        <v>0.19949679681461635</v>
      </c>
      <c r="W4" s="77">
        <v>1</v>
      </c>
      <c r="X4" s="77">
        <v>1</v>
      </c>
      <c r="Y4" s="77">
        <v>1</v>
      </c>
      <c r="Z4" s="113"/>
      <c r="AB4" s="53">
        <v>2020</v>
      </c>
      <c r="AC4" s="132">
        <v>1178.471061912041</v>
      </c>
      <c r="AD4" s="132">
        <v>0</v>
      </c>
      <c r="AE4" s="132">
        <v>0</v>
      </c>
      <c r="AF4" s="132">
        <v>0</v>
      </c>
      <c r="AG4" s="132">
        <v>0</v>
      </c>
      <c r="AH4" s="132">
        <v>55.569016177820686</v>
      </c>
      <c r="AI4" s="132">
        <v>0</v>
      </c>
      <c r="AJ4" s="132">
        <v>1.6413985000000002</v>
      </c>
      <c r="AK4" s="132">
        <v>0</v>
      </c>
      <c r="AL4" s="132">
        <v>0</v>
      </c>
      <c r="AM4" s="132">
        <v>21.636144853511247</v>
      </c>
      <c r="AN4" s="132">
        <v>0</v>
      </c>
      <c r="AO4" s="132">
        <v>1886.9166911591758</v>
      </c>
      <c r="AP4" s="132">
        <v>22.192074999999999</v>
      </c>
      <c r="AQ4" s="132">
        <v>0</v>
      </c>
      <c r="AR4" s="79">
        <f>+SUMIF($AC$3:$AQ$3,"Pesos",$AC4:$AQ4)</f>
        <v>3065.387753071217</v>
      </c>
      <c r="AS4" s="79">
        <f>+SUMIF($AC$3:$AQ$3,"USD",$AC4:$AQ4)</f>
        <v>45.469618353511251</v>
      </c>
      <c r="AT4" s="79">
        <f>+SUMIF($AC$3:$AQ$3,"UVA",$AC4:$AQ4)</f>
        <v>55.569016177820686</v>
      </c>
      <c r="AU4" s="272" t="b">
        <f>+SUM(AR4:AT4)=SUM(B4:D4)</f>
        <v>1</v>
      </c>
      <c r="AV4" s="33"/>
      <c r="AW4" s="48" t="s">
        <v>47</v>
      </c>
      <c r="AX4" s="82">
        <f>+AX5/$BA$5</f>
        <v>0.11920837176128246</v>
      </c>
      <c r="AY4" s="82">
        <f>+AY5/$BA$5</f>
        <v>0.88079162823871759</v>
      </c>
      <c r="AZ4" s="82">
        <f>+AZ5/$BA$5</f>
        <v>0</v>
      </c>
      <c r="BA4" s="82">
        <f>+BA5/$BA$5</f>
        <v>1</v>
      </c>
      <c r="BD4" s="48" t="s">
        <v>47</v>
      </c>
      <c r="BE4" s="82">
        <f>+BE5/$BK$5</f>
        <v>9.7277584559754757E-2</v>
      </c>
      <c r="BF4" s="82">
        <f t="shared" ref="BF4:BK4" si="0">+BF5/$BK$5</f>
        <v>0</v>
      </c>
      <c r="BG4" s="82">
        <f t="shared" si="0"/>
        <v>0.57405482123448504</v>
      </c>
      <c r="BH4" s="82">
        <f t="shared" si="0"/>
        <v>1.9928678216789335E-2</v>
      </c>
      <c r="BI4" s="82">
        <f t="shared" si="0"/>
        <v>0.30873891598897085</v>
      </c>
      <c r="BJ4" s="82">
        <f t="shared" si="0"/>
        <v>0</v>
      </c>
      <c r="BK4" s="82">
        <f t="shared" si="0"/>
        <v>1</v>
      </c>
      <c r="BL4" s="51"/>
      <c r="BP4" s="197" t="s">
        <v>221</v>
      </c>
      <c r="BT4" s="55" t="s">
        <v>109</v>
      </c>
    </row>
    <row r="5" spans="1:74" ht="16.5" x14ac:dyDescent="0.25">
      <c r="A5" s="52">
        <f t="shared" ref="A5:A13" si="1">+A4+1</f>
        <v>2021</v>
      </c>
      <c r="B5" s="131">
        <v>7722.1832983013492</v>
      </c>
      <c r="C5" s="131">
        <v>39.604677280951158</v>
      </c>
      <c r="D5" s="131">
        <v>19.277296437904816</v>
      </c>
      <c r="E5" s="33"/>
      <c r="F5" s="33"/>
      <c r="G5" s="52">
        <f t="shared" ref="G5:G13" si="2">+G4+1</f>
        <v>2021</v>
      </c>
      <c r="H5" s="131">
        <v>4956.8121740246343</v>
      </c>
      <c r="I5" s="131">
        <v>16.248720311656189</v>
      </c>
      <c r="J5" s="131">
        <v>10.434325061801667</v>
      </c>
      <c r="K5" s="131">
        <v>2765.3711242767149</v>
      </c>
      <c r="L5" s="131">
        <v>23.355956969294969</v>
      </c>
      <c r="M5" s="131">
        <v>8.842971376103149</v>
      </c>
      <c r="N5" s="76">
        <f t="shared" ref="N5:N14" si="3">+K5+H5</f>
        <v>7722.1832983013492</v>
      </c>
      <c r="O5" s="76">
        <f t="shared" ref="O5:O14" si="4">+L5+I5</f>
        <v>39.604677280951158</v>
      </c>
      <c r="P5" s="76">
        <f t="shared" ref="P5:P14" si="5">+M5+J5</f>
        <v>19.277296437904816</v>
      </c>
      <c r="Q5" s="77">
        <f t="shared" ref="Q5:Q14" si="6">+H5/N5</f>
        <v>0.6418925817410972</v>
      </c>
      <c r="R5" s="77">
        <f>+I5/O5</f>
        <v>0.41027276138092433</v>
      </c>
      <c r="S5" s="77">
        <f>+J5/P5</f>
        <v>0.5412753336761853</v>
      </c>
      <c r="T5" s="77">
        <f t="shared" ref="T5:T14" si="7">+K5/N5</f>
        <v>0.3581074182589028</v>
      </c>
      <c r="U5" s="77">
        <f t="shared" ref="U5:U14" si="8">+L5/O5</f>
        <v>0.58972723861907572</v>
      </c>
      <c r="V5" s="77">
        <f>+M5/P5</f>
        <v>0.4587246663238147</v>
      </c>
      <c r="W5" s="77">
        <v>1</v>
      </c>
      <c r="X5" s="77">
        <v>1</v>
      </c>
      <c r="Y5" s="77">
        <v>1</v>
      </c>
      <c r="Z5" s="54">
        <v>0</v>
      </c>
      <c r="AB5" s="52">
        <f t="shared" ref="AB5:AB13" si="9">+AB4+1</f>
        <v>2021</v>
      </c>
      <c r="AC5" s="132">
        <v>4657.6730759813126</v>
      </c>
      <c r="AD5" s="132">
        <v>0</v>
      </c>
      <c r="AE5" s="132">
        <v>0</v>
      </c>
      <c r="AF5" s="132">
        <v>0</v>
      </c>
      <c r="AG5" s="132">
        <v>0</v>
      </c>
      <c r="AH5" s="132">
        <v>19.277296437904816</v>
      </c>
      <c r="AI5" s="132">
        <v>0</v>
      </c>
      <c r="AJ5" s="132">
        <v>0.79255361999999996</v>
      </c>
      <c r="AK5" s="132">
        <v>0</v>
      </c>
      <c r="AL5" s="132">
        <v>0</v>
      </c>
      <c r="AM5" s="132">
        <v>19.38025699428449</v>
      </c>
      <c r="AN5" s="132">
        <v>0</v>
      </c>
      <c r="AO5" s="132">
        <v>3064.5102223200347</v>
      </c>
      <c r="AP5" s="132">
        <v>19.431866666666668</v>
      </c>
      <c r="AQ5" s="132">
        <v>0</v>
      </c>
      <c r="AR5" s="79">
        <f t="shared" ref="AR5:AR14" si="10">+SUMIF($AC$3:$AQ$3,"Pesos",$AC5:$AQ5)</f>
        <v>7722.1832983013473</v>
      </c>
      <c r="AS5" s="79">
        <f t="shared" ref="AS5:AS14" si="11">+SUMIF($AC$3:$AQ$3,"USD",$AC5:$AQ5)</f>
        <v>39.604677280951158</v>
      </c>
      <c r="AT5" s="79">
        <f t="shared" ref="AT5:AT14" si="12">+SUMIF($AC$3:$AQ$3,"UVA",$AC5:$AQ5)</f>
        <v>19.277296437904816</v>
      </c>
      <c r="AU5" s="272" t="b">
        <f>+ROUND(SUM(AR5:AT5),1)=ROUND(SUM(B5:D5),1)</f>
        <v>1</v>
      </c>
      <c r="AV5" s="33"/>
      <c r="AW5" s="48" t="s">
        <v>99</v>
      </c>
      <c r="AX5" s="80">
        <f>+'Servicios Deuda Anual'!F9+'Servicios Deuda Anual'!F15+'Servicios Deuda Anual'!F34-'Servicios Deuda Anual'!F35</f>
        <v>74.473182026944301</v>
      </c>
      <c r="AY5" s="80">
        <f>+'Servicios Deuda Anual'!F35+'Servicios Deuda Anual'!F17</f>
        <v>550.25795830000004</v>
      </c>
      <c r="AZ5" s="80">
        <v>0</v>
      </c>
      <c r="BA5" s="81">
        <f>+AY5+AX5+AZ5</f>
        <v>624.73114032694434</v>
      </c>
      <c r="BD5" s="48" t="s">
        <v>99</v>
      </c>
      <c r="BE5" s="84">
        <f>'Servicios Deuda Anual'!F38+'Servicios Deuda Anual'!F36+'Servicios Deuda Anual'!F37</f>
        <v>60.772336330266342</v>
      </c>
      <c r="BF5" s="84">
        <v>0</v>
      </c>
      <c r="BG5" s="84">
        <f>+'Servicios Deuda Anual'!F35</f>
        <v>358.62992308000003</v>
      </c>
      <c r="BH5" s="84">
        <f>+'Servicios Deuda Anual'!F43+'Servicios Deuda Anual'!F42+'Servicios Deuda Anual'!F41+'Servicios Deuda Anual'!F40+'Servicios Deuda Anual'!F39+'Servicios Deuda Anual'!F16+'Servicios Deuda Anual'!F13</f>
        <v>12.450065867583536</v>
      </c>
      <c r="BI5" s="84">
        <f>+'Servicios Deuda Anual'!F10+'Servicios Deuda Anual'!F11+'Servicios Deuda Anual'!F12+'Servicios Deuda Anual'!F14+'Servicios Deuda Anual'!F18+'Servicios Deuda Anual'!F30</f>
        <v>192.87881504909444</v>
      </c>
      <c r="BJ5" s="84">
        <v>0</v>
      </c>
      <c r="BK5" s="83">
        <f>+SUM(BE5:BJ5)</f>
        <v>624.73114032694434</v>
      </c>
      <c r="BL5" s="50"/>
      <c r="BP5" s="197" t="s">
        <v>249</v>
      </c>
      <c r="BT5" s="55" t="s">
        <v>110</v>
      </c>
    </row>
    <row r="6" spans="1:74" x14ac:dyDescent="0.25">
      <c r="A6" s="52">
        <f t="shared" si="1"/>
        <v>2022</v>
      </c>
      <c r="B6" s="131">
        <v>24763.11180595223</v>
      </c>
      <c r="C6" s="131">
        <v>42.62848488616963</v>
      </c>
      <c r="D6" s="131">
        <v>13.053123599940303</v>
      </c>
      <c r="E6" s="33"/>
      <c r="F6" s="33"/>
      <c r="G6" s="52">
        <f t="shared" si="2"/>
        <v>2022</v>
      </c>
      <c r="H6" s="131">
        <v>9381.3052599994116</v>
      </c>
      <c r="I6" s="131">
        <v>15.691754258460426</v>
      </c>
      <c r="J6" s="131">
        <v>9.8546403350349081</v>
      </c>
      <c r="K6" s="131">
        <v>15381.806545952819</v>
      </c>
      <c r="L6" s="131">
        <v>26.936730627709203</v>
      </c>
      <c r="M6" s="131">
        <v>3.198483264905394</v>
      </c>
      <c r="N6" s="76">
        <f t="shared" si="3"/>
        <v>24763.11180595223</v>
      </c>
      <c r="O6" s="76">
        <f t="shared" si="4"/>
        <v>42.62848488616963</v>
      </c>
      <c r="P6" s="76">
        <f t="shared" si="5"/>
        <v>13.053123599940303</v>
      </c>
      <c r="Q6" s="77">
        <f t="shared" si="6"/>
        <v>0.37884193769801006</v>
      </c>
      <c r="R6" s="77">
        <f>+I6/O6</f>
        <v>0.3681049021648774</v>
      </c>
      <c r="S6" s="77">
        <f>+J6/P6</f>
        <v>0.75496414782129062</v>
      </c>
      <c r="T6" s="77">
        <f t="shared" si="7"/>
        <v>0.62115806230199</v>
      </c>
      <c r="U6" s="77">
        <f t="shared" si="8"/>
        <v>0.63189509783512254</v>
      </c>
      <c r="V6" s="77">
        <f>+M6/P6</f>
        <v>0.24503585217870932</v>
      </c>
      <c r="W6" s="77">
        <v>1</v>
      </c>
      <c r="X6" s="77">
        <v>1</v>
      </c>
      <c r="Y6" s="77">
        <v>1</v>
      </c>
      <c r="Z6" s="54">
        <v>0</v>
      </c>
      <c r="AB6" s="52">
        <f t="shared" si="9"/>
        <v>2022</v>
      </c>
      <c r="AC6" s="132">
        <v>11809.215791485463</v>
      </c>
      <c r="AD6" s="132">
        <v>0</v>
      </c>
      <c r="AE6" s="132">
        <v>0</v>
      </c>
      <c r="AF6" s="132">
        <v>7157.3785598736722</v>
      </c>
      <c r="AG6" s="132">
        <v>0</v>
      </c>
      <c r="AH6" s="132">
        <v>13.053123599940303</v>
      </c>
      <c r="AI6" s="132">
        <v>0</v>
      </c>
      <c r="AJ6" s="132">
        <v>0</v>
      </c>
      <c r="AK6" s="132">
        <v>0</v>
      </c>
      <c r="AL6" s="132">
        <v>0</v>
      </c>
      <c r="AM6" s="132">
        <v>20.261712386169627</v>
      </c>
      <c r="AN6" s="132">
        <v>0</v>
      </c>
      <c r="AO6" s="132">
        <v>5796.5174545930986</v>
      </c>
      <c r="AP6" s="132">
        <v>22.3667725</v>
      </c>
      <c r="AQ6" s="132">
        <v>0</v>
      </c>
      <c r="AR6" s="79">
        <f t="shared" si="10"/>
        <v>24763.111805952234</v>
      </c>
      <c r="AS6" s="79">
        <f t="shared" si="11"/>
        <v>42.62848488616963</v>
      </c>
      <c r="AT6" s="79">
        <f t="shared" si="12"/>
        <v>13.053123599940303</v>
      </c>
      <c r="AU6" s="272" t="b">
        <f>+SUM(AR6:AT6)=SUM(B6:D6)</f>
        <v>1</v>
      </c>
      <c r="AV6" s="33"/>
      <c r="AW6" s="33"/>
      <c r="BA6" s="33"/>
      <c r="BD6" s="33"/>
      <c r="BT6" s="55" t="s">
        <v>111</v>
      </c>
    </row>
    <row r="7" spans="1:74" x14ac:dyDescent="0.25">
      <c r="A7" s="52">
        <f t="shared" si="1"/>
        <v>2023</v>
      </c>
      <c r="B7" s="131">
        <v>57379.118437812736</v>
      </c>
      <c r="C7" s="131">
        <v>130.1440193267137</v>
      </c>
      <c r="D7" s="131">
        <v>0</v>
      </c>
      <c r="E7" s="33"/>
      <c r="F7" s="33"/>
      <c r="G7" s="52">
        <f t="shared" si="2"/>
        <v>2023</v>
      </c>
      <c r="H7" s="131">
        <v>28597.187327013424</v>
      </c>
      <c r="I7" s="131">
        <v>96.00533608296891</v>
      </c>
      <c r="J7" s="131">
        <v>0</v>
      </c>
      <c r="K7" s="131">
        <v>28781.931110799313</v>
      </c>
      <c r="L7" s="131">
        <v>34.138683243744772</v>
      </c>
      <c r="M7" s="131">
        <v>0</v>
      </c>
      <c r="N7" s="76">
        <f t="shared" si="3"/>
        <v>57379.118437812736</v>
      </c>
      <c r="O7" s="76">
        <f t="shared" si="4"/>
        <v>130.14401932671367</v>
      </c>
      <c r="P7" s="76">
        <f t="shared" si="5"/>
        <v>0</v>
      </c>
      <c r="Q7" s="77">
        <f t="shared" si="6"/>
        <v>0.49839014794218117</v>
      </c>
      <c r="R7" s="77">
        <f t="shared" ref="R7:R14" si="13">+I7/O7</f>
        <v>0.73768534719952839</v>
      </c>
      <c r="S7" s="77" t="s">
        <v>162</v>
      </c>
      <c r="T7" s="77">
        <f t="shared" si="7"/>
        <v>0.50160985205781883</v>
      </c>
      <c r="U7" s="77">
        <f t="shared" si="8"/>
        <v>0.26231465280047167</v>
      </c>
      <c r="V7" s="77" t="s">
        <v>162</v>
      </c>
      <c r="W7" s="77">
        <v>1</v>
      </c>
      <c r="X7" s="77">
        <v>1.0000000000000002</v>
      </c>
      <c r="Y7" s="77">
        <v>0</v>
      </c>
      <c r="Z7" s="54">
        <v>0</v>
      </c>
      <c r="AB7" s="52">
        <f t="shared" si="9"/>
        <v>2023</v>
      </c>
      <c r="AC7" s="132">
        <v>15170.333164879847</v>
      </c>
      <c r="AD7" s="132">
        <v>0</v>
      </c>
      <c r="AE7" s="132">
        <v>0</v>
      </c>
      <c r="AF7" s="132">
        <v>19546.544825953002</v>
      </c>
      <c r="AG7" s="132">
        <v>0</v>
      </c>
      <c r="AH7" s="132">
        <v>0</v>
      </c>
      <c r="AI7" s="132">
        <v>0</v>
      </c>
      <c r="AJ7" s="132">
        <v>0</v>
      </c>
      <c r="AK7" s="132">
        <v>0</v>
      </c>
      <c r="AL7" s="132">
        <v>0</v>
      </c>
      <c r="AM7" s="132">
        <v>25.615006634405987</v>
      </c>
      <c r="AN7" s="132">
        <v>0</v>
      </c>
      <c r="AO7" s="132">
        <v>22662.240446979886</v>
      </c>
      <c r="AP7" s="132">
        <v>104.5290126923077</v>
      </c>
      <c r="AQ7" s="132">
        <v>0</v>
      </c>
      <c r="AR7" s="79">
        <f t="shared" si="10"/>
        <v>57379.118437812736</v>
      </c>
      <c r="AS7" s="79">
        <f t="shared" si="11"/>
        <v>130.1440193267137</v>
      </c>
      <c r="AT7" s="79">
        <f t="shared" si="12"/>
        <v>0</v>
      </c>
      <c r="AU7" s="272" t="b">
        <f t="shared" ref="AU7:AU14" si="14">+SUM(AR7:AT7)=SUM(B7:D7)</f>
        <v>1</v>
      </c>
      <c r="AV7" s="33"/>
      <c r="AW7" s="33"/>
      <c r="AZ7" s="91" t="s">
        <v>142</v>
      </c>
      <c r="BA7" s="92">
        <f>+BA5-'Servicios Deuda Anual'!$F$45</f>
        <v>0</v>
      </c>
      <c r="BD7" s="33"/>
      <c r="BJ7" s="91" t="s">
        <v>142</v>
      </c>
      <c r="BK7" s="92">
        <f>+BK5-'Servicios Deuda Anual'!$F$45</f>
        <v>0</v>
      </c>
      <c r="BT7" s="55" t="s">
        <v>112</v>
      </c>
    </row>
    <row r="8" spans="1:74" x14ac:dyDescent="0.25">
      <c r="A8" s="52">
        <f t="shared" si="1"/>
        <v>2024</v>
      </c>
      <c r="B8" s="75">
        <v>54826.867208328862</v>
      </c>
      <c r="C8" s="75">
        <v>130.71939450674998</v>
      </c>
      <c r="D8" s="75">
        <v>0</v>
      </c>
      <c r="E8" s="33"/>
      <c r="F8" s="33"/>
      <c r="G8" s="52">
        <f t="shared" si="2"/>
        <v>2024</v>
      </c>
      <c r="H8" s="254">
        <f>+SUMIFS($G$20:$V$20,$G$17:$V$17,H$3,$G$18:$V$18,$G8)</f>
        <v>36598.278251564181</v>
      </c>
      <c r="I8" s="254">
        <f t="shared" ref="H8:I14" si="15">+SUMIFS($G$20:$V$20,$G$17:$V$17,I$3,$G$18:$V$18,$G8)</f>
        <v>96.06220686135859</v>
      </c>
      <c r="J8" s="254">
        <v>0</v>
      </c>
      <c r="K8" s="254">
        <f t="shared" ref="K8:L14" si="16">+SUMIFS($G$21:$V$21,$G$17:$V$17,K$3,$G$18:$V$18,$G8)</f>
        <v>18228.588956764681</v>
      </c>
      <c r="L8" s="254">
        <f t="shared" si="16"/>
        <v>34.657187645391396</v>
      </c>
      <c r="M8" s="254">
        <v>0</v>
      </c>
      <c r="N8" s="76">
        <f t="shared" si="3"/>
        <v>54826.867208328862</v>
      </c>
      <c r="O8" s="76">
        <f t="shared" si="4"/>
        <v>130.71939450674998</v>
      </c>
      <c r="P8" s="76">
        <f t="shared" si="5"/>
        <v>0</v>
      </c>
      <c r="Q8" s="77">
        <f t="shared" si="6"/>
        <v>0.66752452064239887</v>
      </c>
      <c r="R8" s="77">
        <f t="shared" si="13"/>
        <v>0.73487340745292551</v>
      </c>
      <c r="S8" s="77" t="s">
        <v>162</v>
      </c>
      <c r="T8" s="77">
        <f t="shared" si="7"/>
        <v>0.33247547935760113</v>
      </c>
      <c r="U8" s="77">
        <f t="shared" si="8"/>
        <v>0.26512659254707455</v>
      </c>
      <c r="V8" s="77" t="s">
        <v>162</v>
      </c>
      <c r="W8" s="77">
        <v>0.99999999999999989</v>
      </c>
      <c r="X8" s="77">
        <v>1</v>
      </c>
      <c r="Y8" s="77">
        <v>0</v>
      </c>
      <c r="Z8" s="54">
        <v>0</v>
      </c>
      <c r="AB8" s="52">
        <f t="shared" si="9"/>
        <v>2024</v>
      </c>
      <c r="AC8" s="78">
        <f>+AE18</f>
        <v>1771.5594249790502</v>
      </c>
      <c r="AD8" s="78">
        <v>0</v>
      </c>
      <c r="AE8" s="78">
        <v>0</v>
      </c>
      <c r="AF8" s="78">
        <f>+AE19</f>
        <v>13647.143545820103</v>
      </c>
      <c r="AG8" s="78">
        <v>0</v>
      </c>
      <c r="AH8" s="78">
        <v>0</v>
      </c>
      <c r="AI8" s="78">
        <v>0</v>
      </c>
      <c r="AJ8" s="78">
        <v>0</v>
      </c>
      <c r="AK8" s="78">
        <v>0</v>
      </c>
      <c r="AL8" s="78">
        <v>0</v>
      </c>
      <c r="AM8" s="98">
        <f>+AF21</f>
        <v>26.965765376749996</v>
      </c>
      <c r="AN8" s="78">
        <v>0</v>
      </c>
      <c r="AO8" s="78">
        <f>+AE22</f>
        <v>39408.164237529709</v>
      </c>
      <c r="AP8" s="78">
        <f>+AF22</f>
        <v>103.75362912999999</v>
      </c>
      <c r="AQ8" s="78">
        <v>0</v>
      </c>
      <c r="AR8" s="79">
        <f t="shared" si="10"/>
        <v>54826.867208328862</v>
      </c>
      <c r="AS8" s="79">
        <f t="shared" si="11"/>
        <v>130.71939450674998</v>
      </c>
      <c r="AT8" s="79">
        <f t="shared" si="12"/>
        <v>0</v>
      </c>
      <c r="AU8" s="272" t="b">
        <f t="shared" si="14"/>
        <v>1</v>
      </c>
      <c r="AV8" s="33"/>
      <c r="AW8" s="33"/>
      <c r="BD8" s="33"/>
      <c r="BT8" s="55" t="s">
        <v>113</v>
      </c>
    </row>
    <row r="9" spans="1:74" x14ac:dyDescent="0.25">
      <c r="A9" s="52">
        <f t="shared" si="1"/>
        <v>2025</v>
      </c>
      <c r="B9" s="75">
        <v>49184.185449179429</v>
      </c>
      <c r="C9" s="75">
        <v>128.62945691828992</v>
      </c>
      <c r="D9" s="75">
        <v>0</v>
      </c>
      <c r="E9" s="33"/>
      <c r="F9" s="33"/>
      <c r="G9" s="52">
        <f t="shared" si="2"/>
        <v>2025</v>
      </c>
      <c r="H9" s="254">
        <f t="shared" si="15"/>
        <v>44781.07011902448</v>
      </c>
      <c r="I9" s="254">
        <f t="shared" si="15"/>
        <v>97.944727705280613</v>
      </c>
      <c r="J9" s="254">
        <v>0</v>
      </c>
      <c r="K9" s="254">
        <f t="shared" si="16"/>
        <v>4403.1153301549475</v>
      </c>
      <c r="L9" s="254">
        <f t="shared" si="16"/>
        <v>30.684582183009294</v>
      </c>
      <c r="M9" s="254">
        <v>0</v>
      </c>
      <c r="N9" s="76">
        <f t="shared" si="3"/>
        <v>49184.185449179429</v>
      </c>
      <c r="O9" s="76">
        <f t="shared" si="4"/>
        <v>128.6293098882899</v>
      </c>
      <c r="P9" s="76">
        <f t="shared" si="5"/>
        <v>0</v>
      </c>
      <c r="Q9" s="77">
        <f t="shared" si="6"/>
        <v>0.91047701024337269</v>
      </c>
      <c r="R9" s="77">
        <f t="shared" si="13"/>
        <v>0.76144953113984848</v>
      </c>
      <c r="S9" s="77" t="s">
        <v>162</v>
      </c>
      <c r="T9" s="77">
        <f t="shared" si="7"/>
        <v>8.95229897566273E-2</v>
      </c>
      <c r="U9" s="77">
        <f t="shared" si="8"/>
        <v>0.23855046886015163</v>
      </c>
      <c r="V9" s="77" t="s">
        <v>162</v>
      </c>
      <c r="W9" s="77">
        <v>1</v>
      </c>
      <c r="X9" s="77">
        <v>1</v>
      </c>
      <c r="Y9" s="77">
        <v>0</v>
      </c>
      <c r="Z9" s="54">
        <v>0</v>
      </c>
      <c r="AB9" s="52">
        <f t="shared" si="9"/>
        <v>2025</v>
      </c>
      <c r="AC9" s="78">
        <f>+AG18</f>
        <v>439.98488061316289</v>
      </c>
      <c r="AD9" s="78">
        <v>0</v>
      </c>
      <c r="AE9" s="78">
        <v>0</v>
      </c>
      <c r="AF9" s="78">
        <f>+AG19</f>
        <v>6977.7116311548489</v>
      </c>
      <c r="AG9" s="78">
        <v>0</v>
      </c>
      <c r="AH9" s="78">
        <v>0</v>
      </c>
      <c r="AI9" s="78">
        <v>0</v>
      </c>
      <c r="AJ9" s="78">
        <v>0</v>
      </c>
      <c r="AK9" s="78">
        <v>0</v>
      </c>
      <c r="AL9" s="78">
        <v>0</v>
      </c>
      <c r="AM9" s="78">
        <f>+AH21</f>
        <v>29.458174215212971</v>
      </c>
      <c r="AN9" s="78">
        <v>0</v>
      </c>
      <c r="AO9" s="78">
        <f>+AG22</f>
        <v>41766.488937411399</v>
      </c>
      <c r="AP9" s="78">
        <f>+AH22</f>
        <v>99.171135673076932</v>
      </c>
      <c r="AQ9" s="78">
        <v>0</v>
      </c>
      <c r="AR9" s="79">
        <f t="shared" si="10"/>
        <v>49184.185449179407</v>
      </c>
      <c r="AS9" s="79">
        <f t="shared" si="11"/>
        <v>128.6293098882899</v>
      </c>
      <c r="AT9" s="79">
        <f t="shared" si="12"/>
        <v>0</v>
      </c>
      <c r="AU9" s="272" t="b">
        <f>+ROUND(SUM(AR9:AT9),1)=ROUND(SUM(B9:D9),1)</f>
        <v>1</v>
      </c>
      <c r="AV9" s="33"/>
      <c r="AW9" s="33"/>
      <c r="BD9" s="33"/>
      <c r="BT9" s="55" t="s">
        <v>120</v>
      </c>
    </row>
    <row r="10" spans="1:74" ht="15" customHeight="1" x14ac:dyDescent="0.25">
      <c r="A10" s="52">
        <f t="shared" si="1"/>
        <v>2026</v>
      </c>
      <c r="B10" s="254">
        <v>20868.821774904016</v>
      </c>
      <c r="C10" s="75">
        <v>117.46675821266327</v>
      </c>
      <c r="D10" s="75">
        <v>0</v>
      </c>
      <c r="E10" s="33"/>
      <c r="F10" s="33"/>
      <c r="G10" s="52">
        <f t="shared" si="2"/>
        <v>2026</v>
      </c>
      <c r="H10" s="254">
        <f t="shared" si="15"/>
        <v>18997.673662888021</v>
      </c>
      <c r="I10" s="254">
        <f t="shared" si="15"/>
        <v>93.568841782391218</v>
      </c>
      <c r="J10" s="254">
        <v>0</v>
      </c>
      <c r="K10" s="254">
        <f t="shared" si="16"/>
        <v>1871.1481120159981</v>
      </c>
      <c r="L10" s="254">
        <f t="shared" si="16"/>
        <v>23.897916430272051</v>
      </c>
      <c r="M10" s="254">
        <v>0</v>
      </c>
      <c r="N10" s="76">
        <f t="shared" si="3"/>
        <v>20868.82177490402</v>
      </c>
      <c r="O10" s="76">
        <f t="shared" si="4"/>
        <v>117.46675821266327</v>
      </c>
      <c r="P10" s="76">
        <f t="shared" si="5"/>
        <v>0</v>
      </c>
      <c r="Q10" s="77">
        <f t="shared" si="6"/>
        <v>0.9103376255641723</v>
      </c>
      <c r="R10" s="77">
        <f t="shared" si="13"/>
        <v>0.79655592106315753</v>
      </c>
      <c r="S10" s="77" t="s">
        <v>162</v>
      </c>
      <c r="T10" s="77">
        <f t="shared" si="7"/>
        <v>8.9662374435827669E-2</v>
      </c>
      <c r="U10" s="77">
        <f t="shared" si="8"/>
        <v>0.20344407893684244</v>
      </c>
      <c r="V10" s="77" t="s">
        <v>162</v>
      </c>
      <c r="W10" s="77">
        <v>1</v>
      </c>
      <c r="X10" s="77">
        <v>0.99999999999999989</v>
      </c>
      <c r="Y10" s="77">
        <v>0</v>
      </c>
      <c r="Z10" s="54">
        <v>0</v>
      </c>
      <c r="AB10" s="52">
        <f t="shared" si="9"/>
        <v>2026</v>
      </c>
      <c r="AC10" s="78">
        <f>+AI18</f>
        <v>256.28151954660905</v>
      </c>
      <c r="AD10" s="78">
        <v>0</v>
      </c>
      <c r="AE10" s="78">
        <v>0</v>
      </c>
      <c r="AF10" s="78">
        <f>+AI19</f>
        <v>5294.9985133666351</v>
      </c>
      <c r="AG10" s="78">
        <v>0</v>
      </c>
      <c r="AH10" s="78">
        <v>0</v>
      </c>
      <c r="AI10" s="78">
        <v>0</v>
      </c>
      <c r="AJ10" s="78">
        <v>0</v>
      </c>
      <c r="AK10" s="78">
        <v>0</v>
      </c>
      <c r="AL10" s="78">
        <v>0</v>
      </c>
      <c r="AM10" s="78">
        <f>+AJ21</f>
        <v>22.878116001124791</v>
      </c>
      <c r="AN10" s="78">
        <v>0</v>
      </c>
      <c r="AO10" s="78">
        <f>+AI22</f>
        <v>15317.541741990772</v>
      </c>
      <c r="AP10" s="78">
        <f>+AJ22</f>
        <v>94.58864221153847</v>
      </c>
      <c r="AQ10" s="78">
        <v>0</v>
      </c>
      <c r="AR10" s="79">
        <f t="shared" si="10"/>
        <v>20868.821774904016</v>
      </c>
      <c r="AS10" s="79">
        <f t="shared" si="11"/>
        <v>117.46675821266327</v>
      </c>
      <c r="AT10" s="79">
        <f t="shared" si="12"/>
        <v>0</v>
      </c>
      <c r="AU10" s="272" t="b">
        <f t="shared" si="14"/>
        <v>1</v>
      </c>
      <c r="AV10" s="33"/>
      <c r="AW10" s="46" t="s">
        <v>265</v>
      </c>
      <c r="AX10" s="47" t="s">
        <v>2</v>
      </c>
      <c r="AY10" s="277" t="s">
        <v>264</v>
      </c>
      <c r="AZ10" s="48" t="s">
        <v>100</v>
      </c>
      <c r="BD10" s="33"/>
      <c r="BT10" s="55" t="s">
        <v>114</v>
      </c>
    </row>
    <row r="11" spans="1:74" x14ac:dyDescent="0.25">
      <c r="A11" s="52">
        <f t="shared" si="1"/>
        <v>2027</v>
      </c>
      <c r="B11" s="75">
        <v>10080.378662750367</v>
      </c>
      <c r="C11" s="75">
        <v>111.43952003025399</v>
      </c>
      <c r="D11" s="75">
        <v>0</v>
      </c>
      <c r="E11" s="33"/>
      <c r="F11" s="33"/>
      <c r="G11" s="52">
        <f t="shared" si="2"/>
        <v>2027</v>
      </c>
      <c r="H11" s="254">
        <f t="shared" si="15"/>
        <v>9590.2829284972031</v>
      </c>
      <c r="I11" s="254">
        <f t="shared" si="15"/>
        <v>93.56917386239121</v>
      </c>
      <c r="J11" s="254">
        <v>0</v>
      </c>
      <c r="K11" s="254">
        <f t="shared" si="16"/>
        <v>490.09573425316336</v>
      </c>
      <c r="L11" s="254">
        <f t="shared" si="16"/>
        <v>17.870346167862774</v>
      </c>
      <c r="M11" s="254">
        <v>0</v>
      </c>
      <c r="N11" s="76">
        <f t="shared" si="3"/>
        <v>10080.378662750367</v>
      </c>
      <c r="O11" s="76">
        <f t="shared" si="4"/>
        <v>111.43952003025399</v>
      </c>
      <c r="P11" s="76">
        <f t="shared" si="5"/>
        <v>0</v>
      </c>
      <c r="Q11" s="77">
        <f t="shared" si="6"/>
        <v>0.95138121784410778</v>
      </c>
      <c r="R11" s="77">
        <f t="shared" si="13"/>
        <v>0.83964085485103246</v>
      </c>
      <c r="S11" s="77" t="s">
        <v>162</v>
      </c>
      <c r="T11" s="77">
        <f t="shared" si="7"/>
        <v>4.8618782155892132E-2</v>
      </c>
      <c r="U11" s="77">
        <f t="shared" si="8"/>
        <v>0.16035914514896754</v>
      </c>
      <c r="V11" s="77" t="s">
        <v>162</v>
      </c>
      <c r="W11" s="77">
        <v>1</v>
      </c>
      <c r="X11" s="77">
        <v>1</v>
      </c>
      <c r="Y11" s="77">
        <v>0</v>
      </c>
      <c r="Z11" s="54">
        <v>0</v>
      </c>
      <c r="AB11" s="52">
        <f t="shared" si="9"/>
        <v>2027</v>
      </c>
      <c r="AC11" s="78">
        <f>+AK18</f>
        <v>193.14525825934288</v>
      </c>
      <c r="AD11" s="78">
        <v>0</v>
      </c>
      <c r="AE11" s="78">
        <v>0</v>
      </c>
      <c r="AF11" s="78">
        <f>+AK19</f>
        <v>1876.4056018434517</v>
      </c>
      <c r="AG11" s="78">
        <v>0</v>
      </c>
      <c r="AH11" s="78">
        <v>0</v>
      </c>
      <c r="AI11" s="78">
        <v>0</v>
      </c>
      <c r="AJ11" s="78">
        <v>0</v>
      </c>
      <c r="AK11" s="78">
        <v>0</v>
      </c>
      <c r="AL11" s="78">
        <v>0</v>
      </c>
      <c r="AM11" s="78">
        <f>+AL21</f>
        <v>21.433371280253972</v>
      </c>
      <c r="AN11" s="78">
        <v>0</v>
      </c>
      <c r="AO11" s="78">
        <f>+AK22</f>
        <v>8010.8278026475718</v>
      </c>
      <c r="AP11" s="78">
        <f>+AL22</f>
        <v>90.006148750000008</v>
      </c>
      <c r="AQ11" s="78">
        <v>0</v>
      </c>
      <c r="AR11" s="79">
        <f t="shared" si="10"/>
        <v>10080.378662750367</v>
      </c>
      <c r="AS11" s="79">
        <f t="shared" si="11"/>
        <v>111.43952003025399</v>
      </c>
      <c r="AT11" s="79">
        <f t="shared" si="12"/>
        <v>0</v>
      </c>
      <c r="AU11" s="33" t="b">
        <f t="shared" si="14"/>
        <v>1</v>
      </c>
      <c r="AV11" s="33"/>
      <c r="AW11" s="33"/>
      <c r="AX11" s="82">
        <f>+AX12/$BA$5</f>
        <v>2.7532144246574995E-2</v>
      </c>
      <c r="AY11" s="82">
        <f>+AY12/$BA$5</f>
        <v>9.167622751470747E-2</v>
      </c>
      <c r="AZ11" s="82">
        <f>+AZ12/$BA$5</f>
        <v>0.11920837176128246</v>
      </c>
      <c r="BD11" s="33"/>
      <c r="BT11" s="55" t="s">
        <v>115</v>
      </c>
    </row>
    <row r="12" spans="1:74" x14ac:dyDescent="0.25">
      <c r="A12" s="52">
        <f t="shared" si="1"/>
        <v>2028</v>
      </c>
      <c r="B12" s="75">
        <v>1107.164718012426</v>
      </c>
      <c r="C12" s="75">
        <v>105.54952200807236</v>
      </c>
      <c r="D12" s="75">
        <v>0</v>
      </c>
      <c r="E12" s="33"/>
      <c r="F12" s="33"/>
      <c r="G12" s="52">
        <f t="shared" si="2"/>
        <v>2028</v>
      </c>
      <c r="H12" s="254">
        <f t="shared" si="15"/>
        <v>943.00104047720322</v>
      </c>
      <c r="I12" s="254">
        <f t="shared" si="15"/>
        <v>93.569509912391212</v>
      </c>
      <c r="J12" s="254">
        <v>0</v>
      </c>
      <c r="K12" s="254">
        <f>+SUMIFS($G$21:$V$21,$G$17:$V$17,K$3,$G$18:$V$18,$G12)</f>
        <v>164.16367753522283</v>
      </c>
      <c r="L12" s="254">
        <f t="shared" si="16"/>
        <v>11.98001209568114</v>
      </c>
      <c r="M12" s="254">
        <v>0</v>
      </c>
      <c r="N12" s="76">
        <f t="shared" si="3"/>
        <v>1107.164718012426</v>
      </c>
      <c r="O12" s="76">
        <f t="shared" si="4"/>
        <v>105.54952200807236</v>
      </c>
      <c r="P12" s="76">
        <f t="shared" si="5"/>
        <v>0</v>
      </c>
      <c r="Q12" s="77">
        <f t="shared" si="6"/>
        <v>0.85172605768188836</v>
      </c>
      <c r="R12" s="77">
        <f t="shared" si="13"/>
        <v>0.88649866083936479</v>
      </c>
      <c r="S12" s="77" t="s">
        <v>162</v>
      </c>
      <c r="T12" s="77">
        <f t="shared" si="7"/>
        <v>0.14827394231811167</v>
      </c>
      <c r="U12" s="77">
        <f t="shared" si="8"/>
        <v>0.11350133916063511</v>
      </c>
      <c r="V12" s="77" t="s">
        <v>162</v>
      </c>
      <c r="W12" s="77">
        <v>1</v>
      </c>
      <c r="X12" s="77">
        <v>1</v>
      </c>
      <c r="Y12" s="77">
        <v>0</v>
      </c>
      <c r="Z12" s="54">
        <v>0</v>
      </c>
      <c r="AB12" s="52">
        <f t="shared" si="9"/>
        <v>2028</v>
      </c>
      <c r="AC12" s="78">
        <f>+AM18</f>
        <v>182.16395044041707</v>
      </c>
      <c r="AD12" s="78">
        <v>0</v>
      </c>
      <c r="AE12" s="78">
        <v>0</v>
      </c>
      <c r="AF12" s="78">
        <f>+AM19</f>
        <v>0</v>
      </c>
      <c r="AG12" s="78">
        <v>0</v>
      </c>
      <c r="AH12" s="78">
        <v>0</v>
      </c>
      <c r="AI12" s="78">
        <v>0</v>
      </c>
      <c r="AJ12" s="78">
        <v>0</v>
      </c>
      <c r="AK12" s="78">
        <v>0</v>
      </c>
      <c r="AL12" s="78">
        <v>0</v>
      </c>
      <c r="AM12" s="78">
        <f>+AN21</f>
        <v>20.125866719610805</v>
      </c>
      <c r="AN12" s="78">
        <v>0</v>
      </c>
      <c r="AO12" s="78">
        <f>+AM22</f>
        <v>925.00076757200895</v>
      </c>
      <c r="AP12" s="78">
        <f>+AN22</f>
        <v>85.423655288461546</v>
      </c>
      <c r="AQ12" s="78">
        <v>0</v>
      </c>
      <c r="AR12" s="79">
        <f t="shared" si="10"/>
        <v>1107.164718012426</v>
      </c>
      <c r="AS12" s="79">
        <f t="shared" si="11"/>
        <v>105.54952200807236</v>
      </c>
      <c r="AT12" s="79">
        <f t="shared" si="12"/>
        <v>0</v>
      </c>
      <c r="AU12" s="33" t="b">
        <f t="shared" si="14"/>
        <v>1</v>
      </c>
      <c r="AV12" s="33"/>
      <c r="AW12" s="33"/>
      <c r="AX12" s="80">
        <f>+'Servicios Deuda Anual'!F12+'Servicios Deuda Anual'!F16+'Servicios Deuda Anual'!F38+'Servicios Deuda Anual'!F39+'Servicios Deuda Anual'!F40+'Servicios Deuda Anual'!F41+'Servicios Deuda Anual'!F43</f>
        <v>17.200187870808715</v>
      </c>
      <c r="AY12" s="80">
        <f>+'Servicios Deuda Anual'!F10+'Servicios Deuda Anual'!F11+'Servicios Deuda Anual'!F13+'Servicios Deuda Anual'!F14+'Servicios Deuda Anual'!F36+'Servicios Deuda Anual'!F37+'Servicios Deuda Anual'!F42</f>
        <v>57.272994156135589</v>
      </c>
      <c r="AZ12" s="80">
        <f>SUM(AX12:AY12)</f>
        <v>74.473182026944301</v>
      </c>
      <c r="BD12" s="33"/>
    </row>
    <row r="13" spans="1:74" x14ac:dyDescent="0.25">
      <c r="A13" s="52">
        <f t="shared" si="1"/>
        <v>2029</v>
      </c>
      <c r="B13" s="75">
        <v>1059.3053164075466</v>
      </c>
      <c r="C13" s="75">
        <v>59.738977939246084</v>
      </c>
      <c r="D13" s="75">
        <v>0</v>
      </c>
      <c r="E13" s="33"/>
      <c r="F13" s="33"/>
      <c r="G13" s="52">
        <f t="shared" si="2"/>
        <v>2029</v>
      </c>
      <c r="H13" s="254">
        <f t="shared" si="15"/>
        <v>943.00104047720322</v>
      </c>
      <c r="I13" s="254">
        <f t="shared" si="15"/>
        <v>53.72208074162198</v>
      </c>
      <c r="J13" s="254">
        <v>0</v>
      </c>
      <c r="K13" s="254">
        <f t="shared" si="16"/>
        <v>116.30427593034341</v>
      </c>
      <c r="L13" s="254">
        <f t="shared" si="16"/>
        <v>6.0168971976241039</v>
      </c>
      <c r="M13" s="254">
        <v>0</v>
      </c>
      <c r="N13" s="76">
        <f t="shared" si="3"/>
        <v>1059.3053164075466</v>
      </c>
      <c r="O13" s="76">
        <f t="shared" si="4"/>
        <v>59.738977939246084</v>
      </c>
      <c r="P13" s="76">
        <f t="shared" si="5"/>
        <v>0</v>
      </c>
      <c r="Q13" s="77">
        <f t="shared" si="6"/>
        <v>0.89020703084473374</v>
      </c>
      <c r="R13" s="77">
        <f t="shared" si="13"/>
        <v>0.89928021192891472</v>
      </c>
      <c r="S13" s="77" t="s">
        <v>162</v>
      </c>
      <c r="T13" s="77">
        <f t="shared" si="7"/>
        <v>0.10979296915526633</v>
      </c>
      <c r="U13" s="77">
        <f t="shared" si="8"/>
        <v>0.10071978807108527</v>
      </c>
      <c r="V13" s="77" t="s">
        <v>162</v>
      </c>
      <c r="W13" s="77">
        <v>1</v>
      </c>
      <c r="X13" s="77">
        <v>1</v>
      </c>
      <c r="Y13" s="77">
        <v>0</v>
      </c>
      <c r="Z13" s="54">
        <v>0</v>
      </c>
      <c r="AB13" s="52">
        <f t="shared" si="9"/>
        <v>2029</v>
      </c>
      <c r="AC13" s="78">
        <f>+AO18</f>
        <v>171.85657514446476</v>
      </c>
      <c r="AD13" s="78">
        <v>0</v>
      </c>
      <c r="AE13" s="78">
        <v>0</v>
      </c>
      <c r="AF13" s="78">
        <f>+AO19</f>
        <v>0</v>
      </c>
      <c r="AG13" s="78">
        <v>0</v>
      </c>
      <c r="AH13" s="78">
        <v>0</v>
      </c>
      <c r="AI13" s="78">
        <v>0</v>
      </c>
      <c r="AJ13" s="78">
        <v>0</v>
      </c>
      <c r="AK13" s="78">
        <v>0</v>
      </c>
      <c r="AL13" s="78">
        <v>0</v>
      </c>
      <c r="AM13" s="78">
        <f>+AP21</f>
        <v>18.745585343092234</v>
      </c>
      <c r="AN13" s="78">
        <v>0</v>
      </c>
      <c r="AO13" s="78">
        <f>+AO22</f>
        <v>887.44874126308184</v>
      </c>
      <c r="AP13" s="78">
        <f>+AP22</f>
        <v>40.993392596153853</v>
      </c>
      <c r="AQ13" s="78">
        <v>0</v>
      </c>
      <c r="AR13" s="79">
        <f t="shared" si="10"/>
        <v>1059.3053164075466</v>
      </c>
      <c r="AS13" s="79">
        <f t="shared" si="11"/>
        <v>59.738977939246084</v>
      </c>
      <c r="AT13" s="79">
        <f t="shared" si="12"/>
        <v>0</v>
      </c>
      <c r="AU13" s="33" t="b">
        <f t="shared" si="14"/>
        <v>1</v>
      </c>
      <c r="AV13" s="33"/>
      <c r="AW13" s="33"/>
      <c r="BD13" s="33"/>
    </row>
    <row r="14" spans="1:74" x14ac:dyDescent="0.25">
      <c r="A14" s="52" t="s">
        <v>174</v>
      </c>
      <c r="B14" s="76">
        <v>770.04792382350081</v>
      </c>
      <c r="C14" s="76">
        <v>15.6519839988295</v>
      </c>
      <c r="D14" s="76">
        <v>0</v>
      </c>
      <c r="E14" s="33"/>
      <c r="F14" s="33"/>
      <c r="G14" s="52" t="s">
        <v>174</v>
      </c>
      <c r="H14" s="255">
        <f t="shared" si="15"/>
        <v>731.60554229112802</v>
      </c>
      <c r="I14" s="255">
        <f t="shared" si="15"/>
        <v>13.364520376723032</v>
      </c>
      <c r="J14" s="255">
        <v>0</v>
      </c>
      <c r="K14" s="255">
        <f t="shared" si="16"/>
        <v>38.442381532372799</v>
      </c>
      <c r="L14" s="255">
        <f t="shared" si="16"/>
        <v>2.2874636221064697</v>
      </c>
      <c r="M14" s="255">
        <v>0</v>
      </c>
      <c r="N14" s="76">
        <f t="shared" si="3"/>
        <v>770.04792382350081</v>
      </c>
      <c r="O14" s="76">
        <f t="shared" si="4"/>
        <v>15.651983998829502</v>
      </c>
      <c r="P14" s="76">
        <f t="shared" si="5"/>
        <v>0</v>
      </c>
      <c r="Q14" s="77">
        <f t="shared" si="6"/>
        <v>0.9500779362646733</v>
      </c>
      <c r="R14" s="77">
        <f t="shared" si="13"/>
        <v>0.85385471756950859</v>
      </c>
      <c r="S14" s="77" t="s">
        <v>162</v>
      </c>
      <c r="T14" s="77">
        <f t="shared" si="7"/>
        <v>4.9922063735326691E-2</v>
      </c>
      <c r="U14" s="77">
        <f t="shared" si="8"/>
        <v>0.14614528243049141</v>
      </c>
      <c r="V14" s="77" t="s">
        <v>162</v>
      </c>
      <c r="W14" s="77">
        <v>1</v>
      </c>
      <c r="X14" s="77">
        <v>1</v>
      </c>
      <c r="Y14" s="77">
        <v>0</v>
      </c>
      <c r="Z14" s="54">
        <v>0</v>
      </c>
      <c r="AB14" s="52" t="s">
        <v>174</v>
      </c>
      <c r="AC14" s="76">
        <f>+AQ18</f>
        <v>139.35112366321505</v>
      </c>
      <c r="AD14" s="76">
        <v>0</v>
      </c>
      <c r="AE14" s="76">
        <v>0</v>
      </c>
      <c r="AF14" s="76">
        <f>+AQ19</f>
        <v>0</v>
      </c>
      <c r="AG14" s="76">
        <v>0</v>
      </c>
      <c r="AH14" s="76">
        <v>0</v>
      </c>
      <c r="AI14" s="76">
        <v>0</v>
      </c>
      <c r="AJ14" s="76">
        <v>0</v>
      </c>
      <c r="AK14" s="76">
        <v>0</v>
      </c>
      <c r="AL14" s="76">
        <v>0</v>
      </c>
      <c r="AM14" s="76">
        <f>+AR21</f>
        <v>15.6519839988295</v>
      </c>
      <c r="AN14" s="76">
        <v>0</v>
      </c>
      <c r="AO14" s="76">
        <f>+AQ22</f>
        <v>630.69680016028576</v>
      </c>
      <c r="AP14" s="76">
        <f>+AR22</f>
        <v>0</v>
      </c>
      <c r="AQ14" s="76">
        <v>0</v>
      </c>
      <c r="AR14" s="79">
        <f t="shared" si="10"/>
        <v>770.04792382350081</v>
      </c>
      <c r="AS14" s="79">
        <f t="shared" si="11"/>
        <v>15.6519839988295</v>
      </c>
      <c r="AT14" s="79">
        <f t="shared" si="12"/>
        <v>0</v>
      </c>
      <c r="AU14" s="33" t="b">
        <f t="shared" si="14"/>
        <v>1</v>
      </c>
      <c r="AV14" s="33"/>
      <c r="AW14" s="33"/>
      <c r="AY14" s="91" t="s">
        <v>142</v>
      </c>
      <c r="AZ14" s="92">
        <f>+AZ12+AY5-'Servicios Deuda Anual'!$F$45</f>
        <v>0</v>
      </c>
      <c r="BD14" s="33"/>
      <c r="BT14" s="55"/>
    </row>
    <row r="15" spans="1:74" x14ac:dyDescent="0.25">
      <c r="A15" s="94"/>
      <c r="B15" s="95"/>
      <c r="C15" s="95"/>
      <c r="D15" s="95"/>
      <c r="E15" s="33"/>
      <c r="F15" s="33"/>
      <c r="G15" s="94"/>
      <c r="H15" s="95"/>
      <c r="I15" s="95"/>
      <c r="J15" s="95"/>
      <c r="K15" s="95"/>
      <c r="L15" s="95"/>
      <c r="M15" s="95"/>
      <c r="N15" s="96"/>
      <c r="O15" s="96"/>
      <c r="P15" s="96"/>
      <c r="Q15" s="97"/>
      <c r="R15" s="97"/>
      <c r="S15" s="97"/>
      <c r="T15" s="97"/>
      <c r="U15" s="97"/>
      <c r="V15" s="97"/>
      <c r="W15" s="97"/>
      <c r="X15" s="97"/>
      <c r="Y15" s="97"/>
      <c r="Z15" s="54"/>
      <c r="AB15" s="94"/>
      <c r="AC15" s="98"/>
      <c r="AD15" s="98"/>
      <c r="AE15" s="98"/>
      <c r="AF15" s="98"/>
      <c r="AG15" s="98"/>
      <c r="AH15" s="98"/>
      <c r="AI15" s="98"/>
      <c r="AJ15" s="98"/>
      <c r="AK15" s="98"/>
      <c r="AL15" s="98"/>
      <c r="AM15" s="98"/>
      <c r="AN15" s="98"/>
      <c r="AO15" s="98"/>
      <c r="AP15" s="98"/>
      <c r="AQ15" s="98"/>
      <c r="AR15" s="99"/>
      <c r="AS15" s="99"/>
      <c r="AT15" s="99"/>
      <c r="AU15" s="33"/>
      <c r="AV15" s="33"/>
      <c r="AW15" s="33"/>
      <c r="BD15" s="33"/>
    </row>
    <row r="16" spans="1:74" x14ac:dyDescent="0.25">
      <c r="A16" s="94"/>
      <c r="B16" s="95"/>
      <c r="C16" s="95"/>
      <c r="D16" s="95"/>
      <c r="E16" s="33"/>
      <c r="F16" s="33"/>
      <c r="G16" s="94"/>
      <c r="H16" s="95"/>
      <c r="I16" s="95"/>
      <c r="J16" s="95"/>
      <c r="K16" s="95"/>
      <c r="L16" s="95"/>
      <c r="M16" s="95"/>
      <c r="N16" s="96"/>
      <c r="O16" s="96"/>
      <c r="P16" s="96"/>
      <c r="Q16" s="97"/>
      <c r="R16" s="97"/>
      <c r="S16" s="97"/>
      <c r="T16" s="97"/>
      <c r="U16" s="97"/>
      <c r="V16" s="97"/>
      <c r="W16" s="97"/>
      <c r="X16" s="97"/>
      <c r="Y16" s="97"/>
      <c r="Z16" s="54"/>
      <c r="AB16" s="94"/>
      <c r="AC16" s="98"/>
      <c r="AD16" s="98"/>
      <c r="AE16" s="98"/>
      <c r="AF16" s="98"/>
      <c r="AG16" s="98"/>
      <c r="AH16" s="98"/>
      <c r="AI16" s="98"/>
      <c r="AJ16" s="98"/>
      <c r="AK16" s="98"/>
      <c r="AL16" s="98"/>
      <c r="AM16" s="98"/>
      <c r="AN16" s="98"/>
      <c r="AO16" s="98"/>
      <c r="AP16" s="98"/>
      <c r="AQ16" s="98"/>
      <c r="AR16" s="99"/>
      <c r="AS16" s="99"/>
      <c r="AT16" s="99"/>
      <c r="AU16" s="33"/>
      <c r="AV16" s="33"/>
      <c r="AW16" s="33"/>
      <c r="BD16" s="33"/>
    </row>
    <row r="17" spans="1:68" x14ac:dyDescent="0.25">
      <c r="A17" s="94"/>
      <c r="B17" s="95"/>
      <c r="C17" s="95"/>
      <c r="D17" s="95"/>
      <c r="E17" s="33"/>
      <c r="F17" s="33"/>
      <c r="G17" s="94" t="s">
        <v>2</v>
      </c>
      <c r="H17" s="95" t="s">
        <v>97</v>
      </c>
      <c r="I17" s="94" t="s">
        <v>2</v>
      </c>
      <c r="J17" s="95" t="s">
        <v>97</v>
      </c>
      <c r="K17" s="94" t="s">
        <v>2</v>
      </c>
      <c r="L17" s="95" t="s">
        <v>97</v>
      </c>
      <c r="M17" s="94" t="s">
        <v>2</v>
      </c>
      <c r="N17" s="95" t="s">
        <v>97</v>
      </c>
      <c r="O17" s="94" t="s">
        <v>2</v>
      </c>
      <c r="P17" s="95" t="s">
        <v>97</v>
      </c>
      <c r="Q17" s="94" t="s">
        <v>2</v>
      </c>
      <c r="R17" s="95" t="s">
        <v>97</v>
      </c>
      <c r="S17" s="94" t="s">
        <v>2</v>
      </c>
      <c r="T17" s="95" t="s">
        <v>97</v>
      </c>
      <c r="U17" s="94" t="s">
        <v>2</v>
      </c>
      <c r="V17" s="95" t="s">
        <v>97</v>
      </c>
      <c r="W17" s="97"/>
      <c r="X17" s="97"/>
      <c r="Y17" s="97"/>
      <c r="Z17" s="54"/>
      <c r="AB17" s="94"/>
      <c r="AC17" s="94">
        <v>2023</v>
      </c>
      <c r="AD17" s="94">
        <v>2023</v>
      </c>
      <c r="AE17" s="94">
        <v>2024</v>
      </c>
      <c r="AF17" s="94">
        <v>2024</v>
      </c>
      <c r="AG17" s="94">
        <v>2025</v>
      </c>
      <c r="AH17" s="94">
        <v>2025</v>
      </c>
      <c r="AI17" s="94">
        <v>2026</v>
      </c>
      <c r="AJ17" s="94">
        <v>2026</v>
      </c>
      <c r="AK17" s="94">
        <v>2027</v>
      </c>
      <c r="AL17" s="94">
        <v>2027</v>
      </c>
      <c r="AM17" s="94">
        <v>2028</v>
      </c>
      <c r="AN17" s="94">
        <v>2028</v>
      </c>
      <c r="AO17" s="94">
        <v>2029</v>
      </c>
      <c r="AP17" s="94">
        <v>2029</v>
      </c>
      <c r="AQ17" s="94" t="s">
        <v>171</v>
      </c>
      <c r="AR17" s="94" t="s">
        <v>171</v>
      </c>
      <c r="AS17" s="99"/>
      <c r="AT17" s="99"/>
      <c r="AU17" s="33"/>
      <c r="AV17" s="33"/>
      <c r="AW17" s="33"/>
      <c r="BD17" s="33"/>
    </row>
    <row r="18" spans="1:68" x14ac:dyDescent="0.25">
      <c r="A18" s="94">
        <v>2023</v>
      </c>
      <c r="B18" s="254">
        <v>57379.118437812736</v>
      </c>
      <c r="C18" s="254">
        <v>130.1440193267137</v>
      </c>
      <c r="D18" s="95"/>
      <c r="E18" s="33"/>
      <c r="F18" s="33"/>
      <c r="G18" s="94">
        <v>2023</v>
      </c>
      <c r="H18" s="94">
        <v>2023</v>
      </c>
      <c r="I18" s="94">
        <v>2024</v>
      </c>
      <c r="J18" s="94">
        <v>2024</v>
      </c>
      <c r="K18" s="94">
        <v>2025</v>
      </c>
      <c r="L18" s="94">
        <v>2025</v>
      </c>
      <c r="M18" s="94">
        <v>2026</v>
      </c>
      <c r="N18" s="94">
        <v>2026</v>
      </c>
      <c r="O18" s="94">
        <v>2027</v>
      </c>
      <c r="P18" s="94">
        <v>2027</v>
      </c>
      <c r="Q18" s="94">
        <v>2028</v>
      </c>
      <c r="R18" s="94">
        <v>2028</v>
      </c>
      <c r="S18" s="94">
        <v>2029</v>
      </c>
      <c r="T18" s="94">
        <v>2029</v>
      </c>
      <c r="U18" s="94" t="s">
        <v>174</v>
      </c>
      <c r="V18" s="94" t="s">
        <v>174</v>
      </c>
      <c r="W18" s="97"/>
      <c r="X18" s="97"/>
      <c r="Y18" s="97"/>
      <c r="Z18" s="54"/>
      <c r="AB18" s="94" t="s">
        <v>176</v>
      </c>
      <c r="AC18" s="195">
        <v>15170.333164879847</v>
      </c>
      <c r="AD18" s="195">
        <v>0</v>
      </c>
      <c r="AE18" s="257">
        <v>1771.5594249790502</v>
      </c>
      <c r="AF18" s="98">
        <v>0</v>
      </c>
      <c r="AG18" s="257">
        <v>439.98488061316289</v>
      </c>
      <c r="AH18" s="257">
        <v>0</v>
      </c>
      <c r="AI18" s="257">
        <v>256.28151954660905</v>
      </c>
      <c r="AJ18" s="257">
        <v>0</v>
      </c>
      <c r="AK18" s="257">
        <v>193.14525825934288</v>
      </c>
      <c r="AL18" s="257">
        <v>0</v>
      </c>
      <c r="AM18" s="257">
        <v>182.16395044041707</v>
      </c>
      <c r="AN18" s="257">
        <v>0</v>
      </c>
      <c r="AO18" s="257">
        <v>171.85657514446476</v>
      </c>
      <c r="AP18" s="257">
        <v>0</v>
      </c>
      <c r="AQ18" s="257">
        <v>139.35112366321505</v>
      </c>
      <c r="AR18" s="99">
        <v>0</v>
      </c>
      <c r="AS18" s="99"/>
      <c r="AT18" s="99"/>
      <c r="AU18" s="33"/>
      <c r="AV18" s="33"/>
      <c r="AW18" s="33"/>
      <c r="BD18" s="33"/>
    </row>
    <row r="19" spans="1:68" x14ac:dyDescent="0.25">
      <c r="A19" s="94">
        <v>2024</v>
      </c>
      <c r="B19" s="254">
        <v>54826.867208328862</v>
      </c>
      <c r="C19" s="254">
        <v>130.71939450674998</v>
      </c>
      <c r="D19" s="111"/>
      <c r="E19" s="33"/>
      <c r="F19" s="33" t="s">
        <v>216</v>
      </c>
      <c r="G19" s="193">
        <v>57379.118437812736</v>
      </c>
      <c r="H19" s="194">
        <v>130.1440193267137</v>
      </c>
      <c r="I19" s="268">
        <v>54826.867208328862</v>
      </c>
      <c r="J19" s="268">
        <v>130.71939450674998</v>
      </c>
      <c r="K19" s="268">
        <v>49184.2</v>
      </c>
      <c r="L19" s="268">
        <v>128.6293098882899</v>
      </c>
      <c r="M19" s="268">
        <v>20868.82177490402</v>
      </c>
      <c r="N19" s="269">
        <v>117.46675821266327</v>
      </c>
      <c r="O19" s="269">
        <v>10080.378662750367</v>
      </c>
      <c r="P19" s="269">
        <v>111.43952003025399</v>
      </c>
      <c r="Q19" s="270">
        <v>1107.164718012426</v>
      </c>
      <c r="R19" s="270">
        <v>105.54952200807236</v>
      </c>
      <c r="S19" s="270">
        <v>1059.3053164075466</v>
      </c>
      <c r="T19" s="270">
        <v>59.738977939246084</v>
      </c>
      <c r="U19" s="270">
        <v>770.04792382350081</v>
      </c>
      <c r="V19" s="270">
        <v>15.651983998829502</v>
      </c>
      <c r="W19" s="97"/>
      <c r="X19" s="97"/>
      <c r="Y19" s="97"/>
      <c r="Z19" s="54"/>
      <c r="AB19" s="94" t="s">
        <v>177</v>
      </c>
      <c r="AC19" s="195">
        <v>19546.544825953002</v>
      </c>
      <c r="AD19" s="195">
        <v>0</v>
      </c>
      <c r="AE19" s="257">
        <v>13647.143545820103</v>
      </c>
      <c r="AF19" s="98">
        <v>0</v>
      </c>
      <c r="AG19" s="257">
        <v>6977.7116311548489</v>
      </c>
      <c r="AH19" s="257">
        <v>0</v>
      </c>
      <c r="AI19" s="257">
        <v>5294.9985133666351</v>
      </c>
      <c r="AJ19" s="257">
        <v>0</v>
      </c>
      <c r="AK19" s="257">
        <v>1876.4056018434517</v>
      </c>
      <c r="AL19" s="257">
        <v>0</v>
      </c>
      <c r="AM19" s="257">
        <v>0</v>
      </c>
      <c r="AN19" s="257">
        <v>0</v>
      </c>
      <c r="AO19" s="257">
        <v>0</v>
      </c>
      <c r="AP19" s="257">
        <v>0</v>
      </c>
      <c r="AQ19" s="98">
        <v>0</v>
      </c>
      <c r="AR19" s="99">
        <v>0</v>
      </c>
      <c r="AS19" s="99"/>
      <c r="AT19" s="99"/>
      <c r="AU19" s="33"/>
      <c r="AV19" s="33"/>
      <c r="AW19" s="33"/>
      <c r="BD19" s="33"/>
    </row>
    <row r="20" spans="1:68" ht="27" customHeight="1" x14ac:dyDescent="0.25">
      <c r="A20" s="94">
        <v>2025</v>
      </c>
      <c r="B20" s="254">
        <v>49184.185449179429</v>
      </c>
      <c r="C20" s="254">
        <v>128.62945691828992</v>
      </c>
      <c r="D20" s="95"/>
      <c r="E20" s="33"/>
      <c r="F20" s="33" t="s">
        <v>85</v>
      </c>
      <c r="G20" s="193">
        <v>28597.187327013424</v>
      </c>
      <c r="H20" s="194">
        <v>96.00533608296891</v>
      </c>
      <c r="I20" s="268">
        <v>36598.278251564181</v>
      </c>
      <c r="J20" s="268">
        <v>96.06220686135859</v>
      </c>
      <c r="K20" s="268">
        <v>44781.07011902448</v>
      </c>
      <c r="L20" s="268">
        <v>97.944727705280613</v>
      </c>
      <c r="M20" s="268">
        <v>18997.673662888021</v>
      </c>
      <c r="N20" s="269">
        <v>93.568841782391218</v>
      </c>
      <c r="O20" s="269">
        <v>9590.2829284972031</v>
      </c>
      <c r="P20" s="269">
        <v>93.56917386239121</v>
      </c>
      <c r="Q20" s="270">
        <v>943.00104047720322</v>
      </c>
      <c r="R20" s="270">
        <v>93.569509912391212</v>
      </c>
      <c r="S20" s="270">
        <v>943.00104047720322</v>
      </c>
      <c r="T20" s="270">
        <v>53.72208074162198</v>
      </c>
      <c r="U20" s="270">
        <v>731.60554229112802</v>
      </c>
      <c r="V20" s="270">
        <v>13.364520376723032</v>
      </c>
      <c r="W20" s="97"/>
      <c r="X20" s="97"/>
      <c r="Y20" s="97"/>
      <c r="Z20" s="54"/>
      <c r="AB20" s="94" t="s">
        <v>179</v>
      </c>
      <c r="AC20" s="195"/>
      <c r="AD20" s="195"/>
      <c r="AE20" s="257"/>
      <c r="AF20" s="98"/>
      <c r="AG20" s="98">
        <v>0</v>
      </c>
      <c r="AH20" s="98"/>
      <c r="AI20" s="98"/>
      <c r="AJ20" s="98"/>
      <c r="AK20" s="98"/>
      <c r="AL20" s="98"/>
      <c r="AM20" s="98"/>
      <c r="AN20" s="98"/>
      <c r="AO20" s="98"/>
      <c r="AP20" s="98"/>
      <c r="AQ20" s="98"/>
      <c r="AR20" s="99"/>
      <c r="AS20" s="99"/>
      <c r="AT20" s="99"/>
      <c r="AU20" s="33"/>
      <c r="AV20" s="33"/>
      <c r="AW20" s="33"/>
      <c r="BD20" s="46" t="s">
        <v>263</v>
      </c>
      <c r="BE20" s="48" t="s">
        <v>87</v>
      </c>
      <c r="BF20" s="48" t="s">
        <v>88</v>
      </c>
      <c r="BG20" s="49" t="s">
        <v>89</v>
      </c>
      <c r="BH20" s="49" t="s">
        <v>90</v>
      </c>
      <c r="BI20" s="49" t="s">
        <v>91</v>
      </c>
      <c r="BJ20" s="48" t="s">
        <v>100</v>
      </c>
    </row>
    <row r="21" spans="1:68" ht="18" x14ac:dyDescent="0.25">
      <c r="A21" s="94">
        <v>2026</v>
      </c>
      <c r="B21" s="254">
        <v>20868.821774904016</v>
      </c>
      <c r="C21" s="254">
        <v>117.46675821266327</v>
      </c>
      <c r="D21" s="95"/>
      <c r="E21" s="33"/>
      <c r="F21" s="33" t="s">
        <v>86</v>
      </c>
      <c r="G21" s="193">
        <v>28781.931110799313</v>
      </c>
      <c r="H21" s="194">
        <v>34.138683243744772</v>
      </c>
      <c r="I21" s="268">
        <v>18228.588956764681</v>
      </c>
      <c r="J21" s="268">
        <v>34.657187645391396</v>
      </c>
      <c r="K21" s="268">
        <v>4403.1153301549475</v>
      </c>
      <c r="L21" s="268">
        <v>30.684582183009294</v>
      </c>
      <c r="M21" s="268">
        <v>1871.1481120159981</v>
      </c>
      <c r="N21" s="269">
        <v>23.897916430272051</v>
      </c>
      <c r="O21" s="269">
        <v>490.09573425316336</v>
      </c>
      <c r="P21" s="269">
        <v>17.870346167862774</v>
      </c>
      <c r="Q21" s="270">
        <v>164.16367753522283</v>
      </c>
      <c r="R21" s="270">
        <v>11.98001209568114</v>
      </c>
      <c r="S21" s="270">
        <v>116.30427593034341</v>
      </c>
      <c r="T21" s="270">
        <v>6.0168971976241039</v>
      </c>
      <c r="U21" s="270">
        <v>38.442381532372799</v>
      </c>
      <c r="V21" s="270">
        <v>2.2874636221064697</v>
      </c>
      <c r="W21" s="97"/>
      <c r="X21" s="97"/>
      <c r="Y21" s="97"/>
      <c r="Z21" s="54"/>
      <c r="AB21" s="94" t="s">
        <v>178</v>
      </c>
      <c r="AC21" s="195">
        <v>0</v>
      </c>
      <c r="AD21" s="195">
        <v>25.615006634405987</v>
      </c>
      <c r="AE21" s="257">
        <v>0</v>
      </c>
      <c r="AF21" s="257">
        <v>26.965765376749996</v>
      </c>
      <c r="AG21" s="257">
        <v>0</v>
      </c>
      <c r="AH21" s="257">
        <v>29.458174215212971</v>
      </c>
      <c r="AI21" s="257">
        <v>0</v>
      </c>
      <c r="AJ21" s="257">
        <v>22.878116001124791</v>
      </c>
      <c r="AK21" s="257">
        <v>0</v>
      </c>
      <c r="AL21" s="257">
        <v>21.433371280253972</v>
      </c>
      <c r="AM21" s="257">
        <v>0</v>
      </c>
      <c r="AN21" s="257">
        <v>20.125866719610805</v>
      </c>
      <c r="AO21" s="257">
        <v>0</v>
      </c>
      <c r="AP21" s="257">
        <v>18.745585343092234</v>
      </c>
      <c r="AQ21" s="257">
        <v>0</v>
      </c>
      <c r="AR21" s="258">
        <v>15.6519839988295</v>
      </c>
      <c r="AS21" s="99"/>
      <c r="AT21" s="99"/>
      <c r="AU21" s="33"/>
      <c r="AV21" s="33"/>
      <c r="AW21" s="33"/>
      <c r="BD21" s="48" t="s">
        <v>47</v>
      </c>
      <c r="BE21" s="82">
        <f>+BE22/$BJ$22</f>
        <v>2.0296241878604245E-3</v>
      </c>
      <c r="BF21" s="82">
        <f t="shared" ref="BF21:BJ21" si="17">+BF22/$BJ$22</f>
        <v>1.6136396362821957E-2</v>
      </c>
      <c r="BG21" s="82">
        <f t="shared" si="17"/>
        <v>0</v>
      </c>
      <c r="BH21" s="82">
        <f t="shared" si="17"/>
        <v>0.3067368070042325</v>
      </c>
      <c r="BI21" s="82">
        <f t="shared" si="17"/>
        <v>0.67509717244508505</v>
      </c>
      <c r="BJ21" s="82">
        <f t="shared" si="17"/>
        <v>1</v>
      </c>
      <c r="BP21" s="196" t="s">
        <v>220</v>
      </c>
    </row>
    <row r="22" spans="1:68" ht="16.5" x14ac:dyDescent="0.25">
      <c r="A22" s="94">
        <v>2027</v>
      </c>
      <c r="B22" s="254">
        <v>10080.378662750367</v>
      </c>
      <c r="C22" s="254">
        <v>111.43952003025399</v>
      </c>
      <c r="D22" s="95"/>
      <c r="E22" s="33"/>
      <c r="F22" s="33"/>
      <c r="G22" s="94"/>
      <c r="H22" s="95"/>
      <c r="I22" s="95"/>
      <c r="J22" s="95"/>
      <c r="K22" s="95"/>
      <c r="L22" s="95"/>
      <c r="M22" s="95"/>
      <c r="N22" s="96"/>
      <c r="O22" s="96"/>
      <c r="P22" s="96"/>
      <c r="Q22" s="97"/>
      <c r="R22" s="97"/>
      <c r="S22" s="97"/>
      <c r="T22" s="97"/>
      <c r="U22" s="97"/>
      <c r="V22" s="97"/>
      <c r="W22" s="97"/>
      <c r="X22" s="97"/>
      <c r="Y22" s="97"/>
      <c r="Z22" s="54"/>
      <c r="AB22" s="94" t="s">
        <v>180</v>
      </c>
      <c r="AC22" s="195">
        <v>22662.240446979886</v>
      </c>
      <c r="AD22" s="195">
        <v>104.5290126923077</v>
      </c>
      <c r="AE22" s="257">
        <v>39408.164237529709</v>
      </c>
      <c r="AF22" s="257">
        <v>103.75362912999999</v>
      </c>
      <c r="AG22" s="257">
        <v>41766.488937411399</v>
      </c>
      <c r="AH22" s="257">
        <v>99.171135673076932</v>
      </c>
      <c r="AI22" s="257">
        <v>15317.541741990772</v>
      </c>
      <c r="AJ22" s="257">
        <v>94.58864221153847</v>
      </c>
      <c r="AK22" s="257">
        <v>8010.8278026475718</v>
      </c>
      <c r="AL22" s="257">
        <v>90.006148750000008</v>
      </c>
      <c r="AM22" s="257">
        <v>925.00076757200895</v>
      </c>
      <c r="AN22" s="257">
        <v>85.423655288461546</v>
      </c>
      <c r="AO22" s="257">
        <v>887.44874126308184</v>
      </c>
      <c r="AP22" s="257">
        <v>40.993392596153853</v>
      </c>
      <c r="AQ22" s="257">
        <v>630.69680016028576</v>
      </c>
      <c r="AR22" s="258">
        <v>0</v>
      </c>
      <c r="AS22" s="99"/>
      <c r="AT22" s="99"/>
      <c r="AU22" s="33"/>
      <c r="AV22" s="33"/>
      <c r="AW22" s="33"/>
      <c r="BD22" s="48" t="s">
        <v>99</v>
      </c>
      <c r="BE22" s="84">
        <f>+'Servicios Deuda Anual'!F9</f>
        <v>1.2679694333171914</v>
      </c>
      <c r="BF22" s="84">
        <f>+'Servicios Deuda Anual'!F15</f>
        <v>10.080909300513317</v>
      </c>
      <c r="BG22" s="84">
        <v>0</v>
      </c>
      <c r="BH22" s="84">
        <f>+'Servicios Deuda Anual'!F17</f>
        <v>191.62803522000002</v>
      </c>
      <c r="BI22" s="84">
        <f>+'Servicios Deuda Anual'!F34</f>
        <v>421.7542263731138</v>
      </c>
      <c r="BJ22" s="83">
        <f>SUM(BE22:BI22)</f>
        <v>624.73114032694434</v>
      </c>
      <c r="BP22" s="197" t="s">
        <v>221</v>
      </c>
    </row>
    <row r="23" spans="1:68" ht="15.75" x14ac:dyDescent="0.25">
      <c r="A23" s="94">
        <v>2028</v>
      </c>
      <c r="B23" s="254">
        <v>1107.164718012426</v>
      </c>
      <c r="C23" s="254">
        <v>105.54952200807236</v>
      </c>
      <c r="D23" s="95"/>
      <c r="E23" s="33"/>
      <c r="F23" s="33"/>
      <c r="G23" s="94"/>
      <c r="H23" s="95"/>
      <c r="I23" s="94"/>
      <c r="J23" s="95"/>
      <c r="K23" s="94"/>
      <c r="L23" s="95"/>
      <c r="M23" s="94"/>
      <c r="N23" s="95"/>
      <c r="O23" s="94"/>
      <c r="P23" s="95"/>
      <c r="Q23" s="94"/>
      <c r="R23" s="95"/>
      <c r="S23" s="94"/>
      <c r="T23" s="95"/>
      <c r="U23" s="94"/>
      <c r="V23" s="95"/>
      <c r="W23" s="97"/>
      <c r="X23" s="97"/>
      <c r="Y23" s="97"/>
      <c r="Z23" s="54"/>
      <c r="AB23" s="94"/>
      <c r="AC23" s="195"/>
      <c r="AD23" s="195"/>
      <c r="AE23" s="98"/>
      <c r="AF23" s="98"/>
      <c r="AG23" s="98"/>
      <c r="AH23" s="98"/>
      <c r="AI23" s="98"/>
      <c r="AJ23" s="98"/>
      <c r="AK23" s="98"/>
      <c r="AL23" s="98"/>
      <c r="AM23" s="98"/>
      <c r="AN23" s="98"/>
      <c r="AO23" s="98"/>
      <c r="AP23" s="98"/>
      <c r="AQ23" s="98"/>
      <c r="AR23" s="99"/>
      <c r="AS23" s="99"/>
      <c r="AT23" s="99"/>
      <c r="AU23" s="33"/>
      <c r="AV23" s="33"/>
      <c r="AW23" s="33"/>
      <c r="BD23" s="33"/>
      <c r="BP23" s="197" t="s">
        <v>248</v>
      </c>
    </row>
    <row r="24" spans="1:68" x14ac:dyDescent="0.25">
      <c r="A24" s="94">
        <v>2029</v>
      </c>
      <c r="B24" s="254">
        <v>1059.3053164075466</v>
      </c>
      <c r="C24" s="254">
        <v>59.738977939246084</v>
      </c>
      <c r="D24" s="95"/>
      <c r="E24" s="33"/>
      <c r="F24" s="33"/>
      <c r="G24" s="94"/>
      <c r="H24" s="94"/>
      <c r="I24" s="94"/>
      <c r="J24" s="94"/>
      <c r="K24" s="94"/>
      <c r="L24" s="94"/>
      <c r="M24" s="94"/>
      <c r="N24" s="94"/>
      <c r="O24" s="94"/>
      <c r="P24" s="94"/>
      <c r="Q24" s="94"/>
      <c r="R24" s="94"/>
      <c r="S24" s="94"/>
      <c r="T24" s="94"/>
      <c r="U24" s="94"/>
      <c r="V24" s="94"/>
      <c r="W24" s="97"/>
      <c r="X24" s="97"/>
      <c r="Y24" s="97"/>
      <c r="Z24" s="54"/>
      <c r="AB24" s="94"/>
      <c r="AC24" s="195" t="b">
        <f>+SUM(AC18:AC22)=G19</f>
        <v>1</v>
      </c>
      <c r="AD24" s="195" t="b">
        <f t="shared" ref="AD24:AP24" si="18">+SUM(AD18:AD22)=H19</f>
        <v>1</v>
      </c>
      <c r="AE24" s="98" t="b">
        <f t="shared" si="18"/>
        <v>1</v>
      </c>
      <c r="AF24" s="98" t="b">
        <f t="shared" si="18"/>
        <v>1</v>
      </c>
      <c r="AG24" s="271" t="b">
        <f>+ROUND(SUM(AG18:AG22),1)=ROUND(K19,2)</f>
        <v>1</v>
      </c>
      <c r="AH24" s="98" t="b">
        <f t="shared" si="18"/>
        <v>1</v>
      </c>
      <c r="AI24" s="271" t="b">
        <f t="shared" si="18"/>
        <v>1</v>
      </c>
      <c r="AJ24" s="98" t="b">
        <f t="shared" si="18"/>
        <v>1</v>
      </c>
      <c r="AK24" s="98" t="b">
        <f t="shared" si="18"/>
        <v>1</v>
      </c>
      <c r="AL24" s="98" t="b">
        <f t="shared" si="18"/>
        <v>1</v>
      </c>
      <c r="AM24" s="98" t="b">
        <f t="shared" si="18"/>
        <v>1</v>
      </c>
      <c r="AN24" s="98" t="b">
        <f t="shared" si="18"/>
        <v>1</v>
      </c>
      <c r="AO24" s="98" t="b">
        <f t="shared" si="18"/>
        <v>1</v>
      </c>
      <c r="AP24" s="98" t="b">
        <f t="shared" si="18"/>
        <v>1</v>
      </c>
      <c r="AQ24" s="98" t="b">
        <f>+SUM(AQ18:AQ22)=U19</f>
        <v>1</v>
      </c>
      <c r="AR24" s="98" t="b">
        <f>+SUM(AR18:AR22)=V19</f>
        <v>1</v>
      </c>
      <c r="AS24" s="99"/>
      <c r="AT24" s="99"/>
      <c r="AU24" s="33"/>
      <c r="AV24" s="33"/>
      <c r="AW24" s="33"/>
      <c r="BD24" s="33"/>
      <c r="BI24" s="91" t="s">
        <v>142</v>
      </c>
      <c r="BJ24" s="92">
        <f>+BJ22-'Servicios Deuda Anual'!$F$45</f>
        <v>0</v>
      </c>
    </row>
    <row r="25" spans="1:68" x14ac:dyDescent="0.25">
      <c r="A25" s="94" t="s">
        <v>174</v>
      </c>
      <c r="B25" s="254">
        <v>770.04792382350081</v>
      </c>
      <c r="C25" s="254">
        <v>15.6519839988295</v>
      </c>
      <c r="D25" s="95"/>
      <c r="E25" s="33"/>
      <c r="F25" s="33"/>
      <c r="G25" s="263"/>
      <c r="H25" s="263"/>
      <c r="I25" s="263"/>
      <c r="J25" s="263"/>
      <c r="K25" s="263"/>
      <c r="L25" s="263"/>
      <c r="M25" s="263"/>
      <c r="N25" s="263"/>
      <c r="O25" s="263"/>
      <c r="P25" s="263"/>
      <c r="Q25" s="263"/>
      <c r="R25" s="263"/>
      <c r="S25" s="263"/>
      <c r="T25" s="263"/>
      <c r="U25" s="263"/>
      <c r="V25" s="263"/>
      <c r="W25" s="97"/>
      <c r="X25" s="97"/>
      <c r="Y25" s="97"/>
      <c r="Z25" s="54"/>
      <c r="AB25" s="94"/>
      <c r="AC25" s="98"/>
      <c r="AD25" s="98"/>
      <c r="AE25" s="98"/>
      <c r="AF25" s="98"/>
      <c r="AG25" s="98"/>
      <c r="AH25" s="98"/>
      <c r="AI25" s="98"/>
      <c r="AJ25" s="98"/>
      <c r="AK25" s="98"/>
      <c r="AL25" s="98"/>
      <c r="AM25" s="98"/>
      <c r="AN25" s="98"/>
      <c r="AO25" s="98"/>
      <c r="AP25" s="98"/>
      <c r="AQ25" s="98"/>
      <c r="AR25" s="99"/>
      <c r="AS25" s="99"/>
      <c r="AT25" s="99"/>
      <c r="AU25" s="33"/>
      <c r="AV25" s="33"/>
      <c r="AW25" s="33"/>
      <c r="BD25" s="33"/>
    </row>
    <row r="26" spans="1:68" x14ac:dyDescent="0.25">
      <c r="B26" s="95"/>
      <c r="C26" s="95"/>
      <c r="D26" s="95"/>
      <c r="E26" s="33"/>
      <c r="F26" s="33"/>
      <c r="G26" s="263"/>
      <c r="H26" s="263"/>
      <c r="I26" s="263"/>
      <c r="J26" s="263"/>
      <c r="K26" s="263"/>
      <c r="L26" s="263"/>
      <c r="M26" s="263"/>
      <c r="N26" s="263"/>
      <c r="O26" s="263"/>
      <c r="P26" s="263"/>
      <c r="Q26" s="263"/>
      <c r="R26" s="263"/>
      <c r="S26" s="263"/>
      <c r="T26" s="263"/>
      <c r="U26" s="263"/>
      <c r="V26" s="263"/>
      <c r="W26" s="97"/>
      <c r="X26" s="97"/>
      <c r="Y26" s="97"/>
      <c r="Z26" s="54"/>
      <c r="AB26" s="94"/>
      <c r="AC26" s="98"/>
      <c r="AD26" s="98"/>
      <c r="AE26" s="98"/>
      <c r="AF26" s="98"/>
      <c r="AG26" s="98"/>
      <c r="AH26" s="98"/>
      <c r="AI26" s="98"/>
      <c r="AJ26" s="98"/>
      <c r="AK26" s="98"/>
      <c r="AL26" s="98"/>
      <c r="AM26" s="98"/>
      <c r="AN26" s="98"/>
      <c r="AO26" s="98"/>
      <c r="AP26" s="98"/>
      <c r="AQ26" s="98"/>
      <c r="AR26" s="99"/>
      <c r="AS26" s="99"/>
      <c r="AT26" s="99"/>
      <c r="AU26" s="33"/>
      <c r="AV26" s="33"/>
      <c r="AW26" s="33"/>
      <c r="BD26" s="33"/>
    </row>
    <row r="27" spans="1:68" x14ac:dyDescent="0.25">
      <c r="B27" s="95"/>
      <c r="C27" s="95"/>
      <c r="D27" s="95"/>
      <c r="E27" s="33"/>
      <c r="F27" s="33"/>
      <c r="G27" s="94"/>
      <c r="H27" s="95"/>
      <c r="I27" s="95"/>
      <c r="J27" s="95"/>
      <c r="K27" s="95"/>
      <c r="L27" s="95"/>
      <c r="M27" s="95"/>
      <c r="N27" s="96"/>
      <c r="O27" s="96"/>
      <c r="P27" s="96"/>
      <c r="Q27" s="97"/>
      <c r="R27" s="97"/>
      <c r="S27" s="97"/>
      <c r="T27" s="97"/>
      <c r="U27" s="97"/>
      <c r="V27" s="97"/>
      <c r="W27" s="97"/>
      <c r="X27" s="97"/>
      <c r="Y27" s="97"/>
      <c r="Z27" s="54"/>
      <c r="AB27" s="94"/>
      <c r="AC27" s="98"/>
      <c r="AD27" s="98"/>
      <c r="AE27" s="98"/>
      <c r="AF27" s="98"/>
      <c r="AG27" s="98"/>
      <c r="AH27" s="98"/>
      <c r="AI27" s="98"/>
      <c r="AJ27" s="98"/>
      <c r="AK27" s="98"/>
      <c r="AL27" s="98"/>
      <c r="AM27" s="98"/>
      <c r="AN27" s="98"/>
      <c r="AO27" s="98"/>
      <c r="AP27" s="98"/>
      <c r="AQ27" s="98"/>
      <c r="AR27" s="99"/>
      <c r="AS27" s="99"/>
      <c r="AT27" s="99"/>
      <c r="AU27" s="33"/>
      <c r="AV27" s="33"/>
      <c r="AW27" s="33"/>
      <c r="BD27" s="33"/>
    </row>
    <row r="28" spans="1:68" x14ac:dyDescent="0.25">
      <c r="B28" s="95"/>
      <c r="C28" s="95"/>
      <c r="D28" s="95"/>
      <c r="E28" s="33"/>
      <c r="F28" s="33"/>
      <c r="G28" s="94"/>
      <c r="H28" s="95"/>
      <c r="I28" s="95"/>
      <c r="J28" s="95"/>
      <c r="K28" s="95"/>
      <c r="L28" s="95"/>
      <c r="M28" s="95"/>
      <c r="N28" s="96"/>
      <c r="O28" s="96"/>
      <c r="P28" s="96"/>
      <c r="Q28" s="97"/>
      <c r="R28" s="97"/>
      <c r="S28" s="97"/>
      <c r="T28" s="97"/>
      <c r="U28" s="97"/>
      <c r="V28" s="97"/>
      <c r="W28" s="97"/>
      <c r="X28" s="97"/>
      <c r="Y28" s="97"/>
      <c r="Z28" s="54"/>
      <c r="AB28" s="94"/>
      <c r="AC28" s="98"/>
      <c r="AD28" s="98"/>
      <c r="AE28" s="98"/>
      <c r="AF28" s="98"/>
      <c r="AG28" s="98"/>
      <c r="AH28" s="98"/>
      <c r="AI28" s="98"/>
      <c r="AJ28" s="98"/>
      <c r="AK28" s="98"/>
      <c r="AL28" s="98"/>
      <c r="AM28" s="98"/>
      <c r="AN28" s="98"/>
      <c r="AO28" s="98"/>
      <c r="AP28" s="98"/>
      <c r="AQ28" s="98"/>
      <c r="AR28" s="99"/>
      <c r="AS28" s="99"/>
      <c r="AT28" s="99"/>
      <c r="AU28" s="33"/>
      <c r="AV28" s="33"/>
    </row>
    <row r="29" spans="1:68" x14ac:dyDescent="0.25">
      <c r="B29" s="95"/>
      <c r="C29" s="95"/>
      <c r="D29" s="95"/>
      <c r="E29" s="33"/>
      <c r="F29" s="33"/>
      <c r="G29" s="94"/>
      <c r="H29" s="95"/>
      <c r="I29" s="95"/>
      <c r="J29" s="95"/>
      <c r="K29" s="95"/>
      <c r="L29" s="95"/>
      <c r="M29" s="95"/>
      <c r="N29" s="96"/>
      <c r="O29" s="96"/>
      <c r="P29" s="96"/>
      <c r="Q29" s="97"/>
      <c r="R29" s="97"/>
      <c r="S29" s="97"/>
      <c r="T29" s="97"/>
      <c r="U29" s="97"/>
      <c r="V29" s="97"/>
      <c r="W29" s="97"/>
      <c r="X29" s="97"/>
      <c r="Y29" s="97"/>
      <c r="Z29" s="54"/>
      <c r="AB29" s="94"/>
      <c r="AC29" s="98"/>
      <c r="AD29" s="98"/>
      <c r="AE29" s="98"/>
      <c r="AF29" s="98"/>
      <c r="AG29" s="98"/>
      <c r="AH29" s="98"/>
      <c r="AI29" s="98"/>
      <c r="AJ29" s="98"/>
      <c r="AK29" s="98"/>
      <c r="AL29" s="98"/>
      <c r="AM29" s="98"/>
      <c r="AN29" s="98"/>
      <c r="AO29" s="98"/>
      <c r="AP29" s="98"/>
      <c r="AQ29" s="98"/>
      <c r="AR29" s="99"/>
      <c r="AS29" s="99"/>
      <c r="AT29" s="99"/>
      <c r="AU29" s="33"/>
      <c r="AV29" s="33"/>
    </row>
    <row r="30" spans="1:68" x14ac:dyDescent="0.25">
      <c r="P30" s="264"/>
      <c r="Q30" s="265"/>
      <c r="R30" s="265"/>
      <c r="S30" s="265"/>
      <c r="T30" s="265"/>
      <c r="U30" s="265"/>
      <c r="V30" s="265"/>
      <c r="W30" s="97"/>
      <c r="X30" s="97"/>
      <c r="Y30" s="97"/>
      <c r="Z30" s="54"/>
      <c r="AB30" s="94"/>
      <c r="AC30" s="98"/>
      <c r="AD30" s="98"/>
      <c r="AE30" s="98"/>
      <c r="AF30" s="98"/>
      <c r="AG30" s="98"/>
      <c r="AH30" s="98"/>
      <c r="AI30" s="98"/>
      <c r="AJ30" s="98"/>
      <c r="AK30" s="98"/>
      <c r="AL30" s="98"/>
      <c r="AM30" s="98"/>
      <c r="AN30" s="98"/>
      <c r="AO30" s="98"/>
      <c r="AP30" s="98"/>
      <c r="AQ30" s="98"/>
      <c r="AR30" s="99"/>
      <c r="AS30" s="99"/>
      <c r="AT30" s="99"/>
      <c r="AU30" s="33"/>
      <c r="AV30" s="33"/>
    </row>
    <row r="31" spans="1:68" x14ac:dyDescent="0.25">
      <c r="B31" s="95"/>
      <c r="C31" s="95"/>
      <c r="D31" s="95"/>
      <c r="G31" s="266"/>
      <c r="H31" s="263"/>
      <c r="I31" s="263"/>
      <c r="J31" s="263"/>
      <c r="K31" s="263"/>
      <c r="L31" s="263"/>
      <c r="M31" s="263"/>
      <c r="N31" s="267"/>
      <c r="O31" s="267"/>
      <c r="P31" s="267"/>
      <c r="Q31" s="97"/>
      <c r="R31" s="97"/>
      <c r="S31" s="97"/>
      <c r="T31" s="97"/>
      <c r="U31" s="97"/>
      <c r="V31" s="97"/>
      <c r="W31" s="97"/>
      <c r="X31" s="97"/>
      <c r="Y31" s="97"/>
      <c r="Z31" s="54"/>
      <c r="AB31" s="94"/>
      <c r="AC31" s="98"/>
      <c r="AD31" s="98"/>
      <c r="AE31" s="98"/>
      <c r="AF31" s="98"/>
      <c r="AG31" s="98"/>
      <c r="AH31" s="98"/>
      <c r="AI31" s="98"/>
      <c r="AJ31" s="98"/>
      <c r="AK31" s="98"/>
      <c r="AL31" s="98"/>
      <c r="AM31" s="98"/>
      <c r="AN31" s="98"/>
      <c r="AO31" s="98"/>
      <c r="AP31" s="98"/>
      <c r="AQ31" s="98"/>
      <c r="AR31" s="99"/>
      <c r="AS31" s="99"/>
      <c r="AT31" s="99"/>
      <c r="AU31" s="33"/>
      <c r="AV31" s="33"/>
    </row>
    <row r="32" spans="1:68" x14ac:dyDescent="0.25">
      <c r="B32" s="95"/>
      <c r="C32" s="95"/>
      <c r="D32" s="95"/>
      <c r="G32" s="266"/>
      <c r="H32" s="263"/>
      <c r="I32" s="263"/>
      <c r="J32" s="263"/>
      <c r="K32" s="263"/>
      <c r="L32" s="263"/>
      <c r="M32" s="263"/>
      <c r="N32" s="267"/>
      <c r="O32" s="267"/>
      <c r="P32" s="267"/>
      <c r="Q32" s="97"/>
      <c r="R32" s="97"/>
      <c r="S32" s="97"/>
      <c r="T32" s="97"/>
      <c r="U32" s="97"/>
      <c r="V32" s="97"/>
      <c r="W32" s="97"/>
      <c r="X32" s="97"/>
      <c r="Y32" s="97"/>
      <c r="Z32" s="54"/>
      <c r="AB32" s="94"/>
      <c r="AC32" s="98"/>
      <c r="AD32" s="98"/>
      <c r="AE32" s="98"/>
      <c r="AF32" s="98"/>
      <c r="AG32" s="98"/>
      <c r="AH32" s="98"/>
      <c r="AI32" s="98"/>
      <c r="AJ32" s="98"/>
      <c r="AK32" s="98"/>
      <c r="AL32" s="98"/>
      <c r="AM32" s="98"/>
      <c r="AN32" s="98"/>
      <c r="AO32" s="98"/>
      <c r="AP32" s="98"/>
      <c r="AQ32" s="98"/>
      <c r="AR32" s="99"/>
      <c r="AS32" s="99"/>
      <c r="AT32" s="99"/>
      <c r="AU32" s="33"/>
      <c r="AV32" s="33"/>
    </row>
    <row r="33" spans="1:68" x14ac:dyDescent="0.25">
      <c r="B33" s="95"/>
      <c r="C33" s="95"/>
      <c r="D33" s="95"/>
      <c r="G33" s="94"/>
      <c r="H33" s="95"/>
      <c r="I33" s="95"/>
      <c r="J33" s="95"/>
      <c r="K33" s="95"/>
      <c r="L33" s="95"/>
      <c r="M33" s="95"/>
      <c r="N33" s="96"/>
      <c r="O33" s="96"/>
      <c r="P33" s="96"/>
      <c r="Q33" s="97"/>
      <c r="R33" s="97"/>
      <c r="S33" s="97"/>
      <c r="T33" s="97"/>
      <c r="U33" s="97"/>
      <c r="V33" s="97"/>
      <c r="W33" s="97"/>
      <c r="X33" s="97"/>
      <c r="Y33" s="97"/>
      <c r="Z33" s="54"/>
      <c r="AB33" s="94"/>
      <c r="AC33" s="98"/>
      <c r="AD33" s="98"/>
      <c r="AE33" s="98"/>
      <c r="AF33" s="98"/>
      <c r="AG33" s="98"/>
      <c r="AH33" s="98"/>
      <c r="AI33" s="98"/>
      <c r="AJ33" s="98"/>
      <c r="AK33" s="98"/>
      <c r="AL33" s="98"/>
      <c r="AM33" s="98"/>
      <c r="AN33" s="98"/>
      <c r="AO33" s="98"/>
      <c r="AP33" s="98"/>
      <c r="AQ33" s="98"/>
      <c r="AR33" s="99"/>
      <c r="AS33" s="99"/>
      <c r="AT33" s="99"/>
      <c r="AU33" s="33"/>
      <c r="AV33" s="33"/>
    </row>
    <row r="34" spans="1:68" x14ac:dyDescent="0.25">
      <c r="A34" s="94"/>
      <c r="B34" s="95"/>
      <c r="C34" s="95"/>
      <c r="D34" s="95"/>
      <c r="G34" s="94"/>
      <c r="H34" s="95"/>
      <c r="I34" s="95"/>
      <c r="J34" s="95"/>
      <c r="K34" s="95"/>
      <c r="L34" s="95"/>
      <c r="M34" s="95"/>
      <c r="N34" s="96"/>
      <c r="O34" s="96"/>
      <c r="P34" s="96"/>
      <c r="Q34" s="97"/>
      <c r="R34" s="97"/>
      <c r="S34" s="97"/>
      <c r="T34" s="97"/>
      <c r="U34" s="97"/>
      <c r="V34" s="97"/>
      <c r="W34" s="97"/>
      <c r="X34" s="97"/>
      <c r="Y34" s="97"/>
      <c r="Z34" s="54"/>
      <c r="AB34" s="94"/>
      <c r="AC34" s="98"/>
      <c r="AD34" s="98"/>
      <c r="AE34" s="98"/>
      <c r="AF34" s="98"/>
      <c r="AG34" s="98"/>
      <c r="AH34" s="98"/>
      <c r="AI34" s="98"/>
      <c r="AJ34" s="98"/>
      <c r="AK34" s="98"/>
      <c r="AL34" s="98"/>
      <c r="AM34" s="98"/>
      <c r="AN34" s="98"/>
      <c r="AO34" s="98"/>
      <c r="AP34" s="98"/>
      <c r="AQ34" s="98"/>
      <c r="AR34" s="99"/>
      <c r="AS34" s="99"/>
      <c r="AT34" s="99"/>
      <c r="AU34" s="33"/>
      <c r="AV34" s="33"/>
    </row>
    <row r="35" spans="1:68" x14ac:dyDescent="0.25">
      <c r="A35" s="94"/>
      <c r="B35" s="95"/>
      <c r="C35" s="95"/>
      <c r="D35" s="95"/>
      <c r="G35" s="94"/>
      <c r="H35" s="95"/>
      <c r="I35" s="95"/>
      <c r="J35" s="95"/>
      <c r="K35" s="95"/>
      <c r="L35" s="95"/>
      <c r="M35" s="95"/>
      <c r="N35" s="96"/>
      <c r="O35" s="96"/>
      <c r="P35" s="96"/>
      <c r="Q35" s="97"/>
      <c r="R35" s="97"/>
      <c r="S35" s="97"/>
      <c r="T35" s="97"/>
      <c r="U35" s="97"/>
      <c r="V35" s="97"/>
      <c r="W35" s="97"/>
      <c r="X35" s="97"/>
      <c r="Y35" s="97"/>
      <c r="Z35" s="54"/>
      <c r="AB35" s="94"/>
      <c r="AC35" s="98"/>
      <c r="AD35" s="98"/>
      <c r="AE35" s="98"/>
      <c r="AF35" s="98"/>
      <c r="AG35" s="98"/>
      <c r="AH35" s="98"/>
      <c r="AI35" s="98"/>
      <c r="AJ35" s="98"/>
      <c r="AK35" s="98"/>
      <c r="AL35" s="98"/>
      <c r="AM35" s="98"/>
      <c r="AN35" s="98"/>
      <c r="AO35" s="98"/>
      <c r="AP35" s="98"/>
      <c r="AQ35" s="98"/>
      <c r="AR35" s="99"/>
      <c r="AS35" s="99"/>
      <c r="AT35" s="99"/>
      <c r="AU35" s="33"/>
      <c r="AV35" s="33"/>
    </row>
    <row r="36" spans="1:68" x14ac:dyDescent="0.25">
      <c r="K36" s="263"/>
      <c r="L36" s="263"/>
    </row>
    <row r="37" spans="1:68" x14ac:dyDescent="0.25">
      <c r="H37" s="263"/>
      <c r="I37" s="263"/>
      <c r="J37" s="263"/>
      <c r="K37" s="263"/>
      <c r="L37" s="263"/>
      <c r="N37" s="263"/>
      <c r="O37" s="267"/>
      <c r="P37" s="267"/>
      <c r="Q37" s="97"/>
      <c r="R37" s="97"/>
      <c r="T37" s="97"/>
    </row>
    <row r="38" spans="1:68" x14ac:dyDescent="0.25">
      <c r="H38" s="263"/>
      <c r="I38" s="263"/>
      <c r="L38" s="267"/>
    </row>
    <row r="39" spans="1:68" x14ac:dyDescent="0.25">
      <c r="H39" s="263"/>
      <c r="I39" s="263"/>
      <c r="L39" s="97"/>
    </row>
    <row r="40" spans="1:68" ht="18" x14ac:dyDescent="0.25">
      <c r="H40" s="267"/>
      <c r="I40" s="267"/>
      <c r="L40" s="97"/>
      <c r="BP40" s="196" t="s">
        <v>223</v>
      </c>
    </row>
    <row r="41" spans="1:68" ht="15.75" x14ac:dyDescent="0.25">
      <c r="H41" s="267"/>
      <c r="I41" s="267"/>
      <c r="L41" s="97"/>
      <c r="BP41" s="197" t="s">
        <v>226</v>
      </c>
    </row>
    <row r="42" spans="1:68" ht="15.75" x14ac:dyDescent="0.25">
      <c r="H42" s="97"/>
      <c r="I42" s="97"/>
      <c r="BP42" s="197" t="s">
        <v>247</v>
      </c>
    </row>
    <row r="43" spans="1:68" x14ac:dyDescent="0.25">
      <c r="H43" s="97"/>
      <c r="I43" s="97"/>
    </row>
    <row r="44" spans="1:68" x14ac:dyDescent="0.25">
      <c r="H44" s="97"/>
      <c r="I44" s="97"/>
    </row>
    <row r="58" spans="61:68" ht="18" x14ac:dyDescent="0.25">
      <c r="BI58">
        <v>2023</v>
      </c>
      <c r="BJ58" s="273">
        <v>57379.118437812736</v>
      </c>
      <c r="BK58" s="274">
        <v>130.1440193267137</v>
      </c>
      <c r="BP58" s="196" t="s">
        <v>224</v>
      </c>
    </row>
    <row r="59" spans="61:68" ht="15.75" x14ac:dyDescent="0.25">
      <c r="BI59">
        <f t="shared" ref="BI59:BI64" si="19">+BI58+1</f>
        <v>2024</v>
      </c>
      <c r="BJ59" s="273">
        <v>54826.867208328862</v>
      </c>
      <c r="BK59" s="274">
        <v>130.71939450674998</v>
      </c>
      <c r="BP59" s="197" t="s">
        <v>225</v>
      </c>
    </row>
    <row r="60" spans="61:68" ht="15.75" x14ac:dyDescent="0.25">
      <c r="BI60">
        <f t="shared" si="19"/>
        <v>2025</v>
      </c>
      <c r="BJ60" s="273">
        <v>49184.185449179429</v>
      </c>
      <c r="BK60" s="274">
        <v>128.62945691828992</v>
      </c>
      <c r="BP60" s="197" t="s">
        <v>247</v>
      </c>
    </row>
    <row r="61" spans="61:68" x14ac:dyDescent="0.25">
      <c r="BI61">
        <f t="shared" si="19"/>
        <v>2026</v>
      </c>
      <c r="BJ61" s="273">
        <v>20868.821774904016</v>
      </c>
      <c r="BK61" s="274">
        <v>117.46675821266327</v>
      </c>
    </row>
    <row r="62" spans="61:68" x14ac:dyDescent="0.25">
      <c r="BI62">
        <f t="shared" si="19"/>
        <v>2027</v>
      </c>
      <c r="BJ62" s="273">
        <v>10080.378662750367</v>
      </c>
      <c r="BK62" s="274">
        <v>111.43952003025399</v>
      </c>
    </row>
    <row r="63" spans="61:68" x14ac:dyDescent="0.25">
      <c r="BI63">
        <f t="shared" si="19"/>
        <v>2028</v>
      </c>
      <c r="BJ63" s="273">
        <v>1107.164718012426</v>
      </c>
      <c r="BK63" s="274">
        <v>105.54952200807236</v>
      </c>
    </row>
    <row r="64" spans="61:68" x14ac:dyDescent="0.25">
      <c r="BI64">
        <f t="shared" si="19"/>
        <v>2029</v>
      </c>
      <c r="BJ64" s="273">
        <v>1059.3053164075466</v>
      </c>
      <c r="BK64" s="274">
        <v>59.738977939246084</v>
      </c>
    </row>
    <row r="65" spans="61:63" x14ac:dyDescent="0.25">
      <c r="BI65" t="s">
        <v>217</v>
      </c>
      <c r="BJ65" s="273">
        <v>770.04792382350081</v>
      </c>
      <c r="BK65" s="274">
        <v>15.6519839988295</v>
      </c>
    </row>
    <row r="94" spans="59:69" ht="18" x14ac:dyDescent="0.25">
      <c r="BI94" t="s">
        <v>194</v>
      </c>
      <c r="BJ94" t="s">
        <v>195</v>
      </c>
      <c r="BQ94" s="196" t="s">
        <v>250</v>
      </c>
    </row>
    <row r="95" spans="59:69" ht="18" x14ac:dyDescent="0.25">
      <c r="BG95">
        <v>2023</v>
      </c>
      <c r="BH95" s="273">
        <v>57379.118437812736</v>
      </c>
      <c r="BI95" s="275">
        <v>0.49839014794218117</v>
      </c>
      <c r="BJ95" s="275">
        <v>0.50160985205781883</v>
      </c>
      <c r="BQ95" s="196" t="s">
        <v>251</v>
      </c>
    </row>
    <row r="96" spans="59:69" ht="15.75" x14ac:dyDescent="0.25">
      <c r="BG96">
        <f t="shared" ref="BG96:BG101" si="20">+BG95+1</f>
        <v>2024</v>
      </c>
      <c r="BH96" s="273">
        <v>54826.867208328862</v>
      </c>
      <c r="BI96" s="275">
        <v>0.66752452064239887</v>
      </c>
      <c r="BJ96" s="275">
        <v>0.33247547935760113</v>
      </c>
      <c r="BQ96" s="197" t="s">
        <v>229</v>
      </c>
    </row>
    <row r="97" spans="59:72" ht="15.75" x14ac:dyDescent="0.25">
      <c r="BG97">
        <f t="shared" si="20"/>
        <v>2025</v>
      </c>
      <c r="BH97" s="273">
        <v>49184.185449179429</v>
      </c>
      <c r="BI97" s="275">
        <v>0.91047674088476549</v>
      </c>
      <c r="BJ97" s="275">
        <v>8.9522963271842337E-2</v>
      </c>
      <c r="BQ97" s="197" t="s">
        <v>252</v>
      </c>
    </row>
    <row r="98" spans="59:72" x14ac:dyDescent="0.25">
      <c r="BG98">
        <f t="shared" si="20"/>
        <v>2026</v>
      </c>
      <c r="BH98" s="273">
        <v>20868.821774904016</v>
      </c>
      <c r="BI98" s="275">
        <v>0.9103376255641723</v>
      </c>
      <c r="BJ98" s="275">
        <v>8.9662374435827669E-2</v>
      </c>
    </row>
    <row r="99" spans="59:72" x14ac:dyDescent="0.25">
      <c r="BG99">
        <f t="shared" si="20"/>
        <v>2027</v>
      </c>
      <c r="BH99" s="273">
        <v>10080.378662750367</v>
      </c>
      <c r="BI99" s="275">
        <v>0.95138121784410778</v>
      </c>
      <c r="BJ99" s="275">
        <v>4.8618782155892132E-2</v>
      </c>
    </row>
    <row r="100" spans="59:72" x14ac:dyDescent="0.25">
      <c r="BG100">
        <f t="shared" si="20"/>
        <v>2028</v>
      </c>
      <c r="BH100" s="273">
        <v>1107.164718012426</v>
      </c>
      <c r="BI100" s="275">
        <v>0.85172605768188836</v>
      </c>
      <c r="BJ100" s="275">
        <v>0.14827394231811167</v>
      </c>
    </row>
    <row r="101" spans="59:72" x14ac:dyDescent="0.25">
      <c r="BG101">
        <f t="shared" si="20"/>
        <v>2029</v>
      </c>
      <c r="BH101" s="273">
        <v>1059.3053164075466</v>
      </c>
      <c r="BI101" s="275">
        <v>0.89020703084473374</v>
      </c>
      <c r="BJ101" s="275">
        <v>0.10979296915526633</v>
      </c>
    </row>
    <row r="102" spans="59:72" x14ac:dyDescent="0.25">
      <c r="BG102" t="s">
        <v>217</v>
      </c>
      <c r="BH102" s="273">
        <v>770.04792382350081</v>
      </c>
      <c r="BI102" s="275">
        <v>0.9500779362646733</v>
      </c>
      <c r="BJ102" s="275">
        <v>4.9922063735326691E-2</v>
      </c>
    </row>
    <row r="112" spans="59:72" ht="18" x14ac:dyDescent="0.25">
      <c r="BT112" s="196" t="s">
        <v>227</v>
      </c>
    </row>
    <row r="113" spans="67:72" ht="15.75" x14ac:dyDescent="0.25">
      <c r="BP113" t="s">
        <v>175</v>
      </c>
      <c r="BQ113" t="s">
        <v>196</v>
      </c>
      <c r="BT113" s="197" t="s">
        <v>228</v>
      </c>
    </row>
    <row r="114" spans="67:72" ht="15.75" x14ac:dyDescent="0.25">
      <c r="BO114" s="276">
        <v>130.1440193267137</v>
      </c>
      <c r="BP114" s="275">
        <v>0.73768534719952827</v>
      </c>
      <c r="BQ114" s="275">
        <v>0.26231465280047161</v>
      </c>
      <c r="BT114" s="197" t="s">
        <v>252</v>
      </c>
    </row>
    <row r="115" spans="67:72" x14ac:dyDescent="0.25">
      <c r="BO115" s="276">
        <v>130.71939450674998</v>
      </c>
      <c r="BP115" s="275">
        <v>0.73487340745292551</v>
      </c>
      <c r="BQ115" s="275">
        <v>0.26512659254707455</v>
      </c>
    </row>
    <row r="116" spans="67:72" x14ac:dyDescent="0.25">
      <c r="BO116" s="276">
        <v>128.62945691828992</v>
      </c>
      <c r="BP116" s="275">
        <v>0.76144953113984848</v>
      </c>
      <c r="BQ116" s="275">
        <v>0.23855046886015163</v>
      </c>
    </row>
    <row r="117" spans="67:72" x14ac:dyDescent="0.25">
      <c r="BO117" s="276">
        <v>117.46675821266327</v>
      </c>
      <c r="BP117" s="275">
        <v>0.79655592106315753</v>
      </c>
      <c r="BQ117" s="275">
        <v>0.20344407893684244</v>
      </c>
    </row>
    <row r="118" spans="67:72" x14ac:dyDescent="0.25">
      <c r="BO118" s="276">
        <v>111.43952003025399</v>
      </c>
      <c r="BP118" s="275">
        <v>0.83964085485103246</v>
      </c>
      <c r="BQ118" s="275">
        <v>0.16035914514896754</v>
      </c>
    </row>
    <row r="119" spans="67:72" x14ac:dyDescent="0.25">
      <c r="BO119" s="276">
        <v>105.54952200807236</v>
      </c>
      <c r="BP119" s="275">
        <v>0.88649866083936479</v>
      </c>
      <c r="BQ119" s="275">
        <v>0.11350133916063511</v>
      </c>
    </row>
    <row r="120" spans="67:72" x14ac:dyDescent="0.25">
      <c r="BO120" s="276">
        <v>59.738977939246084</v>
      </c>
      <c r="BP120" s="275">
        <v>0.89928021192891472</v>
      </c>
      <c r="BQ120" s="275">
        <v>0.10071978807108527</v>
      </c>
    </row>
    <row r="121" spans="67:72" x14ac:dyDescent="0.25">
      <c r="BO121" s="276">
        <v>15.6519839988295</v>
      </c>
      <c r="BP121" s="275">
        <v>0.85385471756950859</v>
      </c>
      <c r="BQ121" s="275">
        <v>0.14614528243049141</v>
      </c>
    </row>
    <row r="122" spans="67:72" x14ac:dyDescent="0.25">
      <c r="BP122" s="114"/>
      <c r="BQ122" s="114"/>
    </row>
    <row r="149" spans="67:69" ht="18" x14ac:dyDescent="0.25">
      <c r="BQ149" s="196" t="s">
        <v>231</v>
      </c>
    </row>
    <row r="150" spans="67:69" ht="15.75" x14ac:dyDescent="0.25">
      <c r="BQ150" s="197" t="s">
        <v>226</v>
      </c>
    </row>
    <row r="151" spans="67:69" ht="15.75" x14ac:dyDescent="0.25">
      <c r="BO151" s="273">
        <v>57379.118437812736</v>
      </c>
      <c r="BQ151" s="197" t="s">
        <v>247</v>
      </c>
    </row>
    <row r="152" spans="67:69" x14ac:dyDescent="0.25">
      <c r="BO152" s="273">
        <v>54826.867208328862</v>
      </c>
    </row>
    <row r="153" spans="67:69" x14ac:dyDescent="0.25">
      <c r="BO153" s="273">
        <v>49184.185449179429</v>
      </c>
    </row>
    <row r="154" spans="67:69" x14ac:dyDescent="0.25">
      <c r="BO154" s="273">
        <v>20868.821774904016</v>
      </c>
    </row>
    <row r="155" spans="67:69" x14ac:dyDescent="0.25">
      <c r="BO155" s="273">
        <v>10080.378662750367</v>
      </c>
    </row>
    <row r="156" spans="67:69" x14ac:dyDescent="0.25">
      <c r="BO156" s="273">
        <v>1107.164718012426</v>
      </c>
    </row>
    <row r="157" spans="67:69" x14ac:dyDescent="0.25">
      <c r="BO157" s="273">
        <v>1059.3053164075466</v>
      </c>
    </row>
    <row r="158" spans="67:69" x14ac:dyDescent="0.25">
      <c r="BO158" s="273">
        <v>770.04792382350081</v>
      </c>
    </row>
    <row r="167" spans="67:69" ht="18" x14ac:dyDescent="0.25">
      <c r="BO167" s="276">
        <v>130.1440193267137</v>
      </c>
      <c r="BQ167" s="196" t="s">
        <v>232</v>
      </c>
    </row>
    <row r="168" spans="67:69" ht="15.75" x14ac:dyDescent="0.25">
      <c r="BO168" s="276">
        <v>130.71939450674998</v>
      </c>
      <c r="BQ168" s="197" t="s">
        <v>225</v>
      </c>
    </row>
    <row r="169" spans="67:69" ht="15.75" x14ac:dyDescent="0.25">
      <c r="BO169" s="276">
        <v>128.62945691828992</v>
      </c>
      <c r="BQ169" s="197" t="s">
        <v>247</v>
      </c>
    </row>
    <row r="170" spans="67:69" x14ac:dyDescent="0.25">
      <c r="BO170" s="276">
        <v>117.46675821266327</v>
      </c>
    </row>
    <row r="171" spans="67:69" x14ac:dyDescent="0.25">
      <c r="BO171" s="276">
        <v>111.43952003025399</v>
      </c>
    </row>
    <row r="172" spans="67:69" x14ac:dyDescent="0.25">
      <c r="BO172" s="276">
        <v>105.54952200807236</v>
      </c>
    </row>
    <row r="173" spans="67:69" x14ac:dyDescent="0.25">
      <c r="BO173" s="276">
        <v>59.738977939246084</v>
      </c>
    </row>
    <row r="174" spans="67:69" x14ac:dyDescent="0.25">
      <c r="BO174" s="276">
        <v>15.6519839988295</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showGridLines="0" zoomScale="85" zoomScaleNormal="85" workbookViewId="0">
      <pane xSplit="2" ySplit="2" topLeftCell="C3" activePane="bottomRight" state="frozen"/>
      <selection activeCell="F1" sqref="F1"/>
      <selection pane="topRight" activeCell="F1" sqref="F1"/>
      <selection pane="bottomLeft" activeCell="F1" sqref="F1"/>
      <selection pane="bottomRight"/>
    </sheetView>
  </sheetViews>
  <sheetFormatPr baseColWidth="10" defaultRowHeight="15" x14ac:dyDescent="0.25"/>
  <cols>
    <col min="1" max="1" width="20.85546875" customWidth="1"/>
    <col min="2" max="2" width="49.85546875" customWidth="1"/>
    <col min="3" max="6" width="19.5703125" customWidth="1"/>
    <col min="8" max="8" width="16.7109375" bestFit="1" customWidth="1"/>
    <col min="9" max="9" width="15.5703125" bestFit="1" customWidth="1"/>
    <col min="15" max="15" width="23.42578125" customWidth="1"/>
  </cols>
  <sheetData>
    <row r="1" spans="1:18" ht="24.75" customHeight="1" x14ac:dyDescent="0.25">
      <c r="A1" s="11"/>
      <c r="B1" s="59"/>
      <c r="C1" s="192">
        <v>2024</v>
      </c>
      <c r="D1" s="192">
        <v>2024</v>
      </c>
      <c r="E1" s="234">
        <v>2024</v>
      </c>
      <c r="F1" s="234">
        <v>2024</v>
      </c>
      <c r="G1" s="11"/>
      <c r="H1" s="34"/>
      <c r="I1" s="32"/>
      <c r="J1" s="11"/>
      <c r="K1" s="11"/>
      <c r="L1" s="11"/>
      <c r="M1" s="11"/>
      <c r="N1" s="11"/>
    </row>
    <row r="2" spans="1:18" ht="21" customHeight="1" x14ac:dyDescent="0.25">
      <c r="A2" s="11"/>
      <c r="B2" s="11"/>
      <c r="C2" s="164" t="s">
        <v>58</v>
      </c>
      <c r="D2" s="164" t="s">
        <v>253</v>
      </c>
      <c r="E2" s="235" t="s">
        <v>256</v>
      </c>
      <c r="F2" s="235" t="s">
        <v>261</v>
      </c>
      <c r="G2" s="11"/>
      <c r="H2" s="34"/>
      <c r="I2" s="34"/>
      <c r="J2" s="11"/>
      <c r="K2" s="11"/>
      <c r="L2" s="11"/>
      <c r="M2" s="11"/>
      <c r="N2" s="11"/>
    </row>
    <row r="3" spans="1:18" ht="57" customHeight="1" x14ac:dyDescent="0.25">
      <c r="A3" s="324" t="s">
        <v>59</v>
      </c>
      <c r="B3" s="164" t="s">
        <v>60</v>
      </c>
      <c r="C3" s="72">
        <v>134972.37735487398</v>
      </c>
      <c r="D3" s="72">
        <v>144721.94690553017</v>
      </c>
      <c r="E3" s="72">
        <v>171181.81095981257</v>
      </c>
      <c r="F3" s="72">
        <v>173718.86136049038</v>
      </c>
      <c r="G3" s="325" t="s">
        <v>125</v>
      </c>
      <c r="H3" s="325"/>
      <c r="I3" s="325"/>
      <c r="J3" s="325"/>
      <c r="K3" s="325"/>
      <c r="L3" s="325"/>
      <c r="M3" s="325"/>
      <c r="N3" s="325"/>
      <c r="O3" s="33"/>
      <c r="P3" s="33"/>
      <c r="Q3" s="33"/>
      <c r="R3" s="33"/>
    </row>
    <row r="4" spans="1:18" ht="57" customHeight="1" x14ac:dyDescent="0.25">
      <c r="A4" s="324"/>
      <c r="B4" s="164" t="s">
        <v>61</v>
      </c>
      <c r="C4" s="72">
        <v>1214786.91669168</v>
      </c>
      <c r="D4" s="72">
        <v>1683243.6327950198</v>
      </c>
      <c r="E4" s="72">
        <v>2112140.15</v>
      </c>
      <c r="F4" s="72">
        <v>2606832.5816728198</v>
      </c>
      <c r="G4" s="325"/>
      <c r="H4" s="325"/>
      <c r="I4" s="325"/>
      <c r="J4" s="325"/>
      <c r="K4" s="325"/>
      <c r="L4" s="325"/>
      <c r="M4" s="325"/>
      <c r="N4" s="325"/>
      <c r="O4" s="33"/>
      <c r="P4" s="33"/>
      <c r="Q4" s="33"/>
      <c r="R4" s="33"/>
    </row>
    <row r="5" spans="1:18" ht="57" customHeight="1" x14ac:dyDescent="0.25">
      <c r="A5" s="324"/>
      <c r="B5" s="164" t="s">
        <v>62</v>
      </c>
      <c r="C5" s="73">
        <f>+C3/C4</f>
        <v>0.11110786221048079</v>
      </c>
      <c r="D5" s="73">
        <f>+D3/D4</f>
        <v>8.5978015354331042E-2</v>
      </c>
      <c r="E5" s="73">
        <f>+E3/E4</f>
        <v>8.1046615661282032E-2</v>
      </c>
      <c r="F5" s="73">
        <f>+F3/F4</f>
        <v>6.6639822818623032E-2</v>
      </c>
      <c r="G5" s="325"/>
      <c r="H5" s="325"/>
      <c r="I5" s="325"/>
      <c r="J5" s="325"/>
      <c r="K5" s="325"/>
      <c r="L5" s="325"/>
      <c r="M5" s="325"/>
      <c r="N5" s="325"/>
      <c r="O5" s="33"/>
      <c r="P5" s="33"/>
      <c r="Q5" s="33"/>
      <c r="R5" s="33"/>
    </row>
    <row r="6" spans="1:18" ht="57" customHeight="1" x14ac:dyDescent="0.25">
      <c r="A6" s="324" t="s">
        <v>63</v>
      </c>
      <c r="B6" s="164" t="s">
        <v>64</v>
      </c>
      <c r="C6" s="72">
        <v>71937.263064545536</v>
      </c>
      <c r="D6" s="72">
        <v>63386.014465503242</v>
      </c>
      <c r="E6" s="72">
        <v>59104.441557116486</v>
      </c>
      <c r="F6" s="72">
        <v>82192.839875836493</v>
      </c>
      <c r="G6" s="325" t="s">
        <v>136</v>
      </c>
      <c r="H6" s="325"/>
      <c r="I6" s="325"/>
      <c r="J6" s="325"/>
      <c r="K6" s="325"/>
      <c r="L6" s="325"/>
      <c r="M6" s="325"/>
      <c r="N6" s="325"/>
      <c r="O6" s="33"/>
      <c r="P6" s="33"/>
      <c r="Q6" s="33"/>
      <c r="R6" s="33"/>
    </row>
    <row r="7" spans="1:18" ht="57" customHeight="1" x14ac:dyDescent="0.25">
      <c r="A7" s="324"/>
      <c r="B7" s="164" t="s">
        <v>65</v>
      </c>
      <c r="C7" s="72">
        <v>876711.50025988009</v>
      </c>
      <c r="D7" s="72">
        <v>1463358.71942516</v>
      </c>
      <c r="E7" s="72">
        <v>1617059.6</v>
      </c>
      <c r="F7" s="72">
        <v>1709249.5082963603</v>
      </c>
      <c r="G7" s="325"/>
      <c r="H7" s="325"/>
      <c r="I7" s="325"/>
      <c r="J7" s="325"/>
      <c r="K7" s="325"/>
      <c r="L7" s="325"/>
      <c r="M7" s="325"/>
      <c r="N7" s="325"/>
      <c r="O7" s="33"/>
      <c r="P7" s="33"/>
      <c r="Q7" s="33"/>
      <c r="R7" s="33"/>
    </row>
    <row r="8" spans="1:18" ht="57" customHeight="1" x14ac:dyDescent="0.25">
      <c r="A8" s="324"/>
      <c r="B8" s="164" t="s">
        <v>66</v>
      </c>
      <c r="C8" s="73">
        <f>+C6/C7</f>
        <v>8.2053518224890931E-2</v>
      </c>
      <c r="D8" s="73">
        <f>+D6/D7</f>
        <v>4.331543156445105E-2</v>
      </c>
      <c r="E8" s="73">
        <f>+E6/E7</f>
        <v>3.6550564714569876E-2</v>
      </c>
      <c r="F8" s="73">
        <f>+F6/F7</f>
        <v>4.808709288894842E-2</v>
      </c>
      <c r="G8" s="325"/>
      <c r="H8" s="325"/>
      <c r="I8" s="325"/>
      <c r="J8" s="325"/>
      <c r="K8" s="325"/>
      <c r="L8" s="325"/>
      <c r="M8" s="325"/>
      <c r="N8" s="325"/>
      <c r="O8" s="33"/>
      <c r="P8" s="33"/>
      <c r="Q8" s="33"/>
      <c r="R8" s="33"/>
    </row>
    <row r="9" spans="1:18" ht="57" customHeight="1" x14ac:dyDescent="0.25">
      <c r="A9" s="324"/>
      <c r="B9" s="164" t="s">
        <v>67</v>
      </c>
      <c r="C9" s="72">
        <v>51726.291057572329</v>
      </c>
      <c r="D9" s="72">
        <v>52717.787017708848</v>
      </c>
      <c r="E9" s="72">
        <v>55452.05601339729</v>
      </c>
      <c r="F9" s="72">
        <v>50103.064870331422</v>
      </c>
      <c r="G9" s="325" t="s">
        <v>137</v>
      </c>
      <c r="H9" s="325"/>
      <c r="I9" s="325"/>
      <c r="J9" s="325"/>
      <c r="K9" s="325"/>
      <c r="L9" s="325"/>
      <c r="M9" s="325"/>
      <c r="N9" s="325"/>
      <c r="O9" s="33"/>
      <c r="P9" s="33"/>
      <c r="Q9" s="33"/>
      <c r="R9" s="33"/>
    </row>
    <row r="10" spans="1:18" ht="57" customHeight="1" x14ac:dyDescent="0.25">
      <c r="A10" s="324"/>
      <c r="B10" s="164" t="s">
        <v>68</v>
      </c>
      <c r="C10" s="72">
        <v>1431784.2292266199</v>
      </c>
      <c r="D10" s="72">
        <v>2010441.5950612999</v>
      </c>
      <c r="E10" s="72">
        <v>2536970.81</v>
      </c>
      <c r="F10" s="72">
        <v>3137928.69956127</v>
      </c>
      <c r="G10" s="325"/>
      <c r="H10" s="325"/>
      <c r="I10" s="325"/>
      <c r="J10" s="325"/>
      <c r="K10" s="325"/>
      <c r="L10" s="325"/>
      <c r="M10" s="325"/>
      <c r="N10" s="325"/>
      <c r="O10" s="33"/>
      <c r="P10" s="33"/>
      <c r="Q10" s="33"/>
      <c r="R10" s="33"/>
    </row>
    <row r="11" spans="1:18" ht="57" customHeight="1" x14ac:dyDescent="0.25">
      <c r="A11" s="324"/>
      <c r="B11" s="164" t="s">
        <v>69</v>
      </c>
      <c r="C11" s="73">
        <f>+C9/C10</f>
        <v>3.6127155196780142E-2</v>
      </c>
      <c r="D11" s="73">
        <f>+D9/D10</f>
        <v>2.6221993788435045E-2</v>
      </c>
      <c r="E11" s="73">
        <f>+E9/E10</f>
        <v>2.1857585351325856E-2</v>
      </c>
      <c r="F11" s="73">
        <f>+F9/F10</f>
        <v>1.5966922663773905E-2</v>
      </c>
      <c r="G11" s="325"/>
      <c r="H11" s="325"/>
      <c r="I11" s="325"/>
      <c r="J11" s="325"/>
      <c r="K11" s="325"/>
      <c r="L11" s="325"/>
      <c r="M11" s="325"/>
      <c r="N11" s="325"/>
      <c r="O11" s="33"/>
      <c r="P11" s="33"/>
      <c r="Q11" s="33"/>
      <c r="R11" s="33"/>
    </row>
    <row r="12" spans="1:18" ht="57" customHeight="1" x14ac:dyDescent="0.25">
      <c r="A12" s="324"/>
      <c r="B12" s="164" t="s">
        <v>70</v>
      </c>
      <c r="C12" s="72">
        <v>60.345689380000003</v>
      </c>
      <c r="D12" s="72">
        <v>54.794667199999999</v>
      </c>
      <c r="E12" s="72">
        <v>49.206436889999999</v>
      </c>
      <c r="F12" s="72">
        <v>43.595373690000002</v>
      </c>
      <c r="G12" s="325" t="s">
        <v>138</v>
      </c>
      <c r="H12" s="325"/>
      <c r="I12" s="325"/>
      <c r="J12" s="325"/>
      <c r="K12" s="325"/>
      <c r="L12" s="325"/>
      <c r="M12" s="325"/>
      <c r="N12" s="325"/>
      <c r="O12" s="33"/>
      <c r="P12" s="33"/>
      <c r="Q12" s="33"/>
      <c r="R12" s="33"/>
    </row>
    <row r="13" spans="1:18" ht="57" customHeight="1" x14ac:dyDescent="0.25">
      <c r="A13" s="324"/>
      <c r="B13" s="164" t="s">
        <v>71</v>
      </c>
      <c r="C13" s="72">
        <v>1431784.2292266199</v>
      </c>
      <c r="D13" s="72">
        <v>2010441.5950612999</v>
      </c>
      <c r="E13" s="72">
        <v>2536970.81</v>
      </c>
      <c r="F13" s="72">
        <v>3137928.69956127</v>
      </c>
      <c r="G13" s="325"/>
      <c r="H13" s="325"/>
      <c r="I13" s="325"/>
      <c r="J13" s="325"/>
      <c r="K13" s="325"/>
      <c r="L13" s="325"/>
      <c r="M13" s="325"/>
      <c r="N13" s="325"/>
      <c r="O13" s="33"/>
      <c r="P13" s="33"/>
      <c r="Q13" s="33"/>
      <c r="R13" s="33"/>
    </row>
    <row r="14" spans="1:18" ht="57" customHeight="1" x14ac:dyDescent="0.25">
      <c r="A14" s="324"/>
      <c r="B14" s="164" t="s">
        <v>72</v>
      </c>
      <c r="C14" s="199">
        <f>+C12/C13</f>
        <v>4.2147195190574073E-5</v>
      </c>
      <c r="D14" s="199">
        <f>+D12/D13</f>
        <v>2.7255040551590493E-5</v>
      </c>
      <c r="E14" s="199">
        <f>+E12/E13</f>
        <v>1.9395744206453837E-5</v>
      </c>
      <c r="F14" s="199">
        <f>+F12/F13</f>
        <v>1.3893041513688726E-5</v>
      </c>
      <c r="G14" s="325"/>
      <c r="H14" s="325"/>
      <c r="I14" s="325"/>
      <c r="J14" s="325"/>
      <c r="K14" s="325"/>
      <c r="L14" s="325"/>
      <c r="M14" s="325"/>
      <c r="N14" s="325"/>
      <c r="O14" s="33"/>
      <c r="P14" s="33"/>
      <c r="Q14" s="33"/>
      <c r="R14" s="33"/>
    </row>
    <row r="15" spans="1:18" ht="57" customHeight="1" x14ac:dyDescent="0.25">
      <c r="A15" s="324"/>
      <c r="B15" s="164" t="s">
        <v>73</v>
      </c>
      <c r="C15" s="72">
        <v>71458.908726737514</v>
      </c>
      <c r="D15" s="72">
        <v>81203.696846173669</v>
      </c>
      <c r="E15" s="72">
        <v>77036.407967662482</v>
      </c>
      <c r="F15" s="72">
        <v>79583.3853791203</v>
      </c>
      <c r="G15" s="325" t="s">
        <v>139</v>
      </c>
      <c r="H15" s="325"/>
      <c r="I15" s="325"/>
      <c r="J15" s="325"/>
      <c r="K15" s="325"/>
      <c r="L15" s="325"/>
      <c r="M15" s="325"/>
      <c r="N15" s="325"/>
      <c r="O15" s="33"/>
      <c r="P15" s="33"/>
      <c r="Q15" s="33"/>
      <c r="R15" s="33"/>
    </row>
    <row r="16" spans="1:18" ht="57" customHeight="1" x14ac:dyDescent="0.25">
      <c r="A16" s="324"/>
      <c r="B16" s="164" t="s">
        <v>74</v>
      </c>
      <c r="C16" s="72">
        <v>628147.59332671005</v>
      </c>
      <c r="D16" s="72">
        <v>892649.14029255009</v>
      </c>
      <c r="E16" s="72">
        <v>1157666.1300000001</v>
      </c>
      <c r="F16" s="72">
        <v>1416594.83707409</v>
      </c>
      <c r="G16" s="325"/>
      <c r="H16" s="325"/>
      <c r="I16" s="325"/>
      <c r="J16" s="325"/>
      <c r="K16" s="325"/>
      <c r="L16" s="325"/>
      <c r="M16" s="325"/>
      <c r="N16" s="325"/>
      <c r="O16" s="33"/>
      <c r="P16" s="33"/>
      <c r="Q16" s="33"/>
      <c r="R16" s="33"/>
    </row>
    <row r="17" spans="1:18" ht="57" customHeight="1" x14ac:dyDescent="0.25">
      <c r="A17" s="324"/>
      <c r="B17" s="164" t="s">
        <v>75</v>
      </c>
      <c r="C17" s="73">
        <f>+C15/C16</f>
        <v>0.11376133489310457</v>
      </c>
      <c r="D17" s="73">
        <f>+D15/D16</f>
        <v>9.0969332944812548E-2</v>
      </c>
      <c r="E17" s="73">
        <f>+E15/E16</f>
        <v>6.6544581353228743E-2</v>
      </c>
      <c r="F17" s="73">
        <f>+F15/F16</f>
        <v>5.617935580190031E-2</v>
      </c>
      <c r="G17" s="325"/>
      <c r="H17" s="325"/>
      <c r="I17" s="325"/>
      <c r="J17" s="325"/>
      <c r="K17" s="325"/>
      <c r="L17" s="325"/>
      <c r="M17" s="325"/>
      <c r="N17" s="325"/>
      <c r="O17" s="33"/>
      <c r="P17" s="33"/>
      <c r="Q17" s="33"/>
      <c r="R17" s="33"/>
    </row>
  </sheetData>
  <mergeCells count="7">
    <mergeCell ref="A3:A5"/>
    <mergeCell ref="G3:N5"/>
    <mergeCell ref="A6:A17"/>
    <mergeCell ref="G6:N8"/>
    <mergeCell ref="G9:N11"/>
    <mergeCell ref="G12:N14"/>
    <mergeCell ref="G15:N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326" t="s">
        <v>197</v>
      </c>
      <c r="C2" s="326"/>
      <c r="D2" s="326"/>
      <c r="E2" s="326"/>
      <c r="F2" s="326"/>
      <c r="G2" s="326"/>
      <c r="H2" s="326"/>
      <c r="I2" s="326"/>
      <c r="J2" s="326"/>
      <c r="K2" s="326"/>
      <c r="L2" s="326"/>
      <c r="M2" s="326"/>
      <c r="N2" s="326"/>
      <c r="O2" s="326"/>
      <c r="P2" s="326"/>
      <c r="Q2" s="326"/>
      <c r="R2" s="326"/>
      <c r="S2" s="326"/>
      <c r="T2" s="326"/>
      <c r="U2" s="326"/>
    </row>
    <row r="3" spans="2:21" ht="15.75" x14ac:dyDescent="0.25">
      <c r="B3" s="183" t="s">
        <v>198</v>
      </c>
    </row>
    <row r="4" spans="2:21" ht="9" customHeight="1" thickBot="1" x14ac:dyDescent="0.3">
      <c r="B4" s="140"/>
    </row>
    <row r="5" spans="2:21" x14ac:dyDescent="0.25">
      <c r="B5" s="327" t="s">
        <v>199</v>
      </c>
      <c r="C5" s="329" t="s">
        <v>200</v>
      </c>
      <c r="D5" s="331" t="s">
        <v>201</v>
      </c>
      <c r="E5" s="329" t="s">
        <v>202</v>
      </c>
      <c r="F5" s="329" t="s">
        <v>203</v>
      </c>
      <c r="G5" s="329" t="s">
        <v>204</v>
      </c>
      <c r="H5" s="331" t="s">
        <v>205</v>
      </c>
      <c r="I5" s="331" t="s">
        <v>206</v>
      </c>
      <c r="J5" s="331" t="s">
        <v>207</v>
      </c>
      <c r="K5" s="331"/>
      <c r="L5" s="331"/>
      <c r="M5" s="336"/>
      <c r="N5" s="337"/>
    </row>
    <row r="6" spans="2:21" ht="15" customHeight="1" x14ac:dyDescent="0.25">
      <c r="B6" s="328"/>
      <c r="C6" s="330"/>
      <c r="D6" s="332"/>
      <c r="E6" s="330"/>
      <c r="F6" s="330"/>
      <c r="G6" s="330"/>
      <c r="H6" s="334"/>
      <c r="I6" s="332"/>
      <c r="J6" s="338" t="s">
        <v>208</v>
      </c>
      <c r="K6" s="338" t="s">
        <v>209</v>
      </c>
      <c r="L6" s="338" t="s">
        <v>210</v>
      </c>
      <c r="M6" s="338" t="s">
        <v>211</v>
      </c>
      <c r="N6" s="339" t="s">
        <v>212</v>
      </c>
    </row>
    <row r="7" spans="2:21" x14ac:dyDescent="0.25">
      <c r="B7" s="328"/>
      <c r="C7" s="330"/>
      <c r="D7" s="333"/>
      <c r="E7" s="330"/>
      <c r="F7" s="330"/>
      <c r="G7" s="330"/>
      <c r="H7" s="335"/>
      <c r="I7" s="333"/>
      <c r="J7" s="333"/>
      <c r="K7" s="333"/>
      <c r="L7" s="333"/>
      <c r="M7" s="333"/>
      <c r="N7" s="340"/>
    </row>
    <row r="8" spans="2:21" x14ac:dyDescent="0.25">
      <c r="B8" s="141" t="s">
        <v>213</v>
      </c>
      <c r="C8" s="142"/>
      <c r="D8" s="143"/>
      <c r="E8" s="144"/>
      <c r="F8" s="144"/>
      <c r="G8" s="145"/>
      <c r="H8" s="145"/>
      <c r="I8" s="145"/>
      <c r="J8" s="144"/>
      <c r="K8" s="144"/>
      <c r="L8" s="144"/>
      <c r="M8" s="144"/>
      <c r="N8" s="146"/>
    </row>
    <row r="9" spans="2:21" ht="15.75" thickBot="1" x14ac:dyDescent="0.3">
      <c r="B9" s="147"/>
      <c r="C9" s="148"/>
      <c r="D9" s="149"/>
      <c r="E9" s="150"/>
      <c r="F9" s="151"/>
      <c r="G9" s="151"/>
      <c r="H9" s="151"/>
      <c r="I9" s="151"/>
      <c r="J9" s="150"/>
      <c r="K9" s="150"/>
      <c r="L9" s="150"/>
      <c r="M9" s="152"/>
      <c r="N9" s="153"/>
    </row>
  </sheetData>
  <mergeCells count="15">
    <mergeCell ref="B2:U2"/>
    <mergeCell ref="B5:B7"/>
    <mergeCell ref="C5:C7"/>
    <mergeCell ref="D5:D7"/>
    <mergeCell ref="E5:E7"/>
    <mergeCell ref="F5:F7"/>
    <mergeCell ref="G5:G7"/>
    <mergeCell ref="H5:H7"/>
    <mergeCell ref="I5:I7"/>
    <mergeCell ref="J5:N5"/>
    <mergeCell ref="J6:J7"/>
    <mergeCell ref="K6:K7"/>
    <mergeCell ref="L6:L7"/>
    <mergeCell ref="M6:M7"/>
    <mergeCell ref="N6:N7"/>
  </mergeCells>
  <pageMargins left="0.70866141732283472" right="0.70866141732283472" top="0.74803149606299213" bottom="0.74803149606299213" header="0.31496062992125984" footer="0.31496062992125984"/>
  <pageSetup paperSize="9" scale="5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43"/>
  <sheetViews>
    <sheetView showGridLines="0" zoomScale="85" zoomScaleNormal="85" workbookViewId="0">
      <pane xSplit="1" ySplit="4" topLeftCell="AK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41" customWidth="1"/>
    <col min="2" max="29" width="16.140625" style="14" customWidth="1"/>
    <col min="30" max="43" width="16.42578125" style="14" customWidth="1"/>
    <col min="44" max="44" width="14.7109375" style="14" customWidth="1"/>
    <col min="45" max="45" width="11.140625" style="14" customWidth="1"/>
    <col min="46" max="46" width="2.5703125" style="14" customWidth="1"/>
    <col min="47" max="16384" width="11.42578125" style="14"/>
  </cols>
  <sheetData>
    <row r="1" spans="1:46" ht="30.75" customHeight="1" x14ac:dyDescent="0.3">
      <c r="A1" s="341" t="s">
        <v>108</v>
      </c>
      <c r="B1" s="341"/>
      <c r="C1" s="341"/>
      <c r="D1" s="341"/>
      <c r="E1" s="341"/>
      <c r="F1" s="341"/>
      <c r="G1" s="341"/>
      <c r="H1" s="341"/>
      <c r="AJ1" s="230"/>
      <c r="AK1" s="230"/>
      <c r="AL1" s="230"/>
      <c r="AM1" s="230"/>
      <c r="AN1" s="230"/>
      <c r="AO1" s="230"/>
      <c r="AP1" s="230"/>
      <c r="AQ1" s="230"/>
      <c r="AR1" s="230"/>
      <c r="AS1" s="230"/>
      <c r="AT1" s="230"/>
    </row>
    <row r="2" spans="1:46" ht="20.25" customHeight="1" x14ac:dyDescent="0.3">
      <c r="A2" s="162" t="s">
        <v>81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row>
    <row r="3" spans="1:46" x14ac:dyDescent="0.3">
      <c r="B3" s="60"/>
      <c r="C3" s="60"/>
      <c r="D3" s="60"/>
      <c r="E3" s="60"/>
      <c r="F3" s="60"/>
      <c r="G3" s="60"/>
      <c r="H3" s="60"/>
      <c r="I3" s="60"/>
      <c r="J3" s="60"/>
      <c r="K3" s="60"/>
      <c r="L3" s="60"/>
      <c r="M3" s="60"/>
      <c r="N3" s="60"/>
      <c r="O3" s="60"/>
      <c r="P3" s="60"/>
      <c r="Q3" s="60"/>
      <c r="R3" s="60"/>
      <c r="S3" s="60"/>
      <c r="T3" s="60"/>
      <c r="U3" s="60"/>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row>
    <row r="4" spans="1:46" ht="30" customHeight="1" x14ac:dyDescent="0.3">
      <c r="A4" s="37"/>
      <c r="B4" s="188">
        <v>41729</v>
      </c>
      <c r="C4" s="188">
        <v>41820</v>
      </c>
      <c r="D4" s="188">
        <v>41912</v>
      </c>
      <c r="E4" s="188">
        <v>42004</v>
      </c>
      <c r="F4" s="188">
        <v>42094</v>
      </c>
      <c r="G4" s="188">
        <v>42185</v>
      </c>
      <c r="H4" s="188">
        <v>42277</v>
      </c>
      <c r="I4" s="188">
        <v>42369</v>
      </c>
      <c r="J4" s="188">
        <v>42460</v>
      </c>
      <c r="K4" s="188">
        <v>42551</v>
      </c>
      <c r="L4" s="188">
        <v>42643</v>
      </c>
      <c r="M4" s="188">
        <v>42735</v>
      </c>
      <c r="N4" s="188">
        <v>42825</v>
      </c>
      <c r="O4" s="188">
        <v>42916</v>
      </c>
      <c r="P4" s="188">
        <v>43008</v>
      </c>
      <c r="Q4" s="188">
        <v>43100</v>
      </c>
      <c r="R4" s="188">
        <v>43190</v>
      </c>
      <c r="S4" s="188">
        <v>43281</v>
      </c>
      <c r="T4" s="188">
        <v>43373</v>
      </c>
      <c r="U4" s="188">
        <v>43465</v>
      </c>
      <c r="V4" s="188">
        <v>43555</v>
      </c>
      <c r="W4" s="188">
        <v>43646</v>
      </c>
      <c r="X4" s="188">
        <v>43738</v>
      </c>
      <c r="Y4" s="188">
        <v>43830</v>
      </c>
      <c r="Z4" s="188">
        <v>43921</v>
      </c>
      <c r="AA4" s="188">
        <v>44012</v>
      </c>
      <c r="AB4" s="188">
        <v>44104</v>
      </c>
      <c r="AC4" s="188">
        <v>44196</v>
      </c>
      <c r="AD4" s="188">
        <v>44286</v>
      </c>
      <c r="AE4" s="188">
        <v>44377</v>
      </c>
      <c r="AF4" s="188">
        <v>44469</v>
      </c>
      <c r="AG4" s="188">
        <v>44561</v>
      </c>
      <c r="AH4" s="188">
        <v>44651</v>
      </c>
      <c r="AI4" s="188">
        <v>44742</v>
      </c>
      <c r="AJ4" s="188">
        <v>44834</v>
      </c>
      <c r="AK4" s="188">
        <v>44926</v>
      </c>
      <c r="AL4" s="188">
        <v>45016</v>
      </c>
      <c r="AM4" s="188">
        <v>45107</v>
      </c>
      <c r="AN4" s="188">
        <v>45199</v>
      </c>
      <c r="AO4" s="188">
        <v>45291</v>
      </c>
      <c r="AP4" s="188">
        <v>45382</v>
      </c>
      <c r="AQ4" s="188">
        <v>45473</v>
      </c>
      <c r="AR4" s="252">
        <v>45565</v>
      </c>
      <c r="AS4" s="252">
        <v>45656</v>
      </c>
      <c r="AT4" s="253"/>
    </row>
    <row r="5" spans="1:46" ht="52.5" customHeight="1" x14ac:dyDescent="0.3">
      <c r="A5" s="189" t="s">
        <v>76</v>
      </c>
      <c r="B5" s="39">
        <v>8781.7199999999993</v>
      </c>
      <c r="C5" s="39">
        <v>8719.68</v>
      </c>
      <c r="D5" s="39">
        <v>8671.31</v>
      </c>
      <c r="E5" s="39">
        <v>9251.6200000000008</v>
      </c>
      <c r="F5" s="39">
        <v>8711.33</v>
      </c>
      <c r="G5" s="39">
        <v>8883.2999999999993</v>
      </c>
      <c r="H5" s="39">
        <v>8777.94</v>
      </c>
      <c r="I5" s="39">
        <v>14590.026342765899</v>
      </c>
      <c r="J5" s="39">
        <v>15552.766008292954</v>
      </c>
      <c r="K5" s="39">
        <v>23183.662216917499</v>
      </c>
      <c r="L5" s="39">
        <v>24968.595473778529</v>
      </c>
      <c r="M5" s="39">
        <v>26143.372847835599</v>
      </c>
      <c r="N5" s="39">
        <v>26357.580883104267</v>
      </c>
      <c r="O5" s="39">
        <v>32363.693825003349</v>
      </c>
      <c r="P5" s="39">
        <v>32739.973955860674</v>
      </c>
      <c r="Q5" s="39">
        <v>33066.920518488216</v>
      </c>
      <c r="R5" s="39">
        <v>35523.531142391745</v>
      </c>
      <c r="S5" s="39">
        <v>42512.097230935367</v>
      </c>
      <c r="T5" s="39">
        <v>49897.666266168861</v>
      </c>
      <c r="U5" s="39">
        <v>48061.669901665373</v>
      </c>
      <c r="V5" s="39">
        <v>54971.132794337202</v>
      </c>
      <c r="W5" s="39">
        <v>57477.574093920899</v>
      </c>
      <c r="X5" s="39">
        <v>70107.671098561274</v>
      </c>
      <c r="Y5" s="39">
        <v>73073.385231942695</v>
      </c>
      <c r="Z5" s="39">
        <v>76873.589091758549</v>
      </c>
      <c r="AA5" s="39">
        <v>81321.301084087594</v>
      </c>
      <c r="AB5" s="39">
        <v>87659.723356733972</v>
      </c>
      <c r="AC5" s="39">
        <v>98086.703607309493</v>
      </c>
      <c r="AD5" s="39">
        <v>105498.39985939959</v>
      </c>
      <c r="AE5" s="39">
        <v>104307.6114064088</v>
      </c>
      <c r="AF5" s="39">
        <v>109501.85230045371</v>
      </c>
      <c r="AG5" s="39">
        <v>118375.03408370932</v>
      </c>
      <c r="AH5" s="39">
        <v>125218.25101459341</v>
      </c>
      <c r="AI5" s="39">
        <v>136288.86474127742</v>
      </c>
      <c r="AJ5" s="39">
        <v>152793.80111647217</v>
      </c>
      <c r="AK5" s="39">
        <v>173744.05273852008</v>
      </c>
      <c r="AL5" s="39">
        <v>184002.77888037229</v>
      </c>
      <c r="AM5" s="39">
        <v>217722.16278989098</v>
      </c>
      <c r="AN5" s="39">
        <v>264718.17902564391</v>
      </c>
      <c r="AO5" s="39">
        <v>552742.441324963</v>
      </c>
      <c r="AP5" s="39">
        <v>603697.48009548953</v>
      </c>
      <c r="AQ5" s="39">
        <v>631573.63862050255</v>
      </c>
      <c r="AR5" s="278">
        <v>620637.8110705479</v>
      </c>
      <c r="AS5" s="248">
        <f>+'Servicios Deuda Anual'!F45*'Servicios Deuda Anual'!C52</f>
        <v>645034.90238757001</v>
      </c>
      <c r="AT5" s="240"/>
    </row>
    <row r="6" spans="1:46" ht="52.5" customHeight="1" x14ac:dyDescent="0.3">
      <c r="A6" s="189" t="s">
        <v>266</v>
      </c>
      <c r="B6" s="39">
        <v>814.06924421000008</v>
      </c>
      <c r="C6" s="39">
        <v>1334.7686670200001</v>
      </c>
      <c r="D6" s="39">
        <v>1606.3620389600001</v>
      </c>
      <c r="E6" s="39">
        <v>2059.9873684600002</v>
      </c>
      <c r="F6" s="39">
        <v>1532.2292152100001</v>
      </c>
      <c r="G6" s="39">
        <v>2787.2709622900002</v>
      </c>
      <c r="H6" s="39">
        <v>3436.8373112600002</v>
      </c>
      <c r="I6" s="39">
        <v>4751.3450329800007</v>
      </c>
      <c r="J6" s="39">
        <v>1748.5210195500001</v>
      </c>
      <c r="K6" s="45">
        <v>1979.8916584900003</v>
      </c>
      <c r="L6" s="45">
        <v>2005.6820979800002</v>
      </c>
      <c r="M6" s="45">
        <v>2713.09112757</v>
      </c>
      <c r="N6" s="45">
        <v>1455.4634681099999</v>
      </c>
      <c r="O6" s="45">
        <v>2358.1514273500002</v>
      </c>
      <c r="P6" s="45">
        <v>2403.9927246800003</v>
      </c>
      <c r="Q6" s="45">
        <v>3051.1866099200001</v>
      </c>
      <c r="R6" s="45">
        <v>2887.47474384</v>
      </c>
      <c r="S6" s="45">
        <v>2566.0700995500001</v>
      </c>
      <c r="T6" s="45">
        <v>2260.5505495299999</v>
      </c>
      <c r="U6" s="45">
        <v>5907.5229735200001</v>
      </c>
      <c r="V6" s="45">
        <v>2465.16920291</v>
      </c>
      <c r="W6" s="39">
        <v>4329.9503111499998</v>
      </c>
      <c r="X6" s="39">
        <v>4646.9381585399997</v>
      </c>
      <c r="Y6" s="39">
        <v>9439.5116885000007</v>
      </c>
      <c r="Z6" s="39">
        <v>3694.6763252000001</v>
      </c>
      <c r="AA6" s="39">
        <v>6793.2007236199997</v>
      </c>
      <c r="AB6" s="39">
        <v>7216.9493976200001</v>
      </c>
      <c r="AC6" s="39">
        <v>15771.225058290001</v>
      </c>
      <c r="AD6" s="39">
        <v>4714.8373600100003</v>
      </c>
      <c r="AE6" s="39">
        <v>8017.0700839199999</v>
      </c>
      <c r="AF6" s="39">
        <v>12560.355571530001</v>
      </c>
      <c r="AG6" s="39">
        <v>26355.928719810003</v>
      </c>
      <c r="AH6" s="89">
        <v>7068.6826936500001</v>
      </c>
      <c r="AI6" s="89">
        <v>12519.52704866</v>
      </c>
      <c r="AJ6" s="89">
        <v>14153.615796210001</v>
      </c>
      <c r="AK6" s="89">
        <v>50923.483293849997</v>
      </c>
      <c r="AL6" s="89">
        <v>16141.696247110001</v>
      </c>
      <c r="AM6" s="89">
        <v>26252.587002599998</v>
      </c>
      <c r="AN6" s="89">
        <v>64142.556503469998</v>
      </c>
      <c r="AO6" s="89">
        <f>149200.95760792-77622.2</f>
        <v>71578.757607919993</v>
      </c>
      <c r="AP6" s="89">
        <v>32108.222228099999</v>
      </c>
      <c r="AQ6" s="89">
        <v>50021.505171899997</v>
      </c>
      <c r="AR6" s="279">
        <v>65997.73</v>
      </c>
      <c r="AS6" s="342">
        <v>222801.24113602031</v>
      </c>
      <c r="AT6" s="283" t="s">
        <v>259</v>
      </c>
    </row>
    <row r="7" spans="1:46" ht="52.5" customHeight="1" x14ac:dyDescent="0.3">
      <c r="A7" s="189" t="s">
        <v>77</v>
      </c>
      <c r="B7" s="58">
        <f>+SUM(B5:B6)</f>
        <v>9595.7892442100001</v>
      </c>
      <c r="C7" s="58">
        <f t="shared" ref="C7:AH7" si="0">+SUM(C5:C6)</f>
        <v>10054.44866702</v>
      </c>
      <c r="D7" s="58">
        <f t="shared" si="0"/>
        <v>10277.67203896</v>
      </c>
      <c r="E7" s="58">
        <f t="shared" si="0"/>
        <v>11311.607368460001</v>
      </c>
      <c r="F7" s="58">
        <f t="shared" si="0"/>
        <v>10243.55921521</v>
      </c>
      <c r="G7" s="58">
        <f t="shared" si="0"/>
        <v>11670.570962289999</v>
      </c>
      <c r="H7" s="58">
        <f t="shared" si="0"/>
        <v>12214.777311260001</v>
      </c>
      <c r="I7" s="58">
        <f t="shared" si="0"/>
        <v>19341.371375745901</v>
      </c>
      <c r="J7" s="58">
        <f t="shared" si="0"/>
        <v>17301.287027842955</v>
      </c>
      <c r="K7" s="58">
        <f t="shared" si="0"/>
        <v>25163.553875407499</v>
      </c>
      <c r="L7" s="58">
        <f t="shared" si="0"/>
        <v>26974.277571758528</v>
      </c>
      <c r="M7" s="58">
        <f t="shared" si="0"/>
        <v>28856.463975405597</v>
      </c>
      <c r="N7" s="58">
        <f t="shared" si="0"/>
        <v>27813.044351214266</v>
      </c>
      <c r="O7" s="58">
        <f t="shared" si="0"/>
        <v>34721.845252353349</v>
      </c>
      <c r="P7" s="58">
        <f t="shared" si="0"/>
        <v>35143.966680540674</v>
      </c>
      <c r="Q7" s="58">
        <f t="shared" si="0"/>
        <v>36118.107128408214</v>
      </c>
      <c r="R7" s="58">
        <f t="shared" si="0"/>
        <v>38411.005886231746</v>
      </c>
      <c r="S7" s="58">
        <f t="shared" si="0"/>
        <v>45078.167330485368</v>
      </c>
      <c r="T7" s="58">
        <f t="shared" si="0"/>
        <v>52158.216815698863</v>
      </c>
      <c r="U7" s="58">
        <f t="shared" si="0"/>
        <v>53969.19287518537</v>
      </c>
      <c r="V7" s="58">
        <f t="shared" si="0"/>
        <v>57436.301997247203</v>
      </c>
      <c r="W7" s="58">
        <f t="shared" si="0"/>
        <v>61807.524405070901</v>
      </c>
      <c r="X7" s="58">
        <f t="shared" si="0"/>
        <v>74754.60925710127</v>
      </c>
      <c r="Y7" s="58">
        <f t="shared" si="0"/>
        <v>82512.896920442698</v>
      </c>
      <c r="Z7" s="58">
        <f t="shared" si="0"/>
        <v>80568.265416958544</v>
      </c>
      <c r="AA7" s="58">
        <f t="shared" si="0"/>
        <v>88114.501807707595</v>
      </c>
      <c r="AB7" s="58">
        <f t="shared" si="0"/>
        <v>94876.672754353975</v>
      </c>
      <c r="AC7" s="58">
        <f t="shared" si="0"/>
        <v>113857.92866559949</v>
      </c>
      <c r="AD7" s="58">
        <f t="shared" si="0"/>
        <v>110213.2372194096</v>
      </c>
      <c r="AE7" s="58">
        <f t="shared" si="0"/>
        <v>112324.6814903288</v>
      </c>
      <c r="AF7" s="58">
        <f t="shared" si="0"/>
        <v>122062.20787198372</v>
      </c>
      <c r="AG7" s="58">
        <f t="shared" si="0"/>
        <v>144730.96280351933</v>
      </c>
      <c r="AH7" s="58">
        <f t="shared" si="0"/>
        <v>132286.93370824342</v>
      </c>
      <c r="AI7" s="58">
        <f t="shared" ref="AI7:AQ7" si="1">+SUM(AI5:AI6)</f>
        <v>148808.39178993742</v>
      </c>
      <c r="AJ7" s="58">
        <f t="shared" si="1"/>
        <v>166947.41691268218</v>
      </c>
      <c r="AK7" s="58">
        <f t="shared" si="1"/>
        <v>224667.53603237009</v>
      </c>
      <c r="AL7" s="58">
        <f t="shared" si="1"/>
        <v>200144.47512748229</v>
      </c>
      <c r="AM7" s="58">
        <f t="shared" si="1"/>
        <v>243974.74979249097</v>
      </c>
      <c r="AN7" s="58">
        <f t="shared" si="1"/>
        <v>328860.73552911391</v>
      </c>
      <c r="AO7" s="58">
        <f t="shared" si="1"/>
        <v>624321.19893288298</v>
      </c>
      <c r="AP7" s="58">
        <f t="shared" si="1"/>
        <v>635805.70232358947</v>
      </c>
      <c r="AQ7" s="58">
        <f t="shared" si="1"/>
        <v>681595.14379240258</v>
      </c>
      <c r="AR7" s="280">
        <f t="shared" ref="AR7:AS7" si="2">+SUM(AR5:AR6)</f>
        <v>686635.54107054789</v>
      </c>
      <c r="AS7" s="249">
        <f t="shared" si="2"/>
        <v>867836.14352359029</v>
      </c>
      <c r="AT7" s="242"/>
    </row>
    <row r="8" spans="1:46" ht="52.5" customHeight="1" x14ac:dyDescent="0.3">
      <c r="A8" s="189" t="s">
        <v>262</v>
      </c>
      <c r="B8" s="40">
        <v>163.8898963706211</v>
      </c>
      <c r="C8" s="40">
        <v>150.56442181362843</v>
      </c>
      <c r="D8" s="40">
        <v>141.49073089635448</v>
      </c>
      <c r="E8" s="40">
        <v>133.5837661649837</v>
      </c>
      <c r="F8" s="40">
        <v>127.14585497485567</v>
      </c>
      <c r="G8" s="40">
        <v>120.00304618812947</v>
      </c>
      <c r="H8" s="40">
        <v>113.83269092674556</v>
      </c>
      <c r="I8" s="40">
        <v>106.54473738934053</v>
      </c>
      <c r="J8" s="40">
        <v>93.493816080623134</v>
      </c>
      <c r="K8" s="40">
        <v>84.281318996620968</v>
      </c>
      <c r="L8" s="40">
        <v>80.712364414521943</v>
      </c>
      <c r="M8" s="40">
        <v>76.781086011574175</v>
      </c>
      <c r="N8" s="40">
        <v>72.282779454465967</v>
      </c>
      <c r="O8" s="40">
        <v>68.587651551783921</v>
      </c>
      <c r="P8" s="40">
        <v>65.26988400694735</v>
      </c>
      <c r="Q8" s="40">
        <v>61.510630456195436</v>
      </c>
      <c r="R8" s="40">
        <v>57.680206963684334</v>
      </c>
      <c r="S8" s="40">
        <v>53.045905582351786</v>
      </c>
      <c r="T8" s="40">
        <v>46.497333432744334</v>
      </c>
      <c r="U8" s="40">
        <v>41.663943957932496</v>
      </c>
      <c r="V8" s="40">
        <v>37.256406924377679</v>
      </c>
      <c r="W8" s="40">
        <v>34.029167208469481</v>
      </c>
      <c r="X8" s="40">
        <v>30.232295620122002</v>
      </c>
      <c r="Y8" s="40">
        <v>27.058750566839802</v>
      </c>
      <c r="Z8" s="40">
        <v>25.103346013835797</v>
      </c>
      <c r="AA8" s="40">
        <v>23.842326554485396</v>
      </c>
      <c r="AB8" s="40">
        <v>22.16209895519339</v>
      </c>
      <c r="AC8" s="40">
        <v>19.893009938088859</v>
      </c>
      <c r="AD8" s="40">
        <v>17.617574725197549</v>
      </c>
      <c r="AE8" s="40">
        <v>15.875059946240649</v>
      </c>
      <c r="AF8" s="40">
        <v>14.528271058755218</v>
      </c>
      <c r="AG8" s="40">
        <v>13.193267417042652</v>
      </c>
      <c r="AH8" s="40">
        <v>11.366472791243016</v>
      </c>
      <c r="AI8" s="40">
        <v>9.6892188228535616</v>
      </c>
      <c r="AJ8" s="40">
        <v>7.9391898689585227</v>
      </c>
      <c r="AK8" s="40">
        <v>6.774304588728091</v>
      </c>
      <c r="AL8" s="40">
        <v>5.5665478472727017</v>
      </c>
      <c r="AM8" s="40">
        <v>4.4939893417461381</v>
      </c>
      <c r="AN8" s="40">
        <v>3.3374021875917745</v>
      </c>
      <c r="AO8" s="40">
        <v>2.1768437846889976</v>
      </c>
      <c r="AP8" s="40">
        <v>1.4365162751809597</v>
      </c>
      <c r="AQ8" s="40">
        <v>1.2113851678875645</v>
      </c>
      <c r="AR8" s="281">
        <v>1.0800424959999997</v>
      </c>
      <c r="AS8" s="250">
        <v>1</v>
      </c>
      <c r="AT8" s="243"/>
    </row>
    <row r="9" spans="1:46" ht="52.5" customHeight="1" x14ac:dyDescent="0.3">
      <c r="A9" s="189" t="s">
        <v>254</v>
      </c>
      <c r="B9" s="190">
        <f>+B7*B8</f>
        <v>1572652.9048278974</v>
      </c>
      <c r="C9" s="190">
        <f t="shared" ref="C9:AH9" si="3">+C7*C8</f>
        <v>1513842.2502046735</v>
      </c>
      <c r="D9" s="190">
        <f t="shared" si="3"/>
        <v>1454195.3287054761</v>
      </c>
      <c r="E9" s="190">
        <f t="shared" si="3"/>
        <v>1511047.1136584675</v>
      </c>
      <c r="F9" s="190">
        <f t="shared" si="3"/>
        <v>1302426.0944034369</v>
      </c>
      <c r="G9" s="190">
        <f t="shared" si="3"/>
        <v>1400504.0662295294</v>
      </c>
      <c r="H9" s="190">
        <f t="shared" si="3"/>
        <v>1390440.9704116837</v>
      </c>
      <c r="I9" s="190">
        <f t="shared" si="3"/>
        <v>2060721.3339785549</v>
      </c>
      <c r="J9" s="190">
        <f t="shared" si="3"/>
        <v>1617563.3473392201</v>
      </c>
      <c r="K9" s="190">
        <f t="shared" si="3"/>
        <v>2120817.5112618771</v>
      </c>
      <c r="L9" s="190">
        <f t="shared" si="3"/>
        <v>2177157.7211902402</v>
      </c>
      <c r="M9" s="190">
        <f t="shared" si="3"/>
        <v>2215630.6424855087</v>
      </c>
      <c r="N9" s="190">
        <f t="shared" si="3"/>
        <v>2010404.1507961012</v>
      </c>
      <c r="O9" s="190">
        <f t="shared" si="3"/>
        <v>2381489.8234033743</v>
      </c>
      <c r="P9" s="190">
        <f t="shared" si="3"/>
        <v>2293842.6287829122</v>
      </c>
      <c r="Q9" s="190">
        <f t="shared" si="3"/>
        <v>2221647.5403527957</v>
      </c>
      <c r="R9" s="190">
        <f t="shared" si="3"/>
        <v>2215554.7692011441</v>
      </c>
      <c r="S9" s="190">
        <f t="shared" si="3"/>
        <v>2391212.2080383818</v>
      </c>
      <c r="T9" s="190">
        <f t="shared" si="3"/>
        <v>2425217.9985369225</v>
      </c>
      <c r="U9" s="190">
        <f t="shared" si="3"/>
        <v>2248569.4274065732</v>
      </c>
      <c r="V9" s="190">
        <f t="shared" si="3"/>
        <v>2139870.2394408882</v>
      </c>
      <c r="W9" s="190">
        <f t="shared" si="3"/>
        <v>2103258.5827217158</v>
      </c>
      <c r="X9" s="190">
        <f t="shared" si="3"/>
        <v>2260003.4460273944</v>
      </c>
      <c r="Y9" s="190">
        <f t="shared" si="3"/>
        <v>2232695.8963176231</v>
      </c>
      <c r="Z9" s="190">
        <f t="shared" si="3"/>
        <v>2022533.0444964708</v>
      </c>
      <c r="AA9" s="190">
        <f t="shared" si="3"/>
        <v>2100854.7262851582</v>
      </c>
      <c r="AB9" s="190">
        <f t="shared" si="3"/>
        <v>2102666.2101214933</v>
      </c>
      <c r="AC9" s="190">
        <f t="shared" si="3"/>
        <v>2264976.9064749833</v>
      </c>
      <c r="AD9" s="190">
        <f t="shared" si="3"/>
        <v>1941689.9424188724</v>
      </c>
      <c r="AE9" s="190">
        <f t="shared" si="3"/>
        <v>1783161.0521013571</v>
      </c>
      <c r="AF9" s="190">
        <f t="shared" si="3"/>
        <v>1773352.8419943044</v>
      </c>
      <c r="AG9" s="190">
        <f t="shared" si="3"/>
        <v>1909474.2957928835</v>
      </c>
      <c r="AH9" s="190">
        <f t="shared" si="3"/>
        <v>1503635.8326317174</v>
      </c>
      <c r="AI9" s="190">
        <f t="shared" ref="AI9:AQ9" si="4">+AI7*AI8</f>
        <v>1441837.0707296291</v>
      </c>
      <c r="AJ9" s="190">
        <f t="shared" si="4"/>
        <v>1325427.2410019611</v>
      </c>
      <c r="AK9" s="190">
        <f t="shared" si="4"/>
        <v>1521966.3202823184</v>
      </c>
      <c r="AL9" s="190">
        <f t="shared" si="4"/>
        <v>1114113.7971644113</v>
      </c>
      <c r="AM9" s="190">
        <f t="shared" si="4"/>
        <v>1096419.9252226353</v>
      </c>
      <c r="AN9" s="190">
        <f t="shared" si="4"/>
        <v>1097540.5381679048</v>
      </c>
      <c r="AO9" s="190">
        <f t="shared" si="4"/>
        <v>1359049.7215466297</v>
      </c>
      <c r="AP9" s="190">
        <f t="shared" si="4"/>
        <v>913345.23924069677</v>
      </c>
      <c r="AQ9" s="190">
        <f t="shared" si="4"/>
        <v>825674.24769430829</v>
      </c>
      <c r="AR9" s="282">
        <f t="shared" ref="AR9" si="5">+AR7*AR8</f>
        <v>741595.56362014485</v>
      </c>
      <c r="AS9" s="251">
        <f>+AS7*AS8</f>
        <v>867836.14352359029</v>
      </c>
      <c r="AT9" s="244"/>
    </row>
    <row r="10" spans="1:46" ht="52.5" customHeight="1" x14ac:dyDescent="0.3">
      <c r="A10" s="189" t="s">
        <v>78</v>
      </c>
      <c r="B10" s="40">
        <v>8.0098000000000003</v>
      </c>
      <c r="C10" s="40">
        <v>8.1326999999999998</v>
      </c>
      <c r="D10" s="40">
        <v>8.4642999999999997</v>
      </c>
      <c r="E10" s="40">
        <v>8.5519999999999996</v>
      </c>
      <c r="F10" s="40">
        <v>8.8196999999999992</v>
      </c>
      <c r="G10" s="40">
        <v>9.0864999999999991</v>
      </c>
      <c r="H10" s="40">
        <v>9.4192</v>
      </c>
      <c r="I10" s="40">
        <v>13.005000000000001</v>
      </c>
      <c r="J10" s="40">
        <v>14.5817</v>
      </c>
      <c r="K10" s="40">
        <v>14.92</v>
      </c>
      <c r="L10" s="40">
        <v>15.263299999999999</v>
      </c>
      <c r="M10" s="40">
        <v>15.850199999999999</v>
      </c>
      <c r="N10" s="40">
        <v>15.3818</v>
      </c>
      <c r="O10" s="40">
        <v>16.598500000000001</v>
      </c>
      <c r="P10" s="40">
        <v>17.318300000000001</v>
      </c>
      <c r="Q10" s="40">
        <v>18.7742</v>
      </c>
      <c r="R10" s="40">
        <v>20.1433</v>
      </c>
      <c r="S10" s="40">
        <v>28.861699999999999</v>
      </c>
      <c r="T10" s="40">
        <v>40.896700000000003</v>
      </c>
      <c r="U10" s="40">
        <v>37.808300000000003</v>
      </c>
      <c r="V10" s="40">
        <v>43.353299999999997</v>
      </c>
      <c r="W10" s="40">
        <v>42.448300000000003</v>
      </c>
      <c r="X10" s="40">
        <v>57.558300000000003</v>
      </c>
      <c r="Y10" s="40">
        <v>59.895000000000003</v>
      </c>
      <c r="Z10" s="40">
        <v>64.469700000000003</v>
      </c>
      <c r="AA10" s="40">
        <v>70.454999999999998</v>
      </c>
      <c r="AB10" s="40">
        <v>76.174999999999997</v>
      </c>
      <c r="AC10" s="40">
        <v>84.144999999999996</v>
      </c>
      <c r="AD10" s="40">
        <v>91.984999999999999</v>
      </c>
      <c r="AE10" s="40">
        <v>95.726699999999994</v>
      </c>
      <c r="AF10" s="40">
        <v>98.734999999999999</v>
      </c>
      <c r="AG10" s="40">
        <v>102.75</v>
      </c>
      <c r="AH10" s="40">
        <v>110.9783</v>
      </c>
      <c r="AI10" s="40">
        <v>125.215</v>
      </c>
      <c r="AJ10" s="40">
        <v>147.315</v>
      </c>
      <c r="AK10" s="40">
        <v>177.1283</v>
      </c>
      <c r="AL10" s="40">
        <v>208.98830000000001</v>
      </c>
      <c r="AM10" s="40">
        <v>256.67500000000001</v>
      </c>
      <c r="AN10" s="40">
        <v>350.00830000000002</v>
      </c>
      <c r="AO10" s="40">
        <v>808.48329999999999</v>
      </c>
      <c r="AP10" s="40">
        <v>857.41669999999999</v>
      </c>
      <c r="AQ10" s="40">
        <v>911.75</v>
      </c>
      <c r="AR10" s="281">
        <v>970.91669999999999</v>
      </c>
      <c r="AS10" s="250">
        <f>+'Servicios Deuda Anual'!C52</f>
        <v>1032.5</v>
      </c>
      <c r="AT10" s="243"/>
    </row>
    <row r="11" spans="1:46" ht="52.5" customHeight="1" x14ac:dyDescent="0.3">
      <c r="A11" s="189" t="s">
        <v>79</v>
      </c>
      <c r="B11" s="190">
        <f>+B7/B10</f>
        <v>1198.0060980561311</v>
      </c>
      <c r="C11" s="190">
        <f t="shared" ref="C11:AH11" si="6">+C7/C10</f>
        <v>1236.2989741438882</v>
      </c>
      <c r="D11" s="190">
        <f t="shared" si="6"/>
        <v>1214.2376852143709</v>
      </c>
      <c r="E11" s="190">
        <f t="shared" si="6"/>
        <v>1322.6856137114128</v>
      </c>
      <c r="F11" s="190">
        <f t="shared" si="6"/>
        <v>1161.440776354071</v>
      </c>
      <c r="G11" s="190">
        <f t="shared" si="6"/>
        <v>1284.3857329323723</v>
      </c>
      <c r="H11" s="190">
        <f t="shared" si="6"/>
        <v>1296.7956207809582</v>
      </c>
      <c r="I11" s="190">
        <f t="shared" si="6"/>
        <v>1487.2257882157555</v>
      </c>
      <c r="J11" s="190">
        <f t="shared" si="6"/>
        <v>1186.5068563914328</v>
      </c>
      <c r="K11" s="190">
        <f t="shared" si="6"/>
        <v>1686.5652731506366</v>
      </c>
      <c r="L11" s="190">
        <f t="shared" si="6"/>
        <v>1767.2638008660335</v>
      </c>
      <c r="M11" s="190">
        <f t="shared" si="6"/>
        <v>1820.5741236959532</v>
      </c>
      <c r="N11" s="190">
        <f t="shared" si="6"/>
        <v>1808.1787795455841</v>
      </c>
      <c r="O11" s="190">
        <f t="shared" si="6"/>
        <v>2091.8664489172725</v>
      </c>
      <c r="P11" s="190">
        <f t="shared" si="6"/>
        <v>2029.2965637817033</v>
      </c>
      <c r="Q11" s="190">
        <f t="shared" si="6"/>
        <v>1923.8160416107323</v>
      </c>
      <c r="R11" s="190">
        <f t="shared" si="6"/>
        <v>1906.8874457626976</v>
      </c>
      <c r="S11" s="190">
        <f t="shared" si="6"/>
        <v>1561.8680580314178</v>
      </c>
      <c r="T11" s="190">
        <f t="shared" si="6"/>
        <v>1275.3649271383476</v>
      </c>
      <c r="U11" s="190">
        <f t="shared" si="6"/>
        <v>1427.4429920198836</v>
      </c>
      <c r="V11" s="190">
        <f t="shared" si="6"/>
        <v>1324.8426762725608</v>
      </c>
      <c r="W11" s="190">
        <f t="shared" si="6"/>
        <v>1456.06595329073</v>
      </c>
      <c r="X11" s="190">
        <f t="shared" si="6"/>
        <v>1298.7633279145018</v>
      </c>
      <c r="Y11" s="190">
        <f t="shared" si="6"/>
        <v>1377.625793813218</v>
      </c>
      <c r="Z11" s="190">
        <f t="shared" si="6"/>
        <v>1249.7074659407217</v>
      </c>
      <c r="AA11" s="190">
        <f t="shared" si="6"/>
        <v>1250.6493763069705</v>
      </c>
      <c r="AB11" s="190">
        <f t="shared" si="6"/>
        <v>1245.5093239823298</v>
      </c>
      <c r="AC11" s="190">
        <f t="shared" si="6"/>
        <v>1353.1157961328599</v>
      </c>
      <c r="AD11" s="190">
        <f t="shared" si="6"/>
        <v>1198.165322817955</v>
      </c>
      <c r="AE11" s="190">
        <f t="shared" si="6"/>
        <v>1173.3892580683216</v>
      </c>
      <c r="AF11" s="190">
        <f t="shared" si="6"/>
        <v>1236.2607775559195</v>
      </c>
      <c r="AG11" s="190">
        <f t="shared" si="6"/>
        <v>1408.5738472361979</v>
      </c>
      <c r="AH11" s="190">
        <f t="shared" si="6"/>
        <v>1192.0072095918158</v>
      </c>
      <c r="AI11" s="190">
        <f t="shared" ref="AI11:AQ11" si="7">+AI7/AI10</f>
        <v>1188.423046679211</v>
      </c>
      <c r="AJ11" s="190">
        <f t="shared" si="7"/>
        <v>1133.2682816595877</v>
      </c>
      <c r="AK11" s="190">
        <f t="shared" si="7"/>
        <v>1268.388710513058</v>
      </c>
      <c r="AL11" s="190">
        <f t="shared" si="7"/>
        <v>957.68267949680569</v>
      </c>
      <c r="AM11" s="190">
        <f t="shared" si="7"/>
        <v>950.52011217489417</v>
      </c>
      <c r="AN11" s="190">
        <f t="shared" si="7"/>
        <v>939.57982004744997</v>
      </c>
      <c r="AO11" s="190">
        <f t="shared" si="7"/>
        <v>772.21285700382805</v>
      </c>
      <c r="AP11" s="190">
        <f t="shared" si="7"/>
        <v>741.53641085319362</v>
      </c>
      <c r="AQ11" s="190">
        <f t="shared" si="7"/>
        <v>747.56802170814649</v>
      </c>
      <c r="AR11" s="282">
        <f t="shared" ref="AR11:AS11" si="8">+AR7/AR10</f>
        <v>707.20334820747019</v>
      </c>
      <c r="AS11" s="251">
        <f t="shared" si="8"/>
        <v>840.51926733519645</v>
      </c>
      <c r="AT11" s="244"/>
    </row>
    <row r="12" spans="1:46" ht="52.5" customHeight="1" x14ac:dyDescent="0.3">
      <c r="A12" s="189" t="s">
        <v>80</v>
      </c>
      <c r="B12" s="39">
        <v>314.46720625</v>
      </c>
      <c r="C12" s="39">
        <v>478.86095885000003</v>
      </c>
      <c r="D12" s="39">
        <v>474.58328738</v>
      </c>
      <c r="E12" s="39">
        <v>778.12609504</v>
      </c>
      <c r="F12" s="39">
        <v>718.73022808000007</v>
      </c>
      <c r="G12" s="39">
        <v>1298.8367923699998</v>
      </c>
      <c r="H12" s="39">
        <v>1625.11270541</v>
      </c>
      <c r="I12" s="39">
        <v>1674.58950392</v>
      </c>
      <c r="J12" s="39">
        <v>618.91159517999995</v>
      </c>
      <c r="K12" s="45">
        <v>722.13102017999995</v>
      </c>
      <c r="L12" s="39">
        <v>633.77258883000002</v>
      </c>
      <c r="M12" s="45">
        <v>935.87173382000003</v>
      </c>
      <c r="N12" s="39">
        <v>698.34998707</v>
      </c>
      <c r="O12" s="45">
        <v>879.25538699000003</v>
      </c>
      <c r="P12" s="39">
        <v>836.87532364999993</v>
      </c>
      <c r="Q12" s="45">
        <v>898.69213680999997</v>
      </c>
      <c r="R12" s="45">
        <v>1153.66550927</v>
      </c>
      <c r="S12" s="45">
        <v>1117.7619162000001</v>
      </c>
      <c r="T12" s="45">
        <v>973.22907361</v>
      </c>
      <c r="U12" s="45">
        <v>2081.8590620999998</v>
      </c>
      <c r="V12" s="45">
        <v>1166.28844142</v>
      </c>
      <c r="W12" s="39">
        <v>1994.24181458</v>
      </c>
      <c r="X12" s="39">
        <v>1582.17197738</v>
      </c>
      <c r="Y12" s="39">
        <v>3973.4916769800002</v>
      </c>
      <c r="Z12" s="39">
        <v>1829.54825347</v>
      </c>
      <c r="AA12" s="39">
        <v>1967.2654723000001</v>
      </c>
      <c r="AB12" s="39">
        <v>2306.01199004</v>
      </c>
      <c r="AC12" s="39">
        <v>4480.3689031499998</v>
      </c>
      <c r="AD12" s="39">
        <v>1986.7844765499999</v>
      </c>
      <c r="AE12" s="39">
        <v>3455.3547898900001</v>
      </c>
      <c r="AF12" s="39">
        <v>3173.6009410000001</v>
      </c>
      <c r="AG12" s="39">
        <v>5889.6617611599995</v>
      </c>
      <c r="AH12" s="89">
        <v>3272.58093147</v>
      </c>
      <c r="AI12" s="39">
        <f>4275.84906046+226.21680951</f>
        <v>4502.0658699699998</v>
      </c>
      <c r="AJ12" s="39">
        <v>5201.9054230399997</v>
      </c>
      <c r="AK12" s="39">
        <v>15849.07698921</v>
      </c>
      <c r="AL12" s="39">
        <v>6932.1063246499998</v>
      </c>
      <c r="AM12" s="39">
        <v>9414.13902762</v>
      </c>
      <c r="AN12" s="39">
        <v>7973.2664187500004</v>
      </c>
      <c r="AO12" s="39">
        <v>26319.3699576</v>
      </c>
      <c r="AP12" s="39">
        <v>20209.139166950001</v>
      </c>
      <c r="AQ12" s="39">
        <v>30219.134387059999</v>
      </c>
      <c r="AR12" s="278">
        <v>35409.546910670048</v>
      </c>
      <c r="AS12" s="343">
        <v>101940.9064698501</v>
      </c>
      <c r="AT12" s="241" t="s">
        <v>259</v>
      </c>
    </row>
    <row r="13" spans="1:46" ht="52.5" customHeight="1" x14ac:dyDescent="0.3">
      <c r="A13" s="189" t="s">
        <v>255</v>
      </c>
      <c r="B13" s="58">
        <f>SUM(B7,B12)*B8</f>
        <v>1624190.9026721686</v>
      </c>
      <c r="C13" s="58">
        <f t="shared" ref="C13:AH13" si="9">SUM(C7,C12)*C8</f>
        <v>1585941.6736030434</v>
      </c>
      <c r="D13" s="58">
        <f t="shared" si="9"/>
        <v>1521344.4649080671</v>
      </c>
      <c r="E13" s="58">
        <f t="shared" si="9"/>
        <v>1614992.1279851627</v>
      </c>
      <c r="F13" s="58">
        <f t="shared" si="9"/>
        <v>1393809.6637489416</v>
      </c>
      <c r="G13" s="58">
        <f t="shared" si="9"/>
        <v>1556368.4378151484</v>
      </c>
      <c r="H13" s="58">
        <f t="shared" si="9"/>
        <v>1575431.9227277476</v>
      </c>
      <c r="I13" s="58">
        <f t="shared" si="9"/>
        <v>2239140.0329086576</v>
      </c>
      <c r="J13" s="58">
        <f t="shared" si="9"/>
        <v>1675427.7541891441</v>
      </c>
      <c r="K13" s="58">
        <f t="shared" si="9"/>
        <v>2181679.6661310233</v>
      </c>
      <c r="L13" s="58">
        <f t="shared" si="9"/>
        <v>2228311.0053358222</v>
      </c>
      <c r="M13" s="58">
        <f t="shared" si="9"/>
        <v>2287487.8905757433</v>
      </c>
      <c r="N13" s="58">
        <f t="shared" si="9"/>
        <v>2060882.8288935113</v>
      </c>
      <c r="O13" s="58">
        <f t="shared" si="9"/>
        <v>2441795.8855112735</v>
      </c>
      <c r="P13" s="58">
        <f t="shared" si="9"/>
        <v>2348465.3840858242</v>
      </c>
      <c r="Q13" s="58">
        <f t="shared" si="9"/>
        <v>2276926.6602740046</v>
      </c>
      <c r="R13" s="58">
        <f t="shared" si="9"/>
        <v>2282098.4345427025</v>
      </c>
      <c r="S13" s="58">
        <f t="shared" si="9"/>
        <v>2450504.9011086752</v>
      </c>
      <c r="T13" s="58">
        <f t="shared" si="9"/>
        <v>2470470.5552790072</v>
      </c>
      <c r="U13" s="58">
        <f t="shared" si="9"/>
        <v>2335307.8866982213</v>
      </c>
      <c r="V13" s="58">
        <f t="shared" si="9"/>
        <v>2183321.9562056302</v>
      </c>
      <c r="W13" s="58">
        <f t="shared" si="9"/>
        <v>2171120.9708841802</v>
      </c>
      <c r="X13" s="58">
        <f t="shared" si="9"/>
        <v>2307836.1369694197</v>
      </c>
      <c r="Y13" s="58">
        <f t="shared" si="9"/>
        <v>2340213.616484439</v>
      </c>
      <c r="Z13" s="58">
        <f t="shared" si="9"/>
        <v>2068460.8273523371</v>
      </c>
      <c r="AA13" s="58">
        <f t="shared" si="9"/>
        <v>2147758.9120950988</v>
      </c>
      <c r="AB13" s="58">
        <f t="shared" si="9"/>
        <v>2153772.2760366225</v>
      </c>
      <c r="AC13" s="58">
        <f t="shared" si="9"/>
        <v>2354104.9295916501</v>
      </c>
      <c r="AD13" s="58">
        <f t="shared" si="9"/>
        <v>1976692.2663973544</v>
      </c>
      <c r="AE13" s="58">
        <f t="shared" si="9"/>
        <v>1838015.0165263906</v>
      </c>
      <c r="AF13" s="58">
        <f t="shared" si="9"/>
        <v>1819459.7766974729</v>
      </c>
      <c r="AG13" s="58">
        <f t="shared" si="9"/>
        <v>1987178.178403798</v>
      </c>
      <c r="AH13" s="58">
        <f t="shared" si="9"/>
        <v>1540833.534746412</v>
      </c>
      <c r="AI13" s="58">
        <f t="shared" ref="AI13:AQ13" si="10">SUM(AI7,AI12)*AI8</f>
        <v>1485458.5720986689</v>
      </c>
      <c r="AJ13" s="58">
        <f t="shared" si="10"/>
        <v>1366726.1558358406</v>
      </c>
      <c r="AK13" s="58">
        <f t="shared" si="10"/>
        <v>1629332.7952574287</v>
      </c>
      <c r="AL13" s="58">
        <f t="shared" si="10"/>
        <v>1152701.6987029572</v>
      </c>
      <c r="AM13" s="58">
        <f t="shared" si="10"/>
        <v>1138726.9656744758</v>
      </c>
      <c r="AN13" s="58">
        <f t="shared" si="10"/>
        <v>1124150.5349560929</v>
      </c>
      <c r="AO13" s="58">
        <f t="shared" si="10"/>
        <v>1416342.8784557616</v>
      </c>
      <c r="AP13" s="58">
        <f t="shared" si="10"/>
        <v>942375.99656141747</v>
      </c>
      <c r="AQ13" s="58">
        <f t="shared" si="10"/>
        <v>862281.25887719367</v>
      </c>
      <c r="AR13" s="280">
        <f t="shared" ref="AR13:AS13" si="11">SUM(AR7,AR12)*AR8</f>
        <v>779839.37904777389</v>
      </c>
      <c r="AS13" s="249">
        <f t="shared" si="11"/>
        <v>969777.04999344039</v>
      </c>
      <c r="AT13" s="242"/>
    </row>
    <row r="14" spans="1:46" ht="52.5" customHeight="1" x14ac:dyDescent="0.3">
      <c r="A14" s="189" t="s">
        <v>257</v>
      </c>
      <c r="B14" s="66">
        <v>6.9569626488586028E-2</v>
      </c>
      <c r="C14" s="66">
        <v>7.2894914687221229E-2</v>
      </c>
      <c r="D14" s="66">
        <v>7.4513287727120875E-2</v>
      </c>
      <c r="E14" s="66">
        <v>8.2009335509753284E-2</v>
      </c>
      <c r="F14" s="66">
        <v>5.7632439891325229E-2</v>
      </c>
      <c r="G14" s="66">
        <v>6.5661111079723014E-2</v>
      </c>
      <c r="H14" s="66">
        <v>6.8722931589231165E-2</v>
      </c>
      <c r="I14" s="66">
        <v>0.10881866349474918</v>
      </c>
      <c r="J14" s="66">
        <v>7.5761225026993492E-2</v>
      </c>
      <c r="K14" s="66">
        <v>0.11018958673800497</v>
      </c>
      <c r="L14" s="66">
        <v>0.11811862954275076</v>
      </c>
      <c r="M14" s="66">
        <v>0.12636060295432253</v>
      </c>
      <c r="N14" s="66">
        <v>9.4456590857396272E-2</v>
      </c>
      <c r="O14" s="66">
        <v>0.11791974619535604</v>
      </c>
      <c r="P14" s="66">
        <v>0.11935332356757525</v>
      </c>
      <c r="Q14" s="66">
        <v>0.12266162684282775</v>
      </c>
      <c r="R14" s="66">
        <v>9.1986307519047031E-2</v>
      </c>
      <c r="S14" s="66">
        <v>0.10795276163135857</v>
      </c>
      <c r="T14" s="66">
        <v>0.12490799605364594</v>
      </c>
      <c r="U14" s="66">
        <v>0.12924490410575373</v>
      </c>
      <c r="V14" s="66">
        <v>9.5637292722542469E-2</v>
      </c>
      <c r="W14" s="66">
        <v>0.10291582324131453</v>
      </c>
      <c r="X14" s="66">
        <v>0.12447403818273901</v>
      </c>
      <c r="Y14" s="66">
        <v>0.13739237732512036</v>
      </c>
      <c r="Z14" s="67">
        <v>0.11659254459527837</v>
      </c>
      <c r="AA14" s="67">
        <v>0.12751291005631418</v>
      </c>
      <c r="AB14" s="67">
        <v>0.13729863292843417</v>
      </c>
      <c r="AC14" s="67">
        <v>0.16476692847697483</v>
      </c>
      <c r="AD14" s="67">
        <v>9.7698413456663594E-2</v>
      </c>
      <c r="AE14" s="67">
        <v>9.9570101110300901E-2</v>
      </c>
      <c r="AF14" s="67">
        <v>0.10820192159286406</v>
      </c>
      <c r="AG14" s="67">
        <v>0.12829661663788827</v>
      </c>
      <c r="AH14" s="67">
        <v>6.131049684347703E-2</v>
      </c>
      <c r="AI14" s="67">
        <v>6.8967631037859051E-2</v>
      </c>
      <c r="AJ14" s="67">
        <v>7.7374452568582094E-2</v>
      </c>
      <c r="AK14" s="67">
        <v>0.10412576565667299</v>
      </c>
      <c r="AL14" s="67">
        <v>4.0785649957725018E-2</v>
      </c>
      <c r="AM14" s="67">
        <v>4.971742905829396E-2</v>
      </c>
      <c r="AN14" s="67">
        <v>6.7015583795591277E-2</v>
      </c>
      <c r="AO14" s="67">
        <v>0.12722482529005538</v>
      </c>
      <c r="AP14" s="191"/>
      <c r="AQ14" s="191"/>
      <c r="AR14" s="246"/>
      <c r="AS14" s="246"/>
      <c r="AT14" s="245"/>
    </row>
    <row r="15" spans="1:46" ht="21.75" customHeight="1" x14ac:dyDescent="0.3">
      <c r="B15" s="42"/>
      <c r="C15" s="42"/>
      <c r="D15" s="42"/>
      <c r="E15" s="42"/>
      <c r="F15" s="42"/>
      <c r="G15" s="42"/>
      <c r="H15" s="42"/>
      <c r="I15" s="42"/>
      <c r="J15" s="42"/>
      <c r="K15" s="42"/>
      <c r="L15" s="42"/>
      <c r="M15" s="42"/>
      <c r="N15" s="42"/>
      <c r="O15" s="42"/>
      <c r="P15" s="42"/>
      <c r="Q15" s="42"/>
      <c r="R15" s="42"/>
      <c r="S15" s="42"/>
      <c r="T15" s="42"/>
      <c r="U15" s="42"/>
      <c r="V15" s="42"/>
      <c r="W15" s="42"/>
      <c r="X15" s="42"/>
      <c r="Y15" s="42"/>
    </row>
    <row r="16" spans="1:46" ht="99" x14ac:dyDescent="0.3">
      <c r="A16" s="43" t="s">
        <v>258</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64"/>
      <c r="AL16" s="139"/>
    </row>
    <row r="17" spans="1:46" x14ac:dyDescent="0.3">
      <c r="A17" s="247" t="s">
        <v>260</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56"/>
      <c r="AP17" s="228"/>
      <c r="AQ17" s="156"/>
      <c r="AR17" s="156"/>
      <c r="AS17" s="156"/>
      <c r="AT17" s="156"/>
    </row>
    <row r="18" spans="1:46" x14ac:dyDescent="0.3">
      <c r="A18" s="247" t="s">
        <v>267</v>
      </c>
      <c r="B18" s="42"/>
      <c r="C18" s="42"/>
      <c r="D18" s="42"/>
      <c r="E18" s="42"/>
      <c r="F18" s="42"/>
      <c r="G18" s="42"/>
      <c r="H18" s="42"/>
      <c r="I18" s="42"/>
      <c r="J18" s="42"/>
      <c r="K18" s="42"/>
      <c r="L18" s="42"/>
      <c r="M18" s="42"/>
      <c r="N18" s="42"/>
      <c r="O18" s="42"/>
      <c r="P18" s="42"/>
      <c r="Q18" s="42"/>
      <c r="R18" s="42"/>
      <c r="S18" s="42"/>
      <c r="T18" s="42"/>
      <c r="U18" s="42"/>
      <c r="V18" s="42"/>
      <c r="W18" s="42"/>
      <c r="X18" s="42"/>
      <c r="Y18" s="42"/>
    </row>
    <row r="19" spans="1:46" x14ac:dyDescent="0.3">
      <c r="A19" s="44"/>
      <c r="B19" s="42"/>
      <c r="C19" s="42"/>
      <c r="D19" s="42"/>
      <c r="E19" s="42"/>
      <c r="F19" s="42"/>
      <c r="G19" s="42"/>
      <c r="H19" s="42"/>
      <c r="I19" s="42"/>
      <c r="J19" s="42"/>
      <c r="K19" s="42"/>
      <c r="L19" s="42"/>
      <c r="M19" s="42"/>
      <c r="N19" s="42"/>
      <c r="O19" s="42"/>
      <c r="P19" s="42"/>
      <c r="Q19" s="42"/>
      <c r="R19" s="42"/>
      <c r="S19" s="42"/>
      <c r="T19" s="42"/>
      <c r="U19" s="42"/>
      <c r="V19" s="42"/>
      <c r="W19" s="42"/>
      <c r="X19" s="42"/>
      <c r="Y19" s="42"/>
    </row>
    <row r="20" spans="1:46" x14ac:dyDescent="0.3">
      <c r="B20" s="42"/>
      <c r="C20" s="42"/>
      <c r="D20" s="42"/>
      <c r="E20" s="42"/>
      <c r="F20" s="42"/>
      <c r="G20" s="42"/>
      <c r="H20" s="42"/>
      <c r="I20" s="42"/>
      <c r="J20" s="42"/>
      <c r="K20" s="42"/>
      <c r="L20" s="42"/>
      <c r="M20" s="42"/>
      <c r="N20" s="42"/>
      <c r="O20" s="42"/>
      <c r="P20" s="42"/>
      <c r="Q20" s="42"/>
      <c r="R20" s="42"/>
      <c r="S20" s="42"/>
      <c r="T20" s="42"/>
      <c r="U20" s="42"/>
      <c r="V20" s="42"/>
      <c r="W20" s="42"/>
      <c r="X20" s="42"/>
      <c r="Y20" s="42"/>
    </row>
    <row r="21" spans="1:46" x14ac:dyDescent="0.3">
      <c r="B21" s="42"/>
      <c r="C21" s="42"/>
      <c r="D21" s="42"/>
      <c r="E21" s="42"/>
      <c r="F21" s="42"/>
      <c r="G21" s="42"/>
      <c r="H21" s="42"/>
      <c r="I21" s="42"/>
      <c r="J21" s="42"/>
      <c r="K21" s="42"/>
      <c r="L21" s="42"/>
      <c r="M21" s="42"/>
      <c r="N21" s="42"/>
      <c r="O21" s="42"/>
      <c r="P21" s="42"/>
      <c r="Q21" s="42"/>
      <c r="R21" s="42"/>
      <c r="S21" s="42"/>
      <c r="T21" s="42"/>
      <c r="U21" s="42"/>
      <c r="V21" s="42"/>
      <c r="W21" s="42"/>
      <c r="X21" s="42"/>
      <c r="Y21" s="42"/>
    </row>
    <row r="22" spans="1:46" x14ac:dyDescent="0.3">
      <c r="B22" s="42"/>
      <c r="C22" s="42"/>
      <c r="D22" s="42"/>
      <c r="E22" s="42"/>
      <c r="F22" s="42"/>
      <c r="G22" s="42"/>
      <c r="H22" s="42"/>
      <c r="I22" s="42"/>
      <c r="J22" s="42"/>
      <c r="K22" s="42"/>
      <c r="L22" s="42"/>
      <c r="M22" s="42"/>
      <c r="N22" s="42"/>
      <c r="O22" s="42"/>
      <c r="P22" s="42"/>
      <c r="Q22" s="42"/>
      <c r="R22" s="42"/>
      <c r="S22" s="42"/>
      <c r="T22" s="42"/>
      <c r="U22" s="42"/>
      <c r="V22" s="42"/>
      <c r="W22" s="42"/>
      <c r="X22" s="42"/>
      <c r="Y22" s="42"/>
    </row>
    <row r="23" spans="1:46" x14ac:dyDescent="0.3">
      <c r="B23" s="42"/>
      <c r="C23" s="42"/>
      <c r="D23" s="42"/>
      <c r="E23" s="42"/>
      <c r="F23" s="42"/>
      <c r="G23" s="42"/>
      <c r="H23" s="42"/>
      <c r="I23" s="42"/>
      <c r="J23" s="42"/>
      <c r="K23" s="42"/>
      <c r="L23" s="42"/>
      <c r="M23" s="42"/>
      <c r="N23" s="42"/>
      <c r="O23" s="42"/>
      <c r="P23" s="42"/>
      <c r="Q23" s="42"/>
      <c r="R23" s="42"/>
      <c r="S23" s="42"/>
      <c r="T23" s="42"/>
      <c r="U23" s="42"/>
      <c r="V23" s="42"/>
      <c r="W23" s="42"/>
      <c r="X23" s="42"/>
      <c r="Y23" s="42"/>
    </row>
    <row r="24" spans="1:46" x14ac:dyDescent="0.3">
      <c r="B24" s="42"/>
      <c r="C24" s="42"/>
      <c r="D24" s="42"/>
      <c r="E24" s="42"/>
      <c r="F24" s="42"/>
      <c r="G24" s="42"/>
      <c r="H24" s="42"/>
      <c r="I24" s="42"/>
      <c r="J24" s="42"/>
      <c r="K24" s="42"/>
      <c r="L24" s="42"/>
      <c r="M24" s="42"/>
      <c r="N24" s="42"/>
      <c r="O24" s="42"/>
      <c r="P24" s="42"/>
      <c r="Q24" s="42"/>
      <c r="R24" s="42"/>
      <c r="S24" s="42"/>
      <c r="T24" s="42"/>
      <c r="U24" s="42"/>
      <c r="V24" s="42"/>
      <c r="W24" s="42"/>
      <c r="X24" s="42"/>
      <c r="Y24" s="42"/>
    </row>
    <row r="37" spans="2:34" x14ac:dyDescent="0.3">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row>
    <row r="38" spans="2:34" x14ac:dyDescent="0.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row>
    <row r="39" spans="2:34" x14ac:dyDescent="0.3">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row>
    <row r="40" spans="2:34" x14ac:dyDescent="0.3">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row>
    <row r="42" spans="2:34" x14ac:dyDescent="0.3">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row>
    <row r="43" spans="2:34" x14ac:dyDescent="0.3">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row>
  </sheetData>
  <mergeCells count="1">
    <mergeCell ref="A1:H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Servicios Deuda Anual</vt:lpstr>
      <vt:lpstr>Gráficos_2</vt:lpstr>
      <vt:lpstr>Perfil Int Mensual</vt:lpstr>
      <vt:lpstr>Perfil Amort Mensual</vt:lpstr>
      <vt:lpstr>Gráficos</vt:lpstr>
      <vt:lpstr>Base Graf</vt:lpstr>
      <vt:lpstr>Ratios 2024</vt:lpstr>
      <vt:lpstr>Avales</vt:lpstr>
      <vt:lpstr>Evolución Deuda Total</vt:lpstr>
      <vt:lpstr>IPC</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2025-03-10T14:10:49Z</dcterms:modified>
</cp:coreProperties>
</file>