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 firstSheet="1" activeTab="1"/>
  </bookViews>
  <sheets>
    <sheet name="PRECIOS COMPR.AR MARZO" sheetId="5" state="hidden" r:id="rId1"/>
    <sheet name="PRECIO REFERENCIA JULIO 2022" sheetId="8" r:id="rId2"/>
    <sheet name="Variacion Mayo-Julio" sheetId="9" r:id="rId3"/>
    <sheet name="PRECIOS COMPR.AR MAYO" sheetId="7" state="hidden" r:id="rId4"/>
  </sheets>
  <calcPr calcId="152511"/>
</workbook>
</file>

<file path=xl/calcChain.xml><?xml version="1.0" encoding="utf-8"?>
<calcChain xmlns="http://schemas.openxmlformats.org/spreadsheetml/2006/main">
  <c r="F33" i="8" l="1"/>
  <c r="E41" i="8"/>
  <c r="F41" i="8"/>
  <c r="F118" i="8"/>
  <c r="F119" i="8"/>
  <c r="E8" i="8"/>
  <c r="E144" i="8"/>
  <c r="F144" i="8"/>
  <c r="E139" i="8"/>
  <c r="F139" i="8"/>
  <c r="E162" i="8"/>
  <c r="E33" i="8" l="1"/>
  <c r="F42" i="9" l="1"/>
  <c r="F43" i="9"/>
  <c r="F44" i="9"/>
  <c r="F45" i="9"/>
  <c r="F46" i="9"/>
  <c r="E96" i="8" l="1"/>
  <c r="I34" i="8" l="1"/>
  <c r="I30" i="8"/>
  <c r="F20" i="8"/>
  <c r="G149" i="9" l="1"/>
  <c r="G150" i="9"/>
  <c r="F151" i="9"/>
  <c r="G151" i="9" s="1"/>
  <c r="F156" i="8"/>
  <c r="F153" i="8"/>
  <c r="E153" i="8" s="1"/>
  <c r="F148" i="9" s="1"/>
  <c r="G148" i="9" s="1"/>
  <c r="E157" i="8"/>
  <c r="F152" i="9" s="1"/>
  <c r="G152" i="9" s="1"/>
  <c r="F157" i="8"/>
  <c r="F92" i="8" l="1"/>
  <c r="F86" i="8" l="1"/>
  <c r="I38" i="8" l="1"/>
  <c r="F147" i="9" l="1"/>
  <c r="F67" i="9"/>
  <c r="F78" i="9"/>
  <c r="F94" i="9"/>
  <c r="F100" i="9"/>
  <c r="F120" i="9"/>
  <c r="F125" i="9"/>
  <c r="F136" i="9"/>
  <c r="F143" i="9"/>
  <c r="F144" i="9"/>
  <c r="F155" i="9"/>
  <c r="F157" i="9"/>
  <c r="F161" i="9"/>
  <c r="F162" i="9"/>
  <c r="E66" i="8" l="1"/>
  <c r="F61" i="9" s="1"/>
  <c r="E67" i="8"/>
  <c r="F62" i="9" s="1"/>
  <c r="I50" i="8" l="1"/>
  <c r="E50" i="8" s="1"/>
  <c r="I49" i="8"/>
  <c r="E49" i="8" s="1"/>
  <c r="I48" i="8"/>
  <c r="E48" i="8" s="1"/>
  <c r="I47" i="8"/>
  <c r="E47" i="8" s="1"/>
  <c r="I51" i="8"/>
  <c r="E51" i="8" s="1"/>
  <c r="F12" i="8"/>
  <c r="E12" i="8" s="1"/>
  <c r="F7" i="9" s="1"/>
  <c r="E173" i="8" l="1"/>
  <c r="F168" i="9" s="1"/>
  <c r="E172" i="8"/>
  <c r="F167" i="9" s="1"/>
  <c r="E171" i="8"/>
  <c r="F166" i="9" s="1"/>
  <c r="E170" i="8"/>
  <c r="F165" i="9" s="1"/>
  <c r="E169" i="8"/>
  <c r="F164" i="9" s="1"/>
  <c r="E164" i="8"/>
  <c r="F159" i="9" s="1"/>
  <c r="E161" i="8"/>
  <c r="F156" i="9" s="1"/>
  <c r="F158" i="8"/>
  <c r="E158" i="8"/>
  <c r="F153" i="9" s="1"/>
  <c r="E151" i="8"/>
  <c r="F146" i="9" s="1"/>
  <c r="E146" i="8"/>
  <c r="F141" i="9" s="1"/>
  <c r="F139" i="9"/>
  <c r="L143" i="8"/>
  <c r="F143" i="8"/>
  <c r="E143" i="8" s="1"/>
  <c r="F138" i="9" s="1"/>
  <c r="E140" i="8"/>
  <c r="F135" i="9" s="1"/>
  <c r="E137" i="8"/>
  <c r="F132" i="9" s="1"/>
  <c r="G132" i="9" s="1"/>
  <c r="F135" i="8"/>
  <c r="E135" i="8" s="1"/>
  <c r="F130" i="9" s="1"/>
  <c r="F134" i="8"/>
  <c r="E134" i="8" s="1"/>
  <c r="F129" i="9" s="1"/>
  <c r="E132" i="8"/>
  <c r="F127" i="9" s="1"/>
  <c r="E129" i="8"/>
  <c r="F124" i="9" s="1"/>
  <c r="E128" i="8"/>
  <c r="F123" i="9" s="1"/>
  <c r="E127" i="8"/>
  <c r="F122" i="9" s="1"/>
  <c r="E123" i="8"/>
  <c r="F118" i="9" s="1"/>
  <c r="G118" i="9" s="1"/>
  <c r="E122" i="8"/>
  <c r="F117" i="9" s="1"/>
  <c r="E121" i="8"/>
  <c r="F116" i="9" s="1"/>
  <c r="E120" i="8"/>
  <c r="F115" i="9" s="1"/>
  <c r="G115" i="9" s="1"/>
  <c r="E119" i="8"/>
  <c r="F114" i="9" s="1"/>
  <c r="E118" i="8"/>
  <c r="F113" i="9" s="1"/>
  <c r="E117" i="8"/>
  <c r="F112" i="9" s="1"/>
  <c r="E116" i="8"/>
  <c r="F111" i="9" s="1"/>
  <c r="E115" i="8"/>
  <c r="F110" i="9" s="1"/>
  <c r="I113" i="8"/>
  <c r="E113" i="8" s="1"/>
  <c r="F108" i="9" s="1"/>
  <c r="F111" i="8"/>
  <c r="E111" i="8" s="1"/>
  <c r="F106" i="9" s="1"/>
  <c r="I110" i="8"/>
  <c r="F110" i="8"/>
  <c r="I109" i="8"/>
  <c r="F109" i="8"/>
  <c r="F108" i="8"/>
  <c r="E108" i="8" s="1"/>
  <c r="F103" i="9" s="1"/>
  <c r="L107" i="8"/>
  <c r="I107" i="8"/>
  <c r="F107" i="8"/>
  <c r="I103" i="8"/>
  <c r="F103" i="8"/>
  <c r="E101" i="8"/>
  <c r="F96" i="9" s="1"/>
  <c r="E98" i="8"/>
  <c r="F93" i="9" s="1"/>
  <c r="F97" i="8"/>
  <c r="E97" i="8" s="1"/>
  <c r="F92" i="9" s="1"/>
  <c r="G92" i="9" s="1"/>
  <c r="I96" i="8"/>
  <c r="F91" i="9" s="1"/>
  <c r="E95" i="8"/>
  <c r="F90" i="9" s="1"/>
  <c r="G90" i="9" s="1"/>
  <c r="E93" i="8"/>
  <c r="F88" i="9" s="1"/>
  <c r="I92" i="8"/>
  <c r="E91" i="8"/>
  <c r="F86" i="9" s="1"/>
  <c r="L89" i="8"/>
  <c r="I89" i="8"/>
  <c r="E86" i="8"/>
  <c r="F81" i="9" s="1"/>
  <c r="E85" i="8"/>
  <c r="F80" i="9" s="1"/>
  <c r="I78" i="8"/>
  <c r="F78" i="8"/>
  <c r="L77" i="8"/>
  <c r="I77" i="8"/>
  <c r="F77" i="8"/>
  <c r="L76" i="8"/>
  <c r="I76" i="8"/>
  <c r="F76" i="8"/>
  <c r="F72" i="8"/>
  <c r="E70" i="8"/>
  <c r="F65" i="9" s="1"/>
  <c r="E68" i="8"/>
  <c r="F63" i="9" s="1"/>
  <c r="F64" i="8"/>
  <c r="E64" i="8" s="1"/>
  <c r="F59" i="9" s="1"/>
  <c r="E62" i="8"/>
  <c r="F57" i="9" s="1"/>
  <c r="E60" i="8"/>
  <c r="F55" i="9" s="1"/>
  <c r="E58" i="8"/>
  <c r="F53" i="9" s="1"/>
  <c r="E57" i="8"/>
  <c r="F52" i="9" s="1"/>
  <c r="E55" i="8"/>
  <c r="F50" i="9" s="1"/>
  <c r="I53" i="8"/>
  <c r="F53" i="8"/>
  <c r="E45" i="8"/>
  <c r="F40" i="9" s="1"/>
  <c r="E43" i="8"/>
  <c r="F38" i="9" s="1"/>
  <c r="F38" i="8"/>
  <c r="F32" i="9"/>
  <c r="L36" i="8"/>
  <c r="F36" i="8"/>
  <c r="L34" i="8"/>
  <c r="F34" i="8"/>
  <c r="F28" i="9"/>
  <c r="F32" i="8"/>
  <c r="E32" i="8" s="1"/>
  <c r="F27" i="9" s="1"/>
  <c r="F30" i="8"/>
  <c r="E28" i="8"/>
  <c r="F23" i="9" s="1"/>
  <c r="E27" i="8"/>
  <c r="F22" i="9" s="1"/>
  <c r="F25" i="8"/>
  <c r="E25" i="8" s="1"/>
  <c r="F20" i="9" s="1"/>
  <c r="L24" i="8"/>
  <c r="I24" i="8"/>
  <c r="F24" i="8"/>
  <c r="L23" i="8"/>
  <c r="I23" i="8"/>
  <c r="I22" i="8"/>
  <c r="E22" i="8" s="1"/>
  <c r="F17" i="9" s="1"/>
  <c r="E20" i="8"/>
  <c r="F15" i="9" s="1"/>
  <c r="I19" i="8"/>
  <c r="F19" i="8"/>
  <c r="I17" i="8"/>
  <c r="E17" i="8" s="1"/>
  <c r="F12" i="9" s="1"/>
  <c r="L16" i="8"/>
  <c r="I16" i="8"/>
  <c r="F16" i="8"/>
  <c r="E78" i="8" l="1"/>
  <c r="F73" i="9" s="1"/>
  <c r="E89" i="8"/>
  <c r="F84" i="9" s="1"/>
  <c r="F134" i="9"/>
  <c r="E77" i="8"/>
  <c r="F72" i="9" s="1"/>
  <c r="E36" i="8"/>
  <c r="F31" i="9" s="1"/>
  <c r="E53" i="8"/>
  <c r="F48" i="9" s="1"/>
  <c r="E24" i="8"/>
  <c r="F19" i="9" s="1"/>
  <c r="E16" i="8"/>
  <c r="F11" i="9" s="1"/>
  <c r="E23" i="8"/>
  <c r="F18" i="9" s="1"/>
  <c r="E38" i="8"/>
  <c r="F33" i="9" s="1"/>
  <c r="E30" i="8"/>
  <c r="F25" i="9" s="1"/>
  <c r="F36" i="9"/>
  <c r="E76" i="8"/>
  <c r="F71" i="9" s="1"/>
  <c r="E103" i="8"/>
  <c r="F98" i="9" s="1"/>
  <c r="E110" i="8"/>
  <c r="F105" i="9" s="1"/>
  <c r="E19" i="8"/>
  <c r="F14" i="9" s="1"/>
  <c r="E34" i="8"/>
  <c r="F29" i="9" s="1"/>
  <c r="E92" i="8"/>
  <c r="F87" i="9" s="1"/>
  <c r="E107" i="8"/>
  <c r="F102" i="9" s="1"/>
  <c r="E109" i="8"/>
  <c r="F104" i="9" s="1"/>
  <c r="F13" i="8"/>
  <c r="E13" i="8" s="1"/>
  <c r="F8" i="9" s="1"/>
  <c r="F11" i="8"/>
  <c r="I11" i="8"/>
  <c r="F14" i="8"/>
  <c r="E14" i="8" s="1"/>
  <c r="F9" i="9" s="1"/>
  <c r="F10" i="8"/>
  <c r="E10" i="8" s="1"/>
  <c r="E11" i="8" l="1"/>
  <c r="F6" i="9" s="1"/>
  <c r="F5" i="9"/>
  <c r="G5" i="9" s="1"/>
  <c r="G155" i="9"/>
  <c r="G117" i="9" l="1"/>
  <c r="G116" i="9"/>
  <c r="G105" i="9"/>
  <c r="G93" i="9"/>
  <c r="G11" i="9" l="1"/>
  <c r="G12" i="9"/>
  <c r="G14" i="9"/>
  <c r="G15" i="9"/>
  <c r="G18" i="9"/>
  <c r="G19" i="9"/>
  <c r="G20" i="9"/>
  <c r="G22" i="9"/>
  <c r="G23" i="9"/>
  <c r="G27" i="9"/>
  <c r="G28" i="9"/>
  <c r="G29" i="9"/>
  <c r="G33" i="9"/>
  <c r="G36" i="9"/>
  <c r="G38" i="9"/>
  <c r="G40" i="9"/>
  <c r="G48" i="9"/>
  <c r="G50" i="9"/>
  <c r="G52" i="9"/>
  <c r="G53" i="9"/>
  <c r="G55" i="9"/>
  <c r="G57" i="9"/>
  <c r="G59" i="9"/>
  <c r="G63" i="9"/>
  <c r="G65" i="9"/>
  <c r="G67" i="9"/>
  <c r="G71" i="9"/>
  <c r="G72" i="9"/>
  <c r="G73" i="9"/>
  <c r="G78" i="9"/>
  <c r="G80" i="9"/>
  <c r="G81" i="9"/>
  <c r="G84" i="9"/>
  <c r="G86" i="9"/>
  <c r="G87" i="9"/>
  <c r="G88" i="9"/>
  <c r="G91" i="9"/>
  <c r="G96" i="9"/>
  <c r="G98" i="9"/>
  <c r="G102" i="9"/>
  <c r="G103" i="9"/>
  <c r="G104" i="9"/>
  <c r="G106" i="9"/>
  <c r="G108" i="9"/>
  <c r="G110" i="9"/>
  <c r="G111" i="9"/>
  <c r="G112" i="9"/>
  <c r="G113" i="9"/>
  <c r="G114" i="9"/>
  <c r="G122" i="9"/>
  <c r="G123" i="9"/>
  <c r="G124" i="9"/>
  <c r="G125" i="9"/>
  <c r="G127" i="9"/>
  <c r="G129" i="9"/>
  <c r="G130" i="9"/>
  <c r="G134" i="9"/>
  <c r="G135" i="9"/>
  <c r="G136" i="9"/>
  <c r="G138" i="9"/>
  <c r="G139" i="9"/>
  <c r="G141" i="9"/>
  <c r="G146" i="9"/>
  <c r="G156" i="9"/>
  <c r="G157" i="9"/>
  <c r="G159" i="9"/>
  <c r="G161" i="9"/>
  <c r="G164" i="9"/>
  <c r="G165" i="9"/>
  <c r="G166" i="9"/>
  <c r="G167" i="9"/>
  <c r="G168" i="9"/>
  <c r="G25" i="9" l="1"/>
  <c r="G9" i="9"/>
  <c r="G8" i="9"/>
  <c r="G32" i="9"/>
  <c r="G31" i="9"/>
  <c r="G6" i="9"/>
  <c r="F9" i="8"/>
  <c r="E9" i="8" s="1"/>
  <c r="F4" i="9" l="1"/>
  <c r="G4" i="9" s="1"/>
  <c r="F3" i="9"/>
  <c r="G3" i="9" s="1"/>
  <c r="H154" i="7"/>
  <c r="H146" i="7"/>
  <c r="H143" i="7"/>
  <c r="H119" i="7"/>
  <c r="H91" i="7"/>
  <c r="H85" i="7"/>
  <c r="H74" i="7"/>
  <c r="H68" i="7"/>
  <c r="H61" i="7"/>
  <c r="H60" i="7"/>
  <c r="H45" i="7"/>
  <c r="H36" i="7"/>
  <c r="H43" i="7"/>
  <c r="H37" i="7"/>
  <c r="H28" i="7"/>
  <c r="H23" i="7"/>
  <c r="H12" i="7"/>
  <c r="H11" i="7"/>
  <c r="H10" i="7"/>
  <c r="H9" i="7"/>
  <c r="H8" i="7"/>
  <c r="H131" i="7"/>
  <c r="H124" i="7"/>
  <c r="H104" i="7"/>
  <c r="H92" i="7"/>
  <c r="H15" i="7"/>
  <c r="F25" i="7"/>
  <c r="H25" i="7" s="1"/>
  <c r="F26" i="7"/>
  <c r="H26" i="7" s="1"/>
  <c r="F28" i="7"/>
  <c r="F30" i="7"/>
  <c r="H30" i="7" s="1"/>
  <c r="F31" i="7"/>
  <c r="H31" i="7" s="1"/>
  <c r="F32" i="7"/>
  <c r="H32" i="7" s="1"/>
  <c r="F34" i="7"/>
  <c r="H34" i="7" s="1"/>
  <c r="F35" i="7"/>
  <c r="H35" i="7" s="1"/>
  <c r="F36" i="7"/>
  <c r="F37" i="7"/>
  <c r="F39" i="7"/>
  <c r="H39" i="7" s="1"/>
  <c r="F41" i="7"/>
  <c r="H41" i="7" s="1"/>
  <c r="F43" i="7"/>
  <c r="F45" i="7"/>
  <c r="F47" i="7"/>
  <c r="H47" i="7" s="1"/>
  <c r="F49" i="7"/>
  <c r="H49" i="7" s="1"/>
  <c r="F51" i="7"/>
  <c r="H51" i="7" s="1"/>
  <c r="F52" i="7"/>
  <c r="H52" i="7" s="1"/>
  <c r="F54" i="7"/>
  <c r="H54" i="7" s="1"/>
  <c r="F56" i="7"/>
  <c r="H56" i="7" s="1"/>
  <c r="F58" i="7"/>
  <c r="H58" i="7" s="1"/>
  <c r="F60" i="7"/>
  <c r="F61" i="7"/>
  <c r="F62" i="7"/>
  <c r="H62" i="7" s="1"/>
  <c r="F64" i="7"/>
  <c r="H64" i="7" s="1"/>
  <c r="F66" i="7"/>
  <c r="H66" i="7" s="1"/>
  <c r="F68" i="7"/>
  <c r="F70" i="7"/>
  <c r="H70" i="7" s="1"/>
  <c r="F71" i="7"/>
  <c r="H71" i="7" s="1"/>
  <c r="F72" i="7"/>
  <c r="H72" i="7" s="1"/>
  <c r="F74" i="7"/>
  <c r="F75" i="7"/>
  <c r="F77" i="7"/>
  <c r="H77" i="7" s="1"/>
  <c r="F79" i="7"/>
  <c r="H79" i="7" s="1"/>
  <c r="F80" i="7"/>
  <c r="H80" i="7" s="1"/>
  <c r="F81" i="7"/>
  <c r="F83" i="7"/>
  <c r="H83" i="7" s="1"/>
  <c r="F85" i="7"/>
  <c r="F86" i="7"/>
  <c r="H86" i="7" s="1"/>
  <c r="F87" i="7"/>
  <c r="H87" i="7" s="1"/>
  <c r="F89" i="7"/>
  <c r="H89" i="7" s="1"/>
  <c r="F90" i="7"/>
  <c r="H90" i="7" s="1"/>
  <c r="F91" i="7"/>
  <c r="F92" i="7"/>
  <c r="F95" i="7"/>
  <c r="H95" i="7" s="1"/>
  <c r="F97" i="7"/>
  <c r="H97" i="7" s="1"/>
  <c r="F99" i="7"/>
  <c r="F101" i="7"/>
  <c r="H101" i="7" s="1"/>
  <c r="F102" i="7"/>
  <c r="H102" i="7" s="1"/>
  <c r="F103" i="7"/>
  <c r="H103" i="7" s="1"/>
  <c r="F104" i="7"/>
  <c r="F105" i="7"/>
  <c r="H105" i="7" s="1"/>
  <c r="F107" i="7"/>
  <c r="H107" i="7" s="1"/>
  <c r="F109" i="7"/>
  <c r="H109" i="7" s="1"/>
  <c r="F110" i="7"/>
  <c r="H110" i="7" s="1"/>
  <c r="F111" i="7"/>
  <c r="H111" i="7" s="1"/>
  <c r="F112" i="7"/>
  <c r="H112" i="7" s="1"/>
  <c r="F113" i="7"/>
  <c r="H113" i="7" s="1"/>
  <c r="F114" i="7"/>
  <c r="H114" i="7" s="1"/>
  <c r="F115" i="7"/>
  <c r="H115" i="7" s="1"/>
  <c r="F116" i="7"/>
  <c r="H116" i="7" s="1"/>
  <c r="F117" i="7"/>
  <c r="H117" i="7" s="1"/>
  <c r="F119" i="7"/>
  <c r="F121" i="7"/>
  <c r="H121" i="7" s="1"/>
  <c r="F122" i="7"/>
  <c r="H122" i="7" s="1"/>
  <c r="F123" i="7"/>
  <c r="H123" i="7" s="1"/>
  <c r="F124" i="7"/>
  <c r="F126" i="7"/>
  <c r="H126" i="7" s="1"/>
  <c r="F128" i="7"/>
  <c r="H128" i="7" s="1"/>
  <c r="F129" i="7"/>
  <c r="H129" i="7" s="1"/>
  <c r="F131" i="7"/>
  <c r="F133" i="7"/>
  <c r="H133" i="7" s="1"/>
  <c r="F134" i="7"/>
  <c r="H134" i="7" s="1"/>
  <c r="F135" i="7"/>
  <c r="H135" i="7" s="1"/>
  <c r="F137" i="7"/>
  <c r="H137" i="7" s="1"/>
  <c r="F138" i="7"/>
  <c r="H138" i="7" s="1"/>
  <c r="F140" i="7"/>
  <c r="H140" i="7" s="1"/>
  <c r="F142" i="7"/>
  <c r="F143" i="7"/>
  <c r="F145" i="7"/>
  <c r="H145" i="7" s="1"/>
  <c r="F147" i="7"/>
  <c r="H147" i="7" s="1"/>
  <c r="F148" i="7"/>
  <c r="H148" i="7" s="1"/>
  <c r="F150" i="7"/>
  <c r="H150" i="7" s="1"/>
  <c r="F151" i="7"/>
  <c r="H151" i="7" s="1"/>
  <c r="F152" i="7"/>
  <c r="H152" i="7" s="1"/>
  <c r="F156" i="7"/>
  <c r="H156" i="7" s="1"/>
  <c r="F159" i="7"/>
  <c r="H159" i="7" s="1"/>
  <c r="F160" i="7"/>
  <c r="H160" i="7" s="1"/>
  <c r="F161" i="7"/>
  <c r="H161" i="7" s="1"/>
  <c r="F162" i="7"/>
  <c r="H162" i="7" s="1"/>
  <c r="F163" i="7"/>
  <c r="H163" i="7" s="1"/>
  <c r="F7" i="7"/>
  <c r="H7" i="7" s="1"/>
  <c r="F8" i="7"/>
  <c r="F9" i="7"/>
  <c r="F11" i="7"/>
  <c r="F12" i="7"/>
  <c r="F14" i="7"/>
  <c r="H14" i="7" s="1"/>
  <c r="F15" i="7"/>
  <c r="F17" i="7"/>
  <c r="H17" i="7" s="1"/>
  <c r="F18" i="7"/>
  <c r="H18" i="7" s="1"/>
  <c r="F20" i="7"/>
  <c r="H20" i="7" s="1"/>
  <c r="F21" i="7"/>
  <c r="H21" i="7" s="1"/>
  <c r="F22" i="7"/>
  <c r="H22" i="7" s="1"/>
  <c r="F23" i="7"/>
  <c r="F5" i="7"/>
  <c r="H5" i="7" s="1"/>
  <c r="F154" i="7"/>
  <c r="G17" i="9" l="1"/>
  <c r="G153" i="9"/>
</calcChain>
</file>

<file path=xl/comments1.xml><?xml version="1.0" encoding="utf-8"?>
<comments xmlns="http://schemas.openxmlformats.org/spreadsheetml/2006/main">
  <authors>
    <author>Usuario de Windows</author>
  </authors>
  <commentList>
    <comment ref="E42" authorId="0" shapeId="0">
      <text>
        <r>
          <rPr>
            <b/>
            <sz val="9"/>
            <color indexed="81"/>
            <rFont val="Tahoma"/>
            <charset val="1"/>
          </rPr>
          <t>Usuario de Windows:</t>
        </r>
        <r>
          <rPr>
            <sz val="9"/>
            <color indexed="81"/>
            <rFont val="Tahoma"/>
            <charset val="1"/>
          </rPr>
          <t xml:space="preserve">
PRECIO COMPR.AR</t>
        </r>
      </text>
    </comment>
  </commentList>
</comments>
</file>

<file path=xl/sharedStrings.xml><?xml version="1.0" encoding="utf-8"?>
<sst xmlns="http://schemas.openxmlformats.org/spreadsheetml/2006/main" count="1406" uniqueCount="458">
  <si>
    <t>DONCELLA</t>
  </si>
  <si>
    <t>NONISEC</t>
  </si>
  <si>
    <t>TELA ADHESIVA X 5 CM MICROPOROSA HIPOALERGENICA 9 M LARGO APROX.</t>
  </si>
  <si>
    <t>3M</t>
  </si>
  <si>
    <t>CITIZEN</t>
  </si>
  <si>
    <t>https://www.tiendasaludonline.com.ar/productos/jeringas-3-elementos-10cc-s-aguja-medeco-caja-x-100u/</t>
  </si>
  <si>
    <t>https://cirugiarex.com.ar/producto/macrogotero-venosil-s-aguja-tipo-v14/</t>
  </si>
  <si>
    <t>https://cirugiarex.com.ar/producto/barbijo-quirurgico-3-capas-con-tiras-3m-x50-unidades/</t>
  </si>
  <si>
    <t>NYLON Nº3/0 C/AGUJA 3/8 CIRC.25 MM APROX.PTA.REV.CORTANTE</t>
  </si>
  <si>
    <t>GASA TUBULAR 7 X 7 CM.ESTERIL DOBLADILLADA APROX.</t>
  </si>
  <si>
    <t>HOJA DE BISTURI Nº 24 ESTERIL</t>
  </si>
  <si>
    <t>https://www.tiendasaludonline.com.ar/productos/bajalengua-de-madera-adulto-novamed/</t>
  </si>
  <si>
    <t>BAJALENGUA DE MADERA ADULTO</t>
  </si>
  <si>
    <t>https://www.tiendasaludonline.com.ar/productos/especulo-vaginal-descartable-mediano-medisul/</t>
  </si>
  <si>
    <t>ESPECULO MEDIANO DESC.EST.</t>
  </si>
  <si>
    <t>https://www.tiendasaludonline.com.ar/productos/camisolin-descartabe-azul-hemorrepelente-puno-elastico-sms-30-gr-x-10unidades/</t>
  </si>
  <si>
    <t>BLUSON DE CIRUGIA DESC.C/PUÑO TEJIDO/ELASTIZADO, HEMORREPELENTE 40GR. MINIMO,  1.30 MTS DE LARGO, 1.50 MTS DE ANCHO APROX Y 60 CM MINIMO DE BRAZO.</t>
  </si>
  <si>
    <t>GORRO CIRUJANO TIPO COFIA HEMOREPELENTE NO PLASTICO PERMEABLE AL VAPOR DESC.</t>
  </si>
  <si>
    <t>https://www.tiendasaludonline.com.ar/productos/cofias-plizadas-hemoreplente-sms-pack-x-1000unidades/</t>
  </si>
  <si>
    <t>GEL PARA ECOGRAFIA CON DOSIFICADOR</t>
  </si>
  <si>
    <t>https://www.lilis.com.ar/gel-neutro-1-2-kg-con-dispenser</t>
  </si>
  <si>
    <t>PAPEL P/ECG TERMOSENSIBLE 50 MM X 30 MT</t>
  </si>
  <si>
    <t>https://www.lilis.com.ar/venda-yeso-rapida-15-4-gypsofix-25</t>
  </si>
  <si>
    <t>VENDA ENYESADA-FRAGUADO RAPIDO 15 CM ANCHO X 5 M DE LARGO APROX.</t>
  </si>
  <si>
    <t xml:space="preserve">PAÑOS BAÑO FACIL CON CLORHEXIDINA JABONOSA </t>
  </si>
  <si>
    <t>LLAVE 3 VIAS</t>
  </si>
  <si>
    <t>MASCARA PARA OXIGENOTERAPIA  CON RESERVORIO ADULTO</t>
  </si>
  <si>
    <t>https://cirugiarex.com.ar/producto/mascara-oxigeno-con-reservorio-adulto-y-pediatrico/</t>
  </si>
  <si>
    <t>INHALADOR DE OXIGENO P/CAVIDAD NASAL ADULTO C/2 TUBULADURAS DESC.EST.</t>
  </si>
  <si>
    <t>https://www.tiendasaludonline.com.ar/productos/sonda-nasal-p-oxigeno-adulto-k27-cajon-x-250u-novamed/</t>
  </si>
  <si>
    <t>https://www.tiendasaludonline.com.ar/productos/cepillo-p-citologia-endocervical-cj-x-100-unidades-esteril-c-envase-individual-importado/</t>
  </si>
  <si>
    <t>CEPILLO P/TOMA CITOLOGICA ENDOCERVICAL DESC.EST.</t>
  </si>
  <si>
    <t>https://cirugiarex.com.ar/producto/pinza-maier-un-solo-uso-25-cm-recta/</t>
  </si>
  <si>
    <t>PINZA MAIER RECTA DESC. ESTÉRIL</t>
  </si>
  <si>
    <t>BOLSA PLASTICA C/VALVULA DE DESAGOTE Y ANTIREFLUJO CAP. 2 L P/RECOLEC.ORINA EST. FONDO BLANCO</t>
  </si>
  <si>
    <t>CHATA PLASTICA ADULTO</t>
  </si>
  <si>
    <t>https://cirugiarex.com.ar/producto/chata-plastica-orinal-reforzada-kasse/</t>
  </si>
  <si>
    <t>NOVAMED</t>
  </si>
  <si>
    <t>MEDISUL</t>
  </si>
  <si>
    <t>PORTA</t>
  </si>
  <si>
    <t>ALCOHOL ETILICO PURO 96º</t>
  </si>
  <si>
    <t xml:space="preserve">LT           </t>
  </si>
  <si>
    <t>ALCOHOL ETILICO 70º</t>
  </si>
  <si>
    <t xml:space="preserve">X 1000 ML    </t>
  </si>
  <si>
    <t>BARBIJO DESC TRIPLE CAPA HEMOREP MIN 40 GR CON SUJETADOR DE NARIZ</t>
  </si>
  <si>
    <t xml:space="preserve">UNIDAD       </t>
  </si>
  <si>
    <t xml:space="preserve">BOTAS CAÑA LARGA HEMOREPELENTES NO PLASTICO PERMEABLE AL VAPOR DESC.DE 30 GR. MINIMO </t>
  </si>
  <si>
    <t xml:space="preserve">PAR          </t>
  </si>
  <si>
    <t xml:space="preserve">DESCARTADOR CAP.1 LT. P/PUNZANTES BOCA ANCHA                                                                                                                                                                                                                         </t>
  </si>
  <si>
    <t xml:space="preserve">CAJA X 100   </t>
  </si>
  <si>
    <t xml:space="preserve">X PAR        </t>
  </si>
  <si>
    <t>ALGODON HIDROFILO PLEGADO X 400/500 G</t>
  </si>
  <si>
    <t xml:space="preserve">PAQUETE      </t>
  </si>
  <si>
    <t>GASA SIMPLE-RECTILINEA 36 M LARGO X 1M ANCHO X 18 HILOS</t>
  </si>
  <si>
    <t xml:space="preserve">PIEZA        </t>
  </si>
  <si>
    <t>GASA HIDROFILA DOBLE TUBULAR CON HILADO NO MENOR A 24/1, PIEZA DE80 CM X 22 M Y PESO NO INFERIOR A 1.1OO GR.</t>
  </si>
  <si>
    <t xml:space="preserve">POUCH X 3    </t>
  </si>
  <si>
    <t>VENDA TIPO CAMBRIC  7 CM ANCHO ORILLADA MIN 2,5 MTS DE LARGO</t>
  </si>
  <si>
    <t xml:space="preserve">ROLLO        </t>
  </si>
  <si>
    <t>VENDA TIPO CAMBRIC 10 CM ANCHO ORILLADA MIN 2,5 MTS DE LARGO</t>
  </si>
  <si>
    <t>TELA ADHESIVA X 5 CM TRANSP.HIPOALERGENICA 9 M DE LARGO APROX.</t>
  </si>
  <si>
    <t xml:space="preserve">APOSITO PROTECTOR P/VIA VENOSA CENTRAL TIPO VECA-C </t>
  </si>
  <si>
    <t>UNIDAD</t>
  </si>
  <si>
    <t>APOSITO DE 10X20CM Y 14G APROX.CONFECCIONADO C/ALGODON HIDROFILO Y GASA TUBULAR,ACONDICIONADO ESTERIL</t>
  </si>
  <si>
    <t>CABLE P/ELECTROBISTURI CON MANGO Y PUNTA P/CORTE DESCARTABLE</t>
  </si>
  <si>
    <t xml:space="preserve">X 500 GR     </t>
  </si>
  <si>
    <t>PAPEL P/ECOGRAFIA 110 MM X 20 MT</t>
  </si>
  <si>
    <t>ALGODON LAMINADO X 10 CM ANCHO Y 2.5 MTS LARGO APROX.</t>
  </si>
  <si>
    <t>ROLLO</t>
  </si>
  <si>
    <t>VENDA ENYESADA-FRAGUADO RAPIDO 10 CM ANCHO X 5 M DE LARGO APROX.</t>
  </si>
  <si>
    <t>VENDA ENYESADA-FRAGUADO RAPIDO 20 CM ANCHO X 5 M DE LARGO APROX.</t>
  </si>
  <si>
    <t>GUIA ESTERIL MICROGOTERO C/CAMARA GRAD.100 ML S/A</t>
  </si>
  <si>
    <t xml:space="preserve">GUIA ESTERIL MICROGOTERO S/FILTRO S/AGUJA </t>
  </si>
  <si>
    <t>GUIA ESTERIL MICROGOTERO FOTOSENSIBLE OPACA S/AGUJA</t>
  </si>
  <si>
    <t>GUIA ESTERIL MACROGOTERO S/FILTRO Y S/AGUJA</t>
  </si>
  <si>
    <t xml:space="preserve">GUIA ESTERIL MACROGOTERO C/FILTRO P/INFUSION DE SANGRE-PLASMA </t>
  </si>
  <si>
    <t>JERINGA 2.5 /3 CC.S/AGUJA DESC.EST.</t>
  </si>
  <si>
    <t>JERINGA   5 CC.S/AGUJA DESC.EST.</t>
  </si>
  <si>
    <t>JERINGA  10 CC.S/AGUJA DESC.EST.</t>
  </si>
  <si>
    <t>JERINGA  20 CC.S/AGUJA DESC.EST.</t>
  </si>
  <si>
    <t xml:space="preserve">JERINGA  60 CC.S/AGUJA DESC.EST.                                                                                                                                                                                                                              </t>
  </si>
  <si>
    <t>EQUIPO DE CONTROL DE FLUJO TIPO UNIFLOW</t>
  </si>
  <si>
    <t>NYLON N°4/0 C/AGUJA 1/2 CIRC.15 MM APROX.PTA.REV.CORTANTE</t>
  </si>
  <si>
    <t>NYLON N°5/0 C/AGUJA 1/2 CIRC.15 MM APROX.PTA.REV.CORTANTE</t>
  </si>
  <si>
    <t xml:space="preserve">ENVASE X 100 </t>
  </si>
  <si>
    <t xml:space="preserve">PINZA UMBILICAL DESCARTABLE-ESTERIL </t>
  </si>
  <si>
    <t>TERMOMETRO CLINICO DIGITAL (S/MERCURIO)</t>
  </si>
  <si>
    <t>ORINAL DE PLASTICO P/VARON CAP.800 ML.</t>
  </si>
  <si>
    <t>PAÑAL DESCARTABLE ADULTO GRANDE C/ADHESIVO Y GEL</t>
  </si>
  <si>
    <t>PAÑAL DESCARTABLE ADULTO EXTRAGRANDE CON ADHESIVO Y GEL</t>
  </si>
  <si>
    <t xml:space="preserve">AEROCAMARA INHALATORIA C/VALVULA C/MASCARA NEONATAL </t>
  </si>
  <si>
    <t xml:space="preserve">AEROCAMARA INHALATORIA C/VALVULA C/MASCARA PEDIATRICA </t>
  </si>
  <si>
    <t xml:space="preserve">AEROCAMARA INHALATORIA C/VALVULA C/MASCARA ADULTO </t>
  </si>
  <si>
    <t>APOSITO ADHESIVO 10 X 12 CM (tipo Tegaderm)</t>
  </si>
  <si>
    <t xml:space="preserve">APOSITO HIDROCOLOIDE 10X 10 </t>
  </si>
  <si>
    <t>PROLONGADOR DOBLE VIA PARA VIA CENTRAL 18CM LONG APROX. CON CONECTOR DE BIOSEGURIDAD</t>
  </si>
  <si>
    <t>PROLONGADOR TRIPLE VIA PARA VIA CENTRAL 18CM LONG APROX CON CONECTOR DE BIOSEGURIDAD</t>
  </si>
  <si>
    <t xml:space="preserve">AGUJA DE PUNCION RAQUIDEA Nº25 G PUNTA LAPIZ DESC.EST. </t>
  </si>
  <si>
    <t>INHALADOR DE OXIGENO P/CAVIDAD NASAL PEDIATRICO C/2 TUBULADURAS DESC.EST.</t>
  </si>
  <si>
    <t>MASCARA P/OXIGENOTERAPIA ADULTO C/5 VALVULAS P/ GRADUACION</t>
  </si>
  <si>
    <t xml:space="preserve"> SET         </t>
  </si>
  <si>
    <t>MASCARA P/OXIGENOTERAPIA PEDIATRICA C/5 VALVULAS P/GRADUACION</t>
  </si>
  <si>
    <t>MASCARA P/OXIGENA C/RESERVORIO PEDIATRICA</t>
  </si>
  <si>
    <t>SONDA P/INH O SUCCION MUCUS (TIPO K 29) LONG.45 CM X 4.0 MM DIAM.EXT.DESC.EST.</t>
  </si>
  <si>
    <t>TUBO ENDOTRAQUEAL  8 MM DIAM.INT.(Nº32) CON BALON DESC.EST.</t>
  </si>
  <si>
    <t>FILTRO HUMIDIF P/RESP ANTIBACT/VIRAL ADULTO</t>
  </si>
  <si>
    <t xml:space="preserve">FILTRO P/TUBO ENDOTRAQUEAL ANTIBACTERIANO/VIRAL ESTERIL </t>
  </si>
  <si>
    <t>FRASCO HUMIDIFICADOR DE OXIGENO x 300 ML</t>
  </si>
  <si>
    <t>CIRCUITO CERRADO DE EXTRACCION DE MUCUS 16 F TIPO TRANCHCARE 2.600</t>
  </si>
  <si>
    <t>BOQUILLA DE CARTON P/ESPIROMETRIA</t>
  </si>
  <si>
    <t>BOLSA DE COLOSTOMIA AUTOADHESIVA C/FILTRO Y DIAM.RECORTABLE OPACA</t>
  </si>
  <si>
    <t>BOLSA DE PAPEL QUIRURGICO C/INDIC.QUIMICO P/VAPOR 140 X 330 C/FUELLE 50 MM APROXIMADAMENTE TERMOSELLABLE</t>
  </si>
  <si>
    <t>CINTA AUTOADHESIVA C/INDICADOR QUIMICO P/CALOR SECO 18 MM-50 MT.APROX.</t>
  </si>
  <si>
    <t>CINTA AUTOADHESIVA C/INDICADOR QUIMICO P/VAPOR 18 MM 50 MT.APROX. ROLLO</t>
  </si>
  <si>
    <t>DETERGENTE TRIENZIMATICO (PROTEASA-AMILASA-LIPASA)BAJA ESPUMA</t>
  </si>
  <si>
    <t xml:space="preserve">X LITRO      </t>
  </si>
  <si>
    <t>CONTROL BIOLOGICO P/VAPOR.CALOR SECO Y OXIDO ETILEN.S/MEDIO CULT.INCORPORADO UNIDAD</t>
  </si>
  <si>
    <t xml:space="preserve">X KG         </t>
  </si>
  <si>
    <t>ESPECULO CHICO DESC.EST.</t>
  </si>
  <si>
    <t>ESPECULO GRANDE DESC.EST.</t>
  </si>
  <si>
    <t>HISTEROMETRO DESCARTABLE</t>
  </si>
  <si>
    <t>SONDA URETRAL RECTA N° 12 (TIPO K 93)</t>
  </si>
  <si>
    <t>BROCAL CON TAPA</t>
  </si>
  <si>
    <t>Codigo Item</t>
  </si>
  <si>
    <t>Descripcion</t>
  </si>
  <si>
    <t>Precio promedio</t>
  </si>
  <si>
    <t>Precio ref. 1</t>
  </si>
  <si>
    <t>Marca px 1</t>
  </si>
  <si>
    <t>Link px 1</t>
  </si>
  <si>
    <t xml:space="preserve">Precio ref. 2 </t>
  </si>
  <si>
    <t>Marca px 2</t>
  </si>
  <si>
    <t>Link px 2</t>
  </si>
  <si>
    <t>https://www.tiendasaludonline.com.ar/productos/alcohol-etilico-96-x-1-lt-porta/</t>
  </si>
  <si>
    <t>https://cirugiarex.com.ar/producto/alcohol-etilico-al-96-1000ml-x12u/</t>
  </si>
  <si>
    <t>https://www.tiendasaludonline.com.ar/productos/alcohol-etilico-70-bidon-x-5lts-porta/</t>
  </si>
  <si>
    <t>OBSERVACIONES</t>
  </si>
  <si>
    <t>https://cirugiarex.com.ar/producto/alcohol-etilico-bialcohol-70-5lt/</t>
  </si>
  <si>
    <t>Cantidades</t>
  </si>
  <si>
    <t>https://www.tiendasaludonline.com.ar/productos/barbijo-triple-capa-con-4-tiras-caja-x-100u-hab-anmat-novamed-importado/</t>
  </si>
  <si>
    <t>X 50 UNIDADES, PX 2 X100U</t>
  </si>
  <si>
    <t>https://www.lilis.com.ar/camisolin-esteril</t>
  </si>
  <si>
    <t>SMS</t>
  </si>
  <si>
    <t>NIPRO</t>
  </si>
  <si>
    <t>X 100U</t>
  </si>
  <si>
    <t>PX 1 X 50 pares en la pagina</t>
  </si>
  <si>
    <t>https://www.tiendasaludonline.com.ar/productos/algodon-hidrofilo-x-500grs-doncella-x-10u/</t>
  </si>
  <si>
    <t>https://www.tiendasaludonline.com.ar/productos/algodon-hidrofilo-x-500grs-x-10-paq-insumos-xxi/</t>
  </si>
  <si>
    <t>INSUMOS XXI</t>
  </si>
  <si>
    <t>https://www.tiendasaludonline.com.ar/productos/gasa-hidrof-tubular-doble-hilado-24-1-pieza-x-1-kilo-insumos-xxi/</t>
  </si>
  <si>
    <t>Pieza x 1k</t>
  </si>
  <si>
    <t>https://cirugiarex.com.ar/producto/pieza-de-gasa-1-kg/</t>
  </si>
  <si>
    <t>CAVANNA</t>
  </si>
  <si>
    <t>https://cirugiarex.com.ar/producto/venda-cambric-7-cm-x3mm-antar/</t>
  </si>
  <si>
    <t>ANTAR</t>
  </si>
  <si>
    <t>https://cirugiarex.com.ar/producto/venda-cambric-10-cm-x3mm-antar/</t>
  </si>
  <si>
    <t>https://www.lilis.com.ar/venda-cambric-orillada-7-3-plus</t>
  </si>
  <si>
    <t>https://www.lilis.com.ar/venda-cambric-orillada-10-3-plus</t>
  </si>
  <si>
    <t>Solo x2,5 cm</t>
  </si>
  <si>
    <t>https://www.lilis.com.ar/tela-adhesiva-hipoalergic-pore-5-00-riasa</t>
  </si>
  <si>
    <t>RIASA</t>
  </si>
  <si>
    <t>https://cirugiarex.com.ar/producto/tegaderm-1626-10x12cm-3m/</t>
  </si>
  <si>
    <t>https://www.tiendasaludonline.com.ar/productos/apositos-a-granel-10x20cm-x-200u-insumos-xxi/</t>
  </si>
  <si>
    <t>https://www.lilis.com.ar/aposito-10-20-10-unidades-esteril</t>
  </si>
  <si>
    <t>MEDICA</t>
  </si>
  <si>
    <t xml:space="preserve"> PX 1x 200 u Y px 2 x 10u en la pagina</t>
  </si>
  <si>
    <t>RIBBEL</t>
  </si>
  <si>
    <t>https://www.lilis.com.ar/hojas-de-bisturi-ribbel-todos-los-tama-os</t>
  </si>
  <si>
    <t>X 100 U</t>
  </si>
  <si>
    <t>BACTER ALL</t>
  </si>
  <si>
    <t>https://cirugiarex.com.ar/producto/gel-neutro-1000-ml-delva/</t>
  </si>
  <si>
    <t>DELVA</t>
  </si>
  <si>
    <t>PX 2 X1Lto</t>
  </si>
  <si>
    <t>https://cirugiarex.com.ar/producto/papel-videprinter-ecografico-upp-110s-sony/</t>
  </si>
  <si>
    <t xml:space="preserve">SONY </t>
  </si>
  <si>
    <t>SONY</t>
  </si>
  <si>
    <t>https://www.lilis.com.ar/papel-para-video-printer-sony-negro-hd-ha</t>
  </si>
  <si>
    <t>https://www.lilis.com.ar/venda-yeso-rapida-20-4-fave-gypsofix-25</t>
  </si>
  <si>
    <t>FAVE</t>
  </si>
  <si>
    <t>https://cirugiarex.com.ar/producto/venda-enseyada-fraguada-rapido-20cm-x-4m/</t>
  </si>
  <si>
    <t>https://cirugiarex.com.ar/producto/venda-enseyada-fraguada-rapido-10cm-x-4m/</t>
  </si>
  <si>
    <t>https://www.lilis.com.ar/venda-yeso-rapida-10-4-gypsofix-25</t>
  </si>
  <si>
    <t>https://cirugiarex.com.ar/producto/venda-enseyada-fraguada-rapido-15cm-x-4m/</t>
  </si>
  <si>
    <t>Tamaño 10x4</t>
  </si>
  <si>
    <t>Tamaño 15x4</t>
  </si>
  <si>
    <t>Tamaño 20x4</t>
  </si>
  <si>
    <t>x 10 rollos</t>
  </si>
  <si>
    <t>VENOSIL</t>
  </si>
  <si>
    <t>https://www.tiendasaludonline.com.ar/productos/macrogotero-sin-aguja-v14-caja-x-25ps-a-ruedita-novamed/</t>
  </si>
  <si>
    <t>PX 2. precio por 25ps</t>
  </si>
  <si>
    <t>https://cirugiarex.com.ar/producto/equipo-para-terapia-parental-con-microgotero-sin-aguja-tipo-v17/</t>
  </si>
  <si>
    <t>https://www.tiendasaludonline.com.ar/productos/venoclisis-fotosensible-macro-sin-aguja-c-filtro-caja-x-100u-rymco/</t>
  </si>
  <si>
    <t>RYMCO</t>
  </si>
  <si>
    <t>MEDECO</t>
  </si>
  <si>
    <t>X100U</t>
  </si>
  <si>
    <t>https://www.tiendasaludonline.com.ar/productos/jeringas-3cc-sin-aguja-novamed-caja-x-100u/</t>
  </si>
  <si>
    <t>https://www.tiendasaludonline.com.ar/productos/jeringas-5cc-sin-aguja-caja-x-100-novamed/</t>
  </si>
  <si>
    <t>https://www.tiendasaludonline.com.ar/productos/jeringas-3-elementos-sin-aguja-20cc-medeco-caja-x-50u/</t>
  </si>
  <si>
    <t>X50U</t>
  </si>
  <si>
    <t>https://www.lilis.com.ar/sutura-de-nylon-supralon-todos-los-tama-os</t>
  </si>
  <si>
    <t>https://www.tiendasaludonline.com.ar/productos/bajalengua-de-madera-pediatrico-gw-novamed/</t>
  </si>
  <si>
    <t>https://www.lilis.com.ar/bajalenguas-adulto-100</t>
  </si>
  <si>
    <t>CLERICOT</t>
  </si>
  <si>
    <t>BAJALENGUA DE MADERA NIÑO</t>
  </si>
  <si>
    <t>PLASTIMED</t>
  </si>
  <si>
    <t>https://www.lilis.com.ar/termometro-digital-citizen</t>
  </si>
  <si>
    <t>https://www.tiendasaludonline.com.ar/productos/termometro-digital-exatherm-dt-k11b/</t>
  </si>
  <si>
    <t>EXATHERM</t>
  </si>
  <si>
    <t>KASSE</t>
  </si>
  <si>
    <t>https://www.lilis.com.ar/chata-plastica</t>
  </si>
  <si>
    <t>https://www.lilis.com.ar/papagayo-plastico-masculino</t>
  </si>
  <si>
    <t>https://www.tiendasaludonline.com.ar/productos/nonisec-panales-adultos-recto-con-gel-extragrande-x-10pads-x-8-paq/</t>
  </si>
  <si>
    <t>https://www.tiendasaludonline.com.ar/productos/panales-adultos-recto-con-gel-grande-x-50-pads-x-2-paq/</t>
  </si>
  <si>
    <t>px 1 (8 paq. De 10 pañales)</t>
  </si>
  <si>
    <t>https://www.tiendasaludonline.com.ar/productos/aerocamara-adulto-aero-100/</t>
  </si>
  <si>
    <t>AERO</t>
  </si>
  <si>
    <t>https://www.tiendasaludonline.com.ar/productos/aerocamara-pediatrica-aero-100/</t>
  </si>
  <si>
    <t>https://www.tiendasaludonline.com.ar/productos/aerocamara-neonatal-aero-100/</t>
  </si>
  <si>
    <t>https://cirugiarex.com.ar/producto/aposito-hidrocoloide-10x10cm-33110/</t>
  </si>
  <si>
    <t>https://www.tiendasaludonline.com.ar/productos/apositos-hidrocoloide-hollister-restore-doble-dorso-espuma-10-x-10cm-9930/</t>
  </si>
  <si>
    <t>HOLLISTER</t>
  </si>
  <si>
    <t>https://www.lilis.com.ar/llave-de-3-vias</t>
  </si>
  <si>
    <t>https://www.tiendasaludonline.com.ar/productos/llaves-de-3-vias-esteril-luer-lock-gst-360x-50u/</t>
  </si>
  <si>
    <t>GST</t>
  </si>
  <si>
    <t>https://www.tiendasaludonline.com.ar/productos/aguja-puncion-lumbar-25g-importada-aurinco/</t>
  </si>
  <si>
    <t>https://www.tiendasaludonline.com.ar/productos/sonda-inhalacion-oxigeno-pediatrica-k27-bigotera-x-100ps-novamed/</t>
  </si>
  <si>
    <t>https://www.tiendasaludonline.com.ar/productos/tubo-endotraqueal-con-balon-reforzado-8-0-kangyuan/</t>
  </si>
  <si>
    <t>https://www.tiendasaludonline.com.ar/productos/bolsas-colostomia-cerrada-con-filtro-38mm-402522-convatec/</t>
  </si>
  <si>
    <t>CONVATEC</t>
  </si>
  <si>
    <t>https://www.lilis.com.ar/bolsa-convatec-cerrada-colostomia-opaca-38mm</t>
  </si>
  <si>
    <t>https://www.tiendasaludonline.com.ar/productos/detergente-tri-enzimatico-o3-x-1-lt-surgizime/</t>
  </si>
  <si>
    <t>SURGIZIME</t>
  </si>
  <si>
    <t>IMPORTADO</t>
  </si>
  <si>
    <t>https://www.tiendasaludonline.com.ar/productos/especulo-vaginal-descartable-grande-packing-x-100u-greyton/</t>
  </si>
  <si>
    <t>GREYTON</t>
  </si>
  <si>
    <t>BIONPRO</t>
  </si>
  <si>
    <t>https://www.tiendasaludonline.com.ar/productos/especulo-vaginal-descartable-grande-packing-x-100u-bionpro/</t>
  </si>
  <si>
    <t>https://www.tiendasaludonline.com.ar/productos/especulo-vaginal-descartable-chico-greyton/</t>
  </si>
  <si>
    <t>https://www.tiendasaludonline.com.ar/productos/especulo-vaginal-descartable-chico-packing-x-100u-bionpro/</t>
  </si>
  <si>
    <t>https://www.tiendasaludonline.com.ar/productos/especulo-vaginal-descartable-mediano-packing-x-100u-bionpro/</t>
  </si>
  <si>
    <t>https://cirugiarex.com.ar/producto/histerometro-maleable-sims-32-cm/</t>
  </si>
  <si>
    <t>https://www.lilis.com.ar/pinza-maier-medisul-descartable-10-uni</t>
  </si>
  <si>
    <t>https://www.tiendasaludonline.com.ar/productos/collar-tipo-filadelfia-s-m-l-body-care/</t>
  </si>
  <si>
    <t>https://www.lilis.com.ar/collar-de-filadelfia-coltex-mediano</t>
  </si>
  <si>
    <t>COLTEX</t>
  </si>
  <si>
    <t>KANGYUAN</t>
  </si>
  <si>
    <t>https://www.tiendasaludonline.com.ar/productos/sonda-nelaton-uretral-pvc-k93-n12-caja-x-50-ps-novamed/</t>
  </si>
  <si>
    <t>https://cirugiarex.com.ar/producto/sonda-nelaton-k93-dc/</t>
  </si>
  <si>
    <t>https://www.tiendasaludonline.com.ar/productos/frasco-brocal-desc-c-tapa-no-esteril-x-2500cc/</t>
  </si>
  <si>
    <t>AGUJAS</t>
  </si>
  <si>
    <t>ALCOHOL ETILICO</t>
  </si>
  <si>
    <t>ALGODÓN</t>
  </si>
  <si>
    <t>BAJALENGUAS</t>
  </si>
  <si>
    <t>GUIA ESTERIL</t>
  </si>
  <si>
    <t>MICRONEBULIZADOR</t>
  </si>
  <si>
    <t>SONDAS</t>
  </si>
  <si>
    <t>VENDAS</t>
  </si>
  <si>
    <t>SUTURAS</t>
  </si>
  <si>
    <t>HOJAS DE BISTURI</t>
  </si>
  <si>
    <t>GASAS</t>
  </si>
  <si>
    <t>ESPECULOS</t>
  </si>
  <si>
    <t xml:space="preserve">X 100u </t>
  </si>
  <si>
    <t>https://cirugiarex.com.ar/producto/cepillo-colector-citologico/</t>
  </si>
  <si>
    <t>https://cirugiarex.com.ar/producto/bano-facil-con-clorhexidina/</t>
  </si>
  <si>
    <t>https://cirugiarex.com.ar/producto/mascara-oxigeno-100/</t>
  </si>
  <si>
    <t>GALEMED</t>
  </si>
  <si>
    <t>px 1 x 50u</t>
  </si>
  <si>
    <t>AGUJA HIPODERMICA DESC.EST. DISTINTOS TAMAÑOS</t>
  </si>
  <si>
    <t>CATETER I.V. DE POLIURETANO G RADIOPACO DISTINTOS Nº</t>
  </si>
  <si>
    <t>GUANTE LATEX   DESCARTABLE</t>
  </si>
  <si>
    <t>GUANTE LATEX  PUÑO LARGO DESC. ESTERIL</t>
  </si>
  <si>
    <t>GUANTE LIBRE DE LATEX  DESCARTABLE</t>
  </si>
  <si>
    <t>POUCH CON INDIC P/VAPOR /O.E  PAPEL QUIRURGICO LISO/LAMINAD.PLAST.TRANSPAREN</t>
  </si>
  <si>
    <t>POLIGLACTINA C/AGUJA .PTA.CILÍNDRICA</t>
  </si>
  <si>
    <t xml:space="preserve">SONDA (TIPO K ) P/INTUBACION GASTRICA  DIAM.EXT.APROX.EST. </t>
  </si>
  <si>
    <t>APOSITO</t>
  </si>
  <si>
    <t>BARBIJOS</t>
  </si>
  <si>
    <t>ESPIROMETRIA</t>
  </si>
  <si>
    <t>CINTAS</t>
  </si>
  <si>
    <t>COLLARES CERVICALES</t>
  </si>
  <si>
    <t>ELECTRODOS</t>
  </si>
  <si>
    <t>GUANTES</t>
  </si>
  <si>
    <t>JERINGAS DESCARTABLES</t>
  </si>
  <si>
    <t>MICRONEBULIZADOR C/MASCARA Y TUBULADURA</t>
  </si>
  <si>
    <t>PAÑALES</t>
  </si>
  <si>
    <t>Caja x 100u</t>
  </si>
  <si>
    <t>Px 2 precio por 12u en la pagina</t>
  </si>
  <si>
    <t>X 10U.</t>
  </si>
  <si>
    <t xml:space="preserve">COLLAR CERVICAL TIPO PHILADELPHIA </t>
  </si>
  <si>
    <t>ELECTRODO P/MONITOREO  DESC.</t>
  </si>
  <si>
    <t>X 200U</t>
  </si>
  <si>
    <t>https://btinsumosonline.ar/producto/mango-para-electrobisturi-covidien/</t>
  </si>
  <si>
    <t>https://www.tiendahospimed.com.ar/MLA-925074778-frasco-humidificador-de-oxigeno-a-burbuja-_JM?utm_source=google&amp;utm_medium=cpc&amp;utm_campaign=darwin_ss</t>
  </si>
  <si>
    <t>PAPEL QUIRURGICO BLANCO PURO  (TIPO KRAFT)</t>
  </si>
  <si>
    <t>TUBO P/CANALIZ VENOSA ANESTESIA PC 75</t>
  </si>
  <si>
    <t>https://www.tiendahospimed.com.ar/MLA-677207028-venda-cambric-10cm-x-3mt-de-algodon-x-25-u-_JM?utm_source=google&amp;utm_medium=cpc&amp;utm_campaign=darwin_ss</t>
  </si>
  <si>
    <t>SM</t>
  </si>
  <si>
    <t>X 25U (10CM X 3M)</t>
  </si>
  <si>
    <t>https://www.lilis.com.ar/sutura-poliglyd-todos-los-tama-os</t>
  </si>
  <si>
    <t>PROLONGADOR DE CATETER</t>
  </si>
  <si>
    <t>ROPA DESCARTABLE</t>
  </si>
  <si>
    <t>INSUMOS PARA OXIGENOTERAPIA</t>
  </si>
  <si>
    <t>LUBRICANTE SILICONADA EN AEROSOL X 440 CM (para colocacion a autoclave)</t>
  </si>
  <si>
    <t>HOJAS POLIPROP.PEROX.HIDROG. (para esterilizacion)</t>
  </si>
  <si>
    <t>Hospital Central</t>
  </si>
  <si>
    <t>Hospital Lagomaggiore</t>
  </si>
  <si>
    <t xml:space="preserve">Hospital Saporitti </t>
  </si>
  <si>
    <t xml:space="preserve">SONDA DE FOLEY DOBLE VIA BALON 5/15 EST. </t>
  </si>
  <si>
    <t>Hospital Notti</t>
  </si>
  <si>
    <t>Hospital Schestakow</t>
  </si>
  <si>
    <t>Promedio Mercado</t>
  </si>
  <si>
    <t>Hospital de Malargue</t>
  </si>
  <si>
    <t>Hospital Gral. Alvear</t>
  </si>
  <si>
    <t>https://www.lilis.com.ar/descartador-agujas-1-litros-e-1</t>
  </si>
  <si>
    <t>https://cirugiarex.com.ar/producto/electrodos-descartables/</t>
  </si>
  <si>
    <t>https://www.lilis.com.ar/sonda-k-32-nasogastrica-s-33</t>
  </si>
  <si>
    <t>Subsecretaria de salud</t>
  </si>
  <si>
    <t>https://www.tiendasaludonline.com.ar/productos/indicador-biologico-bt91-vh2o2-x-100u-terragene/</t>
  </si>
  <si>
    <t>https://btinsumosonline.ar/producto/aerocamara-espaciadora-doble-valvula/</t>
  </si>
  <si>
    <t>https://i-mek.com/producto/cinta-testigo-autoadhesiva-vapor-visto-bueno/</t>
  </si>
  <si>
    <t>VISTO BUENO</t>
  </si>
  <si>
    <t>https://i-mek.com/producto/cinta-testigo-autoadhesiva-calor-seco-visto-bueno/</t>
  </si>
  <si>
    <t>https://www.tiendasaludonline.com.ar/productos/bobina-pouch-para-esterilizacion-sin-fuelle-300mm-x-200mts-caja-x-1-rollo-3m/</t>
  </si>
  <si>
    <t>PX 1 X10U</t>
  </si>
  <si>
    <t>BAÑO FACIL</t>
  </si>
  <si>
    <t>Precio ref. 3</t>
  </si>
  <si>
    <t>Marca px3</t>
  </si>
  <si>
    <t>Link px 3</t>
  </si>
  <si>
    <t>PX 1, 2 y 3 En la pagina cotiza por 5lt</t>
  </si>
  <si>
    <t>https://i-mek.com/producto/alcohol-etilico-70-30/</t>
  </si>
  <si>
    <t>https://www.lilis.com.ar/algodon-1-2-k-doncella-igalte</t>
  </si>
  <si>
    <t>https://www.tiendahospimed.com.ar/MLA-607569932-aposito-impermeable-tegaderm-3m-10x12-10-unidades-_JM#position=1&amp;search_layout=stack&amp;type=item&amp;tracking_id=5aa2351b-d0ee-4e1b-af50-92b53d2c6d2d</t>
  </si>
  <si>
    <t>GENERIC</t>
  </si>
  <si>
    <t>https://www.tiendahospimed.com.ar/MLA-1120422069-aposito-esteril-gasa-algodon-kraft-10x20-20-unidades-_JM#position=4&amp;search_layout=stack&amp;type=item&amp;tracking_id=77054436-6e98-4191-b4ee-f45c3346c70f</t>
  </si>
  <si>
    <t>https://cirugiarex.com.ar/producto/baja-lengua-de-madera-pediatricos-x100-unidades/</t>
  </si>
  <si>
    <t>https://cirugiarex.com.ar/producto/baja-lengua-de-madera-adultos-x100-unidades/</t>
  </si>
  <si>
    <t>50 PARES</t>
  </si>
  <si>
    <t>https://i-mek.com/producto/cofia/</t>
  </si>
  <si>
    <t>COLOPLAST</t>
  </si>
  <si>
    <t>https://www.tiendahospimed.com.ar/MLA-643229833-bolsa-de-colostomia-cerrada-2-piezas-coloplast-10184-x30-uni-_JM#position=23&amp;search_layout=stack&amp;type=item&amp;tracking_id=bcf55261-9a5b-4a18-86a6-4b12314ccceb</t>
  </si>
  <si>
    <t>https://www.tiendahospimed.com.ar/MLA-738015672-boquilla-para-espirometria-31-mm-20-unidades-_JM#position=1&amp;search_layout=stack&amp;type=item&amp;tracking_id=221e3683-c93b-4582-b29e-6e45c6851180</t>
  </si>
  <si>
    <t>CAJA X200U (px1) 20u (px2)</t>
  </si>
  <si>
    <t>https://www.tiendahospimed.com.ar/MLA-872162244-frasco-brocal-24hs-muestra-de-orina-completa-2-lts-_JM#position=1&amp;search_layout=stack&amp;type=item&amp;tracking_id=c3b53cc0-b0de-416b-bcc3-d2db57cf3b27</t>
  </si>
  <si>
    <t>px 2 2ltros</t>
  </si>
  <si>
    <t>COMARSA</t>
  </si>
  <si>
    <t>https://cirugiarex.com.ar/producto/cinta-testigo-vapor/</t>
  </si>
  <si>
    <t>https://www.tiendasaludonline.com.ar/productos/cateter-de-succion-cerrado-p-asp-traqueal-16-fr-adulto-aurinco-libre-de-latex-x-34-cm/</t>
  </si>
  <si>
    <t>AURINCO</t>
  </si>
  <si>
    <t>X100U (PX 1 Y 2)</t>
  </si>
  <si>
    <t>X 100U (PX 1 Y 2)</t>
  </si>
  <si>
    <t>https://www.tiendahospimed.com.ar/MLA-756022976-histerometro-sims-32-cm-instrumental-quirurgico-_JM#position=2&amp;search_layout=stack&amp;type=item&amp;tracking_id=b079918a-0923-4ef0-a7bc-cd168f966715</t>
  </si>
  <si>
    <t>BELMED</t>
  </si>
  <si>
    <t>https://cirugiarex.com.ar/producto/jeringa-hipodermica-descartable-5ml-darling/</t>
  </si>
  <si>
    <t>DARLING</t>
  </si>
  <si>
    <t>https://www.tiendahospimed.com.ar/MLA-839003046-jeringa-descartable-5-ml-sin-aguja-100-unidades-_JM?searchVariation=50638209526#searchVariation=50638209526&amp;position=10&amp;search_layout=stack&amp;type=item&amp;tracking_id=6daac8f4-dc44-4bd5-ab5b-995b83254133</t>
  </si>
  <si>
    <t>https://www.tiendahospimed.com.ar/MLA-839003144-jeringa-descartable-10-ml-sin-aguja-100-unidades-_JM?searchVariation=50638348833#searchVariation=50638348833&amp;position=3&amp;search_layout=stack&amp;type=item&amp;tracking_id=23682066-0608-4318-9631-44fce24e804f</t>
  </si>
  <si>
    <t>https://www.tiendahospimed.com.ar/MLA-839005963-jeringa-descartable-20-ml-sin-aguja-50-unidades-_JM?searchVariation=50639296659#searchVariation=50639296659&amp;position=27&amp;search_layout=stack&amp;type=item&amp;tracking_id=b581924e-6b78-4e94-bc7d-192e82dd69ec</t>
  </si>
  <si>
    <t>https://www.tiendahospimed.com.ar/MLA-839003483-jeringa-descartable-60-ml-pico-fino-luer-25-unidades-_JM?searchVariation=50638737508#searchVariation=50638737508&amp;position=25&amp;search_layout=stack&amp;type=item&amp;tracking_id=b581924e-6b78-4e94-bc7d-192e82dd69ec</t>
  </si>
  <si>
    <t>https://cirugiarex.com.ar/producto/jeringa-sin-aguja-desechables-np/</t>
  </si>
  <si>
    <t>NP</t>
  </si>
  <si>
    <t>https://www.tiendahospimed.com.ar/MLA-1103683562-papel-kraff-medicinal-bobina-60-cm-12-kg-_JM#position=14&amp;search_layout=stack&amp;type=item&amp;tracking_id=a3333a02-bdfe-4512-872d-35e5a6e63887</t>
  </si>
  <si>
    <t>60cm 12 km</t>
  </si>
  <si>
    <t>https://www.tiendahospimed.com.ar/MLA-817034684-pinza-maier-ginecologica-descartable-por-5-unidades-_JM#position=1&amp;search_layout=stack&amp;type=item&amp;tracking_id=d269d3a5-cf58-4423-8db1-4c39264c184d</t>
  </si>
  <si>
    <t>https://www.tiendahospimed.com.ar/MLA-854138982-termometro-digital-lectura-rapida-exatherm-_JM#position=3&amp;search_layout=stack&amp;type=item&amp;tracking_id=ae3e8879-4057-4a0e-88ad-f7c3d73658c0</t>
  </si>
  <si>
    <t>https://www.tiendahospimed.com.ar/MLA-616305640-comfeel-aposito-parche-hidrocoloide-grueso-10x10-x-10-u-_JM#position=3&amp;search_layout=stack&amp;type=item&amp;tracking_id=122e6606-c91c-4169-9433-c2fafd512ba0</t>
  </si>
  <si>
    <t>IHT</t>
  </si>
  <si>
    <t>LYNCMED</t>
  </si>
  <si>
    <t>https://cirugiarex.com.ar/producto/cofia-descartable-x100-unidades-lyncmed/</t>
  </si>
  <si>
    <t>https://www.tiendasaludonline.com.ar/productos/botas-descartable-hemorepelente-con-tiras-blanca-30grs-p-cirugia-x-10-pares/</t>
  </si>
  <si>
    <t>DIMEX</t>
  </si>
  <si>
    <t>https://www.tiendasaludonline.com.ar/productos/bolsa-colectora-de-orina-x-2000-ml-p-cama-c-gancho-pack-x-10u-aurinco/</t>
  </si>
  <si>
    <t>https://www.tiendahospimed.com.ar/MLA-850688817-bolsa-colectora-de-orina-cama-2-lts-10-unidades-_JM#position=2&amp;search_layout=stack&amp;type=item&amp;tracking_id=09243106-1762-46cf-ab67-3ea2236bdc90</t>
  </si>
  <si>
    <t>LISFAR</t>
  </si>
  <si>
    <t>BODY CARE</t>
  </si>
  <si>
    <t>https://www.lilis.com.ar/especulo-medical-grande-100-rojo</t>
  </si>
  <si>
    <t>MEDICAL PLUS</t>
  </si>
  <si>
    <t>https://www.tiendahospimed.com.ar/MLA-808478889-gel-neutro-1-kg-x-2-unidades-_JM#position=4&amp;search_layout=stack&amp;type=item&amp;tracking_id=4e9e71f7-3bb5-4140-9504-a2190b3ce9db</t>
  </si>
  <si>
    <t>MOIST GEL</t>
  </si>
  <si>
    <t>https://www.tiendasaludonline.com.ar/productos/guantes-de-cirugia-esteriles-n-8-0-caja-x-50-pares-aurinco/</t>
  </si>
  <si>
    <t>https://cirugiarex.com.ar/producto/guantes-de-nitrilo-negro-x100-ud-dexal/</t>
  </si>
  <si>
    <t>DEXAL</t>
  </si>
  <si>
    <t>https://www.tiendahospimed.com.ar/MLA-866945877-guantes-de-nitrilo-negro-sin-polvo-x-100-unidades-_JM?searchVariation=59540783082#searchVariation=59540783082&amp;position=2&amp;search_layout=stack&amp;type=item&amp;tracking_id=13144c16-d71b-4ade-a9f4-c5dc0b72b11b</t>
  </si>
  <si>
    <t>HONGDA MEDICAL</t>
  </si>
  <si>
    <t>SURGIKAL</t>
  </si>
  <si>
    <t>VENDSUR</t>
  </si>
  <si>
    <t>https://www.tiendasaludonline.com.ar/productos/aguja-hipodermica-15-5-25g5-8-caja-x-100u-greetmed/</t>
  </si>
  <si>
    <t>GREEDMED</t>
  </si>
  <si>
    <t xml:space="preserve">PRECIOS FUENTES CONSULTADAS </t>
  </si>
  <si>
    <t>PRECIOS DE COMPR.AR MENDOZA</t>
  </si>
  <si>
    <t>TELA</t>
  </si>
  <si>
    <t xml:space="preserve">AGUJA HIPODERMICA 15/5 DESC.EST. </t>
  </si>
  <si>
    <t xml:space="preserve">AGUJA HIPODERMICA 25/6 DESC.EST.  </t>
  </si>
  <si>
    <t xml:space="preserve">AGUJA HIPODERMICA 25/8 DESC.EST. </t>
  </si>
  <si>
    <t xml:space="preserve">AGUJA HIPODERMICA 30/7 DESC.EST. </t>
  </si>
  <si>
    <t xml:space="preserve">AGUJA HIPODERMICA 40/8 DESC.EST. </t>
  </si>
  <si>
    <t xml:space="preserve">AGUJA HIPODERMICA 50/8 DESC.EST. </t>
  </si>
  <si>
    <t>TELA ADHESIVA X 5 CM DE ANCHO Y 9 M DE LARGO APROX.</t>
  </si>
  <si>
    <t>DESCARTADOR CAP. 4LT. P/PUNZANTES BOCA ANCHA</t>
  </si>
  <si>
    <t>DESCARTADOR CAP. 7LT. P/PUNZANTES BOCA ANCHA</t>
  </si>
  <si>
    <t>Primer trimestre 2022</t>
  </si>
  <si>
    <t>https://www.tiendasaludonline.com.ar/productos/aposito-iht-oper-easy-5-x-72-cm-caja-x-100-unidades/</t>
  </si>
  <si>
    <t>PX X 100</t>
  </si>
  <si>
    <t>https://www.lilis.com.ar/especulo-medical-chico-100-rosa</t>
  </si>
  <si>
    <t>BREMEN</t>
  </si>
  <si>
    <t>https://www.tiendasaludonline.com.ar/productos/guantes-examen-latex-talla-m-medium-caja-x-100u-bremen/</t>
  </si>
  <si>
    <t>X25u</t>
  </si>
  <si>
    <t>x100u</t>
  </si>
  <si>
    <t>px 1(2 Paq. De 16 pañales)</t>
  </si>
  <si>
    <t>ADQUISICION DE PRODUCTOS MEDICOS. Nº DE PROCESO: 10606-0001-LPU22</t>
  </si>
  <si>
    <t>Precio Mayo COMPR.AR</t>
  </si>
  <si>
    <t>Promedio TOTAL</t>
  </si>
  <si>
    <t xml:space="preserve"> </t>
  </si>
  <si>
    <t>Promedio Mercado JULIO</t>
  </si>
  <si>
    <t>https://i-mek.com/producto/aguja-hipodermica-x-100-bremen/</t>
  </si>
  <si>
    <t>https://www.tiendasaludonline.com.ar/productos/agujas-hipodermicas-25-8-21gx1-caja-x-100u-bremen/</t>
  </si>
  <si>
    <t>https://www.tiendasaludonline.com.ar/productos/agujas-hipodermicas-25-8-x-100ps-novamed/</t>
  </si>
  <si>
    <t>https://www.tiendasaludonline.com.ar/productos/agujas-hipodermicas-40-8-caja-x-100u-novamed/</t>
  </si>
  <si>
    <t>https://www.lilis.com.ar/hojas-de-bisturi-printex-100-todos-los-tama-os</t>
  </si>
  <si>
    <t>EXHATERM</t>
  </si>
  <si>
    <t>Promedio MAYO</t>
  </si>
  <si>
    <t>CATETER I.V. DE POLIURETANO N 24 G RADIOPACO</t>
  </si>
  <si>
    <t>CATETER I.V. DE POLIURETANO N 16 G RADIOPACO</t>
  </si>
  <si>
    <t xml:space="preserve">CATETER I.V. DE POLIURETANO N 18 G RADIOPACO </t>
  </si>
  <si>
    <t xml:space="preserve">CATETER I.V. DE POLIURETANO N 20 G RADIOPACO </t>
  </si>
  <si>
    <t xml:space="preserve">CATETER I.V. DE POLIURETANO N 22 G RADIOPACO </t>
  </si>
  <si>
    <t>CATETER IV DE POLIURETANO</t>
  </si>
  <si>
    <t>https://cirugiarex.com.ar/producto/cateter-polymed/</t>
  </si>
  <si>
    <t>POLYMED</t>
  </si>
  <si>
    <t>https://www.tiendasaludonline.com.ar/productos/cateter-intravenoso-24g-caja-x-100u-polywin-polymed/</t>
  </si>
  <si>
    <t>https://www.tiendasaludonline.com.ar/productos/cateter-intravenoso-16g-caja-x-100u-polywin-polymed/</t>
  </si>
  <si>
    <t>https://www.tiendasaludonline.com.ar/productos/cateter-intravenoso-18g-caja-x-100u-polywin-polymed/</t>
  </si>
  <si>
    <t>https://www.tiendasaludonline.com.ar/productos/cateter-intravenoso-20g-caja-x-100u-polywin-polymed/</t>
  </si>
  <si>
    <t>https://www.tiendasaludonline.com.ar/productos/cateter-intravenoso-22g-caja-x-100u-polywin-polymed/</t>
  </si>
  <si>
    <t>https://www.lilis.com.ar/descartador-agujas-y-corto-punz-e-7</t>
  </si>
  <si>
    <t>https://www.lilis.com.ar/descartador-agujas-y-corto-punz-e-4</t>
  </si>
  <si>
    <t>https://www.tiendasaludonline.com.ar/productos/gasa-doblada-simple-esteril-en-sobre-7x7cm-x-3u-caja-x-500u-insumos-xxi/</t>
  </si>
  <si>
    <t>PX  x unidad, 500u de pouch por 3</t>
  </si>
  <si>
    <t>https://www.tiendasaludonline.com.ar/productos/guantes-esteriles-de-cirugia-nipro-nro-8-5-cja-x-50-pares/</t>
  </si>
  <si>
    <t>https://www.tiendasaludonline.com.ar/productos/guantes-examen-latex-m-mediano-caja-x-100ps-trux/</t>
  </si>
  <si>
    <t>TRUX</t>
  </si>
  <si>
    <t>https://cirugiarex.com.ar/producto/equipo-para-transfusion-tipo-v-20-c-aguja-y-filtro/</t>
  </si>
  <si>
    <t>SONDA DE FOLEY Nº20 TRIPLE VIA BALON 30/45 EST</t>
  </si>
  <si>
    <t xml:space="preserve">SONDA DE FOLEY Nº16 DOBLE VIA BALON 5/15 EST. </t>
  </si>
  <si>
    <t>SONDA DE FOLEY Nº18 DOBLE VIA BALON 5/15 EST.</t>
  </si>
  <si>
    <t xml:space="preserve">SONDA DE FOLEY Nº20 DOBLE VIA BALON 5/15 EST. </t>
  </si>
  <si>
    <t>SONDA DE FOLEY Nº22 DOBLE VIA BALON 5/15 EST.</t>
  </si>
  <si>
    <t>https://www.tiendasaludonline.com.ar/productos/sonda-foley-3-vias-n-20-silicona-pura-100-caja-x-10ps-star/</t>
  </si>
  <si>
    <t>STAR</t>
  </si>
  <si>
    <t>https://www.tiendasaludonline.com.ar/productos/sonda-foley-2-vias-100-silicona-pura-n-16-caja-x-10ps-star-kangyuang/</t>
  </si>
  <si>
    <t>https://www.tiendasaludonline.com.ar/productos/sonda-foley-2-vias-100-silicona-pura-n-22-caja-x-10ps-star-kangyuan/</t>
  </si>
  <si>
    <t xml:space="preserve">Variacion mayo-julio </t>
  </si>
  <si>
    <t>https://www.lilis.com.ar/tela-adhesiva-adhesur-5-uni-4-5-metros</t>
  </si>
  <si>
    <t>ADHESUR</t>
  </si>
  <si>
    <t>4,5 X 9MTS de largo</t>
  </si>
  <si>
    <t>https://cirugiarex.com.ar/producto/papel-ecg-electrocardiografo-50mm-x30-mts/</t>
  </si>
  <si>
    <t>THERMAL PAPER</t>
  </si>
  <si>
    <t>https://www.tiendahospimed.com.ar/MLA-738004867-clamp-umbilical-x-100-u-_JM#position=1&amp;search_layout=stack&amp;type=item&amp;tracking_id=55ef88de-6031-4cd9-bf3c-343820543fe7</t>
  </si>
  <si>
    <t>https://www.lilis.com.ar/tela-adhesiva-transpore-2-5-9-un-42212-120</t>
  </si>
  <si>
    <t>PRECIOS ACTUALIZADOS AL : 20/07/2022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</si>
</sst>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\ * #,##0.00_-;\-&quot;$&quot;\ * #,##0.00_-;_-&quot;$&quot;\ * &quot;-&quot;??_-;_-@_-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theme="1" tint="0.1499984740745262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</patternFill>
    </fill>
    <fill>
      <patternFill patternType="solid">
        <fgColor rgb="FF00B05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44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4" applyNumberFormat="0" applyAlignment="0" applyProtection="0"/>
    <xf numFmtId="0" fontId="8" fillId="6" borderId="0" applyNumberFormat="0" applyBorder="0" applyAlignment="0" applyProtection="0"/>
    <xf numFmtId="0" fontId="9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0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</cellStyleXfs>
  <cellXfs count="695">
    <xf numFmtId="0" fontId="0" fillId="0" borderId="0" xfId="0"/>
    <xf numFmtId="0" fontId="4" fillId="2" borderId="1" xfId="10" applyFont="1" applyFill="1" applyBorder="1" applyAlignment="1">
      <alignment horizontal="left"/>
    </xf>
    <xf numFmtId="0" fontId="11" fillId="2" borderId="1" xfId="5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4" fillId="2" borderId="1" xfId="4" applyFont="1" applyFill="1" applyBorder="1" applyAlignment="1">
      <alignment horizontal="left"/>
    </xf>
    <xf numFmtId="0" fontId="11" fillId="2" borderId="1" xfId="10" applyFont="1" applyFill="1" applyBorder="1" applyAlignment="1">
      <alignment horizontal="left"/>
    </xf>
    <xf numFmtId="0" fontId="4" fillId="2" borderId="1" xfId="5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0" xfId="0" applyFill="1" applyBorder="1"/>
    <xf numFmtId="0" fontId="5" fillId="2" borderId="0" xfId="4" applyFill="1" applyBorder="1"/>
    <xf numFmtId="0" fontId="0" fillId="2" borderId="0" xfId="0" applyFill="1"/>
    <xf numFmtId="0" fontId="14" fillId="2" borderId="0" xfId="0" applyFont="1" applyFill="1" applyBorder="1"/>
    <xf numFmtId="0" fontId="11" fillId="2" borderId="1" xfId="4" applyFont="1" applyFill="1" applyBorder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4" fontId="0" fillId="2" borderId="1" xfId="3" applyFont="1" applyFill="1" applyBorder="1" applyAlignment="1">
      <alignment horizontal="right"/>
    </xf>
    <xf numFmtId="44" fontId="0" fillId="2" borderId="1" xfId="3" applyFont="1" applyFill="1" applyBorder="1" applyAlignment="1">
      <alignment horizontal="right" vertical="center"/>
    </xf>
    <xf numFmtId="44" fontId="0" fillId="15" borderId="1" xfId="3" applyFont="1" applyFill="1" applyBorder="1" applyAlignment="1">
      <alignment horizontal="right"/>
    </xf>
    <xf numFmtId="44" fontId="0" fillId="2" borderId="1" xfId="3" applyFont="1" applyFill="1" applyBorder="1"/>
    <xf numFmtId="44" fontId="0" fillId="2" borderId="0" xfId="3" applyFont="1" applyFill="1"/>
    <xf numFmtId="44" fontId="0" fillId="0" borderId="0" xfId="3" applyFont="1"/>
    <xf numFmtId="44" fontId="16" fillId="2" borderId="1" xfId="3" applyFont="1" applyFill="1" applyBorder="1" applyAlignment="1">
      <alignment horizontal="right"/>
    </xf>
    <xf numFmtId="0" fontId="0" fillId="2" borderId="0" xfId="0" applyFont="1" applyFill="1" applyAlignment="1">
      <alignment horizontal="center"/>
    </xf>
    <xf numFmtId="0" fontId="3" fillId="0" borderId="0" xfId="2"/>
    <xf numFmtId="0" fontId="11" fillId="2" borderId="1" xfId="8" applyFont="1" applyFill="1" applyBorder="1" applyAlignment="1"/>
    <xf numFmtId="44" fontId="11" fillId="11" borderId="1" xfId="3" applyFont="1" applyFill="1" applyBorder="1" applyAlignment="1">
      <alignment horizontal="left"/>
    </xf>
    <xf numFmtId="0" fontId="11" fillId="0" borderId="1" xfId="8" applyFont="1" applyBorder="1" applyAlignment="1">
      <alignment horizontal="left"/>
    </xf>
    <xf numFmtId="0" fontId="11" fillId="0" borderId="1" xfId="8" applyFont="1" applyBorder="1" applyAlignment="1"/>
    <xf numFmtId="0" fontId="11" fillId="2" borderId="1" xfId="8" applyFont="1" applyFill="1" applyBorder="1" applyAlignment="1">
      <alignment horizontal="left"/>
    </xf>
    <xf numFmtId="0" fontId="11" fillId="2" borderId="1" xfId="12" applyFont="1" applyFill="1" applyBorder="1" applyAlignment="1"/>
    <xf numFmtId="0" fontId="11" fillId="0" borderId="1" xfId="8" applyFont="1" applyFill="1" applyBorder="1" applyAlignment="1">
      <alignment horizontal="left"/>
    </xf>
    <xf numFmtId="0" fontId="11" fillId="2" borderId="1" xfId="8" applyFont="1" applyFill="1" applyBorder="1" applyAlignment="1">
      <alignment horizontal="left" vertical="center"/>
    </xf>
    <xf numFmtId="44" fontId="11" fillId="11" borderId="1" xfId="3" applyFont="1" applyFill="1" applyBorder="1" applyAlignment="1">
      <alignment vertical="top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2" borderId="1" xfId="3" applyFont="1" applyFill="1" applyBorder="1" applyAlignment="1">
      <alignment horizontal="center"/>
    </xf>
    <xf numFmtId="44" fontId="0" fillId="2" borderId="1" xfId="3" applyFont="1" applyFill="1" applyBorder="1" applyAlignment="1"/>
    <xf numFmtId="0" fontId="4" fillId="2" borderId="1" xfId="10" applyFont="1" applyFill="1" applyBorder="1" applyAlignment="1">
      <alignment horizontal="left" vertical="top"/>
    </xf>
    <xf numFmtId="0" fontId="11" fillId="2" borderId="1" xfId="5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2" borderId="1" xfId="4" applyFont="1" applyFill="1" applyBorder="1" applyAlignment="1">
      <alignment horizontal="left" vertical="top"/>
    </xf>
    <xf numFmtId="0" fontId="4" fillId="2" borderId="1" xfId="4" applyFont="1" applyFill="1" applyBorder="1" applyAlignment="1">
      <alignment horizontal="left" vertical="top"/>
    </xf>
    <xf numFmtId="0" fontId="5" fillId="3" borderId="1" xfId="4" applyBorder="1" applyAlignment="1">
      <alignment horizontal="left" vertical="top"/>
    </xf>
    <xf numFmtId="0" fontId="0" fillId="2" borderId="1" xfId="10" applyFont="1" applyFill="1" applyBorder="1" applyAlignment="1">
      <alignment horizontal="left"/>
    </xf>
    <xf numFmtId="0" fontId="11" fillId="2" borderId="1" xfId="10" applyFont="1" applyFill="1" applyBorder="1" applyAlignment="1">
      <alignment horizontal="center" vertical="center"/>
    </xf>
    <xf numFmtId="0" fontId="11" fillId="2" borderId="1" xfId="1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7" borderId="1" xfId="0" applyFill="1" applyBorder="1" applyAlignment="1">
      <alignment vertical="center"/>
    </xf>
    <xf numFmtId="0" fontId="4" fillId="2" borderId="1" xfId="5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13" fillId="14" borderId="20" xfId="11" applyFont="1" applyFill="1" applyBorder="1" applyAlignment="1">
      <alignment horizontal="center" vertical="center"/>
    </xf>
    <xf numFmtId="0" fontId="13" fillId="14" borderId="13" xfId="11" applyFont="1" applyFill="1" applyBorder="1" applyAlignment="1">
      <alignment horizontal="center" vertical="center"/>
    </xf>
    <xf numFmtId="44" fontId="13" fillId="14" borderId="20" xfId="11" applyNumberFormat="1" applyFont="1" applyFill="1" applyBorder="1" applyAlignment="1">
      <alignment horizontal="center" vertical="center"/>
    </xf>
    <xf numFmtId="0" fontId="15" fillId="14" borderId="20" xfId="11" applyFont="1" applyFill="1" applyBorder="1" applyAlignment="1">
      <alignment horizontal="center" vertical="center"/>
    </xf>
    <xf numFmtId="0" fontId="13" fillId="14" borderId="20" xfId="8" applyFont="1" applyFill="1" applyBorder="1" applyAlignment="1">
      <alignment horizontal="center" vertical="center"/>
    </xf>
    <xf numFmtId="0" fontId="12" fillId="14" borderId="20" xfId="8" applyFont="1" applyFill="1" applyBorder="1" applyAlignment="1">
      <alignment horizontal="center" vertical="center"/>
    </xf>
    <xf numFmtId="44" fontId="19" fillId="14" borderId="20" xfId="11" applyNumberFormat="1" applyFont="1" applyFill="1" applyBorder="1" applyAlignment="1">
      <alignment horizontal="center" vertical="center"/>
    </xf>
    <xf numFmtId="0" fontId="19" fillId="14" borderId="20" xfId="11" applyFont="1" applyFill="1" applyBorder="1" applyAlignment="1">
      <alignment horizontal="center" vertical="center"/>
    </xf>
    <xf numFmtId="17" fontId="17" fillId="2" borderId="20" xfId="0" applyNumberFormat="1" applyFont="1" applyFill="1" applyBorder="1" applyAlignment="1">
      <alignment horizontal="center" vertical="center"/>
    </xf>
    <xf numFmtId="17" fontId="17" fillId="2" borderId="20" xfId="3" applyNumberFormat="1" applyFont="1" applyFill="1" applyBorder="1" applyAlignment="1">
      <alignment horizontal="center"/>
    </xf>
    <xf numFmtId="17" fontId="17" fillId="2" borderId="20" xfId="0" applyNumberFormat="1" applyFont="1" applyFill="1" applyBorder="1" applyAlignment="1">
      <alignment horizontal="center"/>
    </xf>
    <xf numFmtId="44" fontId="0" fillId="10" borderId="20" xfId="3" applyFont="1" applyFill="1" applyBorder="1" applyAlignment="1"/>
    <xf numFmtId="0" fontId="0" fillId="10" borderId="20" xfId="10" applyFont="1" applyFill="1" applyBorder="1" applyAlignment="1">
      <alignment horizontal="left"/>
    </xf>
    <xf numFmtId="0" fontId="12" fillId="14" borderId="20" xfId="11" applyFont="1" applyFill="1" applyBorder="1" applyAlignment="1">
      <alignment horizontal="center" vertical="center"/>
    </xf>
    <xf numFmtId="44" fontId="0" fillId="2" borderId="1" xfId="3" applyFont="1" applyFill="1" applyBorder="1" applyAlignment="1">
      <alignment horizontal="center"/>
    </xf>
    <xf numFmtId="0" fontId="7" fillId="2" borderId="1" xfId="6" applyFill="1" applyBorder="1" applyAlignment="1">
      <alignment horizontal="center"/>
    </xf>
    <xf numFmtId="0" fontId="11" fillId="2" borderId="1" xfId="6" applyFont="1" applyFill="1" applyBorder="1" applyAlignment="1">
      <alignment horizontal="left"/>
    </xf>
    <xf numFmtId="0" fontId="0" fillId="0" borderId="0" xfId="0"/>
    <xf numFmtId="0" fontId="0" fillId="0" borderId="1" xfId="0" applyBorder="1" applyAlignment="1">
      <alignment horizontal="center" vertical="center"/>
    </xf>
    <xf numFmtId="0" fontId="4" fillId="2" borderId="1" xfId="10" applyFont="1" applyFill="1" applyBorder="1" applyAlignment="1">
      <alignment horizontal="center" vertical="center"/>
    </xf>
    <xf numFmtId="0" fontId="11" fillId="2" borderId="1" xfId="4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5" fillId="3" borderId="1" xfId="4" applyBorder="1" applyAlignment="1">
      <alignment horizontal="left"/>
    </xf>
    <xf numFmtId="0" fontId="0" fillId="2" borderId="1" xfId="4" applyFont="1" applyFill="1" applyBorder="1" applyAlignment="1">
      <alignment horizontal="left"/>
    </xf>
    <xf numFmtId="44" fontId="0" fillId="15" borderId="1" xfId="3" applyFont="1" applyFill="1" applyBorder="1" applyAlignment="1">
      <alignment horizontal="center"/>
    </xf>
    <xf numFmtId="44" fontId="0" fillId="15" borderId="1" xfId="3" applyFont="1" applyFill="1" applyBorder="1"/>
    <xf numFmtId="44" fontId="0" fillId="15" borderId="1" xfId="3" applyFont="1" applyFill="1" applyBorder="1" applyAlignment="1"/>
    <xf numFmtId="0" fontId="4" fillId="2" borderId="1" xfId="4" applyFont="1" applyFill="1" applyBorder="1" applyAlignment="1">
      <alignment horizontal="center"/>
    </xf>
    <xf numFmtId="0" fontId="4" fillId="2" borderId="1" xfId="4" applyFont="1" applyFill="1" applyBorder="1"/>
    <xf numFmtId="17" fontId="17" fillId="15" borderId="20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/>
    <xf numFmtId="0" fontId="9" fillId="2" borderId="1" xfId="8" applyFont="1" applyFill="1" applyBorder="1" applyAlignment="1"/>
    <xf numFmtId="0" fontId="9" fillId="0" borderId="11" xfId="8" applyFont="1" applyBorder="1" applyAlignment="1">
      <alignment horizontal="left"/>
    </xf>
    <xf numFmtId="44" fontId="11" fillId="11" borderId="11" xfId="3" applyFont="1" applyFill="1" applyBorder="1" applyAlignment="1">
      <alignment horizontal="left"/>
    </xf>
    <xf numFmtId="0" fontId="11" fillId="0" borderId="11" xfId="8" applyFont="1" applyBorder="1" applyAlignment="1">
      <alignment horizontal="left"/>
    </xf>
    <xf numFmtId="0" fontId="9" fillId="0" borderId="24" xfId="8" applyFont="1" applyBorder="1" applyAlignment="1">
      <alignment horizontal="left"/>
    </xf>
    <xf numFmtId="0" fontId="9" fillId="0" borderId="9" xfId="8" applyFont="1" applyBorder="1" applyAlignment="1">
      <alignment horizontal="left"/>
    </xf>
    <xf numFmtId="0" fontId="11" fillId="0" borderId="9" xfId="8" applyFont="1" applyBorder="1" applyAlignment="1">
      <alignment horizontal="left"/>
    </xf>
    <xf numFmtId="0" fontId="9" fillId="0" borderId="21" xfId="8" applyFont="1" applyBorder="1" applyAlignment="1">
      <alignment horizontal="left"/>
    </xf>
    <xf numFmtId="0" fontId="15" fillId="2" borderId="11" xfId="10" applyFont="1" applyFill="1" applyBorder="1" applyAlignment="1">
      <alignment horizontal="left"/>
    </xf>
    <xf numFmtId="0" fontId="9" fillId="2" borderId="11" xfId="8" applyFont="1" applyFill="1" applyBorder="1" applyAlignment="1">
      <alignment horizontal="left"/>
    </xf>
    <xf numFmtId="0" fontId="18" fillId="2" borderId="11" xfId="8" applyFont="1" applyFill="1" applyBorder="1" applyAlignment="1">
      <alignment horizontal="left"/>
    </xf>
    <xf numFmtId="0" fontId="9" fillId="2" borderId="21" xfId="8" applyFont="1" applyFill="1" applyBorder="1" applyAlignment="1"/>
    <xf numFmtId="0" fontId="9" fillId="2" borderId="9" xfId="8" applyFont="1" applyFill="1" applyBorder="1" applyAlignment="1"/>
    <xf numFmtId="0" fontId="11" fillId="2" borderId="9" xfId="8" applyFont="1" applyFill="1" applyBorder="1" applyAlignment="1">
      <alignment horizontal="left"/>
    </xf>
    <xf numFmtId="0" fontId="9" fillId="0" borderId="11" xfId="8" applyFont="1" applyBorder="1" applyAlignment="1"/>
    <xf numFmtId="44" fontId="11" fillId="11" borderId="11" xfId="3" applyFont="1" applyFill="1" applyBorder="1" applyAlignment="1"/>
    <xf numFmtId="0" fontId="9" fillId="0" borderId="1" xfId="8" applyFont="1" applyBorder="1" applyAlignment="1">
      <alignment horizontal="left"/>
    </xf>
    <xf numFmtId="0" fontId="9" fillId="0" borderId="1" xfId="8" applyFont="1" applyBorder="1" applyAlignment="1">
      <alignment vertical="top"/>
    </xf>
    <xf numFmtId="0" fontId="9" fillId="0" borderId="1" xfId="8" applyFont="1" applyBorder="1" applyAlignment="1">
      <alignment horizontal="center"/>
    </xf>
    <xf numFmtId="0" fontId="9" fillId="0" borderId="2" xfId="8" applyFont="1" applyBorder="1" applyAlignment="1">
      <alignment horizontal="left"/>
    </xf>
    <xf numFmtId="44" fontId="0" fillId="0" borderId="9" xfId="12" applyNumberFormat="1" applyFont="1" applyFill="1" applyBorder="1" applyAlignment="1"/>
    <xf numFmtId="44" fontId="0" fillId="2" borderId="9" xfId="3" applyFont="1" applyFill="1" applyBorder="1" applyAlignment="1"/>
    <xf numFmtId="44" fontId="11" fillId="2" borderId="9" xfId="3" applyFont="1" applyFill="1" applyBorder="1" applyAlignment="1"/>
    <xf numFmtId="44" fontId="11" fillId="11" borderId="9" xfId="3" applyFont="1" applyFill="1" applyBorder="1" applyAlignment="1"/>
    <xf numFmtId="0" fontId="15" fillId="18" borderId="10" xfId="0" applyFont="1" applyFill="1" applyBorder="1" applyAlignment="1">
      <alignment horizontal="left"/>
    </xf>
    <xf numFmtId="0" fontId="9" fillId="0" borderId="10" xfId="8" applyFont="1" applyBorder="1" applyAlignment="1">
      <alignment horizontal="left"/>
    </xf>
    <xf numFmtId="0" fontId="9" fillId="0" borderId="30" xfId="8" applyFont="1" applyBorder="1" applyAlignment="1">
      <alignment horizontal="left"/>
    </xf>
    <xf numFmtId="44" fontId="11" fillId="2" borderId="0" xfId="3" applyFont="1" applyFill="1" applyBorder="1" applyAlignment="1">
      <alignment horizontal="left"/>
    </xf>
    <xf numFmtId="0" fontId="11" fillId="0" borderId="0" xfId="8" applyFont="1" applyBorder="1" applyAlignment="1">
      <alignment horizontal="left"/>
    </xf>
    <xf numFmtId="0" fontId="9" fillId="0" borderId="0" xfId="8" applyFont="1" applyBorder="1" applyAlignment="1">
      <alignment horizontal="left"/>
    </xf>
    <xf numFmtId="44" fontId="9" fillId="0" borderId="11" xfId="8" applyNumberFormat="1" applyFont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1" fillId="2" borderId="11" xfId="8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9" fillId="0" borderId="9" xfId="8" applyFont="1" applyBorder="1" applyAlignment="1">
      <alignment horizontal="left" vertical="top"/>
    </xf>
    <xf numFmtId="44" fontId="11" fillId="11" borderId="9" xfId="3" applyFont="1" applyFill="1" applyBorder="1" applyAlignment="1">
      <alignment horizontal="left"/>
    </xf>
    <xf numFmtId="0" fontId="9" fillId="0" borderId="1" xfId="8" applyFont="1" applyBorder="1" applyAlignment="1"/>
    <xf numFmtId="0" fontId="9" fillId="0" borderId="2" xfId="8" applyFont="1" applyBorder="1" applyAlignment="1"/>
    <xf numFmtId="0" fontId="15" fillId="0" borderId="0" xfId="0" applyFont="1" applyBorder="1" applyAlignment="1">
      <alignment horizontal="left"/>
    </xf>
    <xf numFmtId="0" fontId="9" fillId="0" borderId="30" xfId="8" applyFont="1" applyBorder="1" applyAlignment="1"/>
    <xf numFmtId="44" fontId="11" fillId="11" borderId="10" xfId="3" applyFont="1" applyFill="1" applyBorder="1" applyAlignment="1"/>
    <xf numFmtId="0" fontId="9" fillId="0" borderId="10" xfId="8" applyFont="1" applyBorder="1" applyAlignment="1"/>
    <xf numFmtId="0" fontId="11" fillId="0" borderId="10" xfId="8" applyFont="1" applyBorder="1" applyAlignment="1"/>
    <xf numFmtId="0" fontId="15" fillId="0" borderId="10" xfId="0" applyFont="1" applyBorder="1" applyAlignment="1">
      <alignment horizontal="left"/>
    </xf>
    <xf numFmtId="0" fontId="23" fillId="0" borderId="10" xfId="8" applyFont="1" applyBorder="1" applyAlignment="1"/>
    <xf numFmtId="0" fontId="18" fillId="0" borderId="10" xfId="8" applyFont="1" applyBorder="1" applyAlignment="1"/>
    <xf numFmtId="44" fontId="15" fillId="0" borderId="10" xfId="3" applyFont="1" applyBorder="1" applyAlignment="1">
      <alignment horizontal="left"/>
    </xf>
    <xf numFmtId="0" fontId="11" fillId="0" borderId="30" xfId="8" applyFont="1" applyBorder="1" applyAlignment="1">
      <alignment horizontal="left"/>
    </xf>
    <xf numFmtId="0" fontId="9" fillId="2" borderId="11" xfId="8" applyFont="1" applyFill="1" applyBorder="1" applyAlignment="1"/>
    <xf numFmtId="0" fontId="15" fillId="0" borderId="0" xfId="0" applyFont="1" applyBorder="1"/>
    <xf numFmtId="0" fontId="0" fillId="0" borderId="0" xfId="0" applyFont="1" applyBorder="1"/>
    <xf numFmtId="0" fontId="11" fillId="2" borderId="11" xfId="12" applyFont="1" applyFill="1" applyBorder="1" applyAlignment="1"/>
    <xf numFmtId="0" fontId="0" fillId="2" borderId="11" xfId="12" applyFont="1" applyFill="1" applyBorder="1" applyAlignment="1"/>
    <xf numFmtId="0" fontId="9" fillId="2" borderId="9" xfId="8" applyFont="1" applyFill="1" applyBorder="1"/>
    <xf numFmtId="0" fontId="1" fillId="2" borderId="9" xfId="12" applyFont="1" applyFill="1" applyBorder="1" applyAlignment="1"/>
    <xf numFmtId="0" fontId="0" fillId="2" borderId="9" xfId="12" applyFont="1" applyFill="1" applyBorder="1" applyAlignment="1"/>
    <xf numFmtId="0" fontId="11" fillId="2" borderId="9" xfId="12" applyFont="1" applyFill="1" applyBorder="1" applyAlignment="1"/>
    <xf numFmtId="0" fontId="9" fillId="2" borderId="10" xfId="8" applyFont="1" applyFill="1" applyBorder="1" applyAlignment="1">
      <alignment horizontal="left"/>
    </xf>
    <xf numFmtId="0" fontId="9" fillId="2" borderId="10" xfId="8" applyFont="1" applyFill="1" applyBorder="1" applyAlignment="1"/>
    <xf numFmtId="0" fontId="11" fillId="2" borderId="10" xfId="8" applyFont="1" applyFill="1" applyBorder="1" applyAlignment="1"/>
    <xf numFmtId="0" fontId="11" fillId="0" borderId="10" xfId="8" applyFont="1" applyBorder="1" applyAlignment="1">
      <alignment horizontal="center"/>
    </xf>
    <xf numFmtId="0" fontId="9" fillId="0" borderId="10" xfId="8" applyFont="1" applyBorder="1" applyAlignment="1">
      <alignment horizontal="center"/>
    </xf>
    <xf numFmtId="0" fontId="9" fillId="0" borderId="0" xfId="8" applyFont="1" applyBorder="1" applyAlignment="1"/>
    <xf numFmtId="0" fontId="9" fillId="0" borderId="34" xfId="8" applyFont="1" applyBorder="1" applyAlignment="1"/>
    <xf numFmtId="0" fontId="11" fillId="0" borderId="34" xfId="8" applyFont="1" applyBorder="1" applyAlignment="1">
      <alignment horizontal="left"/>
    </xf>
    <xf numFmtId="0" fontId="9" fillId="0" borderId="34" xfId="8" applyFont="1" applyBorder="1" applyAlignment="1">
      <alignment horizontal="left"/>
    </xf>
    <xf numFmtId="0" fontId="9" fillId="0" borderId="29" xfId="8" applyFont="1" applyBorder="1" applyAlignment="1"/>
    <xf numFmtId="0" fontId="15" fillId="0" borderId="9" xfId="0" applyFont="1" applyBorder="1" applyAlignment="1">
      <alignment horizontal="left"/>
    </xf>
    <xf numFmtId="0" fontId="18" fillId="2" borderId="9" xfId="8" applyFont="1" applyFill="1" applyBorder="1" applyAlignment="1">
      <alignment horizontal="left"/>
    </xf>
    <xf numFmtId="0" fontId="11" fillId="0" borderId="11" xfId="8" applyFont="1" applyBorder="1" applyAlignment="1">
      <alignment horizontal="left" vertical="center"/>
    </xf>
    <xf numFmtId="0" fontId="9" fillId="0" borderId="21" xfId="8" applyFont="1" applyBorder="1" applyAlignment="1"/>
    <xf numFmtId="0" fontId="9" fillId="0" borderId="22" xfId="8" applyFont="1" applyBorder="1" applyAlignment="1"/>
    <xf numFmtId="0" fontId="9" fillId="0" borderId="9" xfId="8" applyFont="1" applyBorder="1" applyAlignment="1"/>
    <xf numFmtId="0" fontId="9" fillId="0" borderId="10" xfId="8" applyFont="1" applyBorder="1" applyAlignment="1">
      <alignment horizontal="left" vertical="top"/>
    </xf>
    <xf numFmtId="0" fontId="18" fillId="0" borderId="10" xfId="8" applyFont="1" applyBorder="1" applyAlignment="1">
      <alignment horizontal="left"/>
    </xf>
    <xf numFmtId="0" fontId="9" fillId="2" borderId="9" xfId="8" applyFont="1" applyFill="1" applyBorder="1" applyAlignment="1">
      <alignment horizontal="left"/>
    </xf>
    <xf numFmtId="0" fontId="9" fillId="2" borderId="11" xfId="8" applyFont="1" applyFill="1" applyBorder="1"/>
    <xf numFmtId="0" fontId="0" fillId="2" borderId="11" xfId="0" applyFont="1" applyFill="1" applyBorder="1"/>
    <xf numFmtId="0" fontId="11" fillId="2" borderId="11" xfId="8" applyFont="1" applyFill="1" applyBorder="1" applyAlignment="1">
      <alignment horizontal="left" vertical="center"/>
    </xf>
    <xf numFmtId="0" fontId="9" fillId="2" borderId="11" xfId="8" applyFont="1" applyFill="1" applyBorder="1" applyAlignment="1">
      <alignment horizontal="left" vertical="center"/>
    </xf>
    <xf numFmtId="0" fontId="9" fillId="0" borderId="10" xfId="8" applyFont="1" applyBorder="1" applyAlignment="1">
      <alignment vertical="center"/>
    </xf>
    <xf numFmtId="0" fontId="9" fillId="0" borderId="11" xfId="8" applyFont="1" applyBorder="1" applyAlignment="1">
      <alignment vertical="center"/>
    </xf>
    <xf numFmtId="0" fontId="9" fillId="0" borderId="24" xfId="8" applyFont="1" applyBorder="1" applyAlignment="1">
      <alignment horizontal="left" vertical="center"/>
    </xf>
    <xf numFmtId="0" fontId="9" fillId="0" borderId="5" xfId="8" applyFont="1" applyBorder="1" applyAlignment="1"/>
    <xf numFmtId="0" fontId="15" fillId="2" borderId="10" xfId="0" applyFont="1" applyFill="1" applyBorder="1" applyAlignment="1">
      <alignment horizontal="left"/>
    </xf>
    <xf numFmtId="0" fontId="11" fillId="0" borderId="10" xfId="8" applyFont="1" applyBorder="1" applyAlignment="1">
      <alignment horizontal="left"/>
    </xf>
    <xf numFmtId="44" fontId="11" fillId="11" borderId="34" xfId="3" applyFont="1" applyFill="1" applyBorder="1" applyAlignment="1">
      <alignment horizontal="left"/>
    </xf>
    <xf numFmtId="0" fontId="9" fillId="2" borderId="0" xfId="8" applyFont="1" applyFill="1" applyBorder="1" applyAlignment="1">
      <alignment horizontal="left"/>
    </xf>
    <xf numFmtId="0" fontId="9" fillId="2" borderId="2" xfId="8" applyFont="1" applyFill="1" applyBorder="1" applyAlignment="1"/>
    <xf numFmtId="0" fontId="9" fillId="2" borderId="34" xfId="8" applyFont="1" applyFill="1" applyBorder="1" applyAlignment="1"/>
    <xf numFmtId="0" fontId="11" fillId="2" borderId="34" xfId="8" applyFont="1" applyFill="1" applyBorder="1" applyAlignment="1">
      <alignment horizontal="left"/>
    </xf>
    <xf numFmtId="0" fontId="1" fillId="2" borderId="0" xfId="8" applyFont="1" applyFill="1" applyBorder="1" applyAlignment="1"/>
    <xf numFmtId="0" fontId="9" fillId="0" borderId="11" xfId="8" applyFont="1" applyFill="1" applyBorder="1" applyAlignment="1">
      <alignment horizontal="left"/>
    </xf>
    <xf numFmtId="0" fontId="9" fillId="0" borderId="1" xfId="8" applyFont="1" applyFill="1" applyBorder="1" applyAlignment="1">
      <alignment horizontal="left"/>
    </xf>
    <xf numFmtId="0" fontId="0" fillId="2" borderId="1" xfId="12" applyFont="1" applyFill="1" applyBorder="1" applyAlignment="1"/>
    <xf numFmtId="0" fontId="9" fillId="0" borderId="1" xfId="8" applyFont="1" applyFill="1" applyBorder="1" applyAlignment="1"/>
    <xf numFmtId="0" fontId="9" fillId="0" borderId="2" xfId="8" applyFont="1" applyFill="1" applyBorder="1" applyAlignment="1">
      <alignment horizontal="left"/>
    </xf>
    <xf numFmtId="0" fontId="0" fillId="10" borderId="20" xfId="0" applyFont="1" applyFill="1" applyBorder="1" applyAlignment="1">
      <alignment horizontal="left"/>
    </xf>
    <xf numFmtId="0" fontId="1" fillId="2" borderId="10" xfId="12" applyFont="1" applyFill="1" applyBorder="1" applyAlignment="1">
      <alignment horizontal="left"/>
    </xf>
    <xf numFmtId="0" fontId="9" fillId="2" borderId="30" xfId="8" applyFont="1" applyFill="1" applyBorder="1" applyAlignment="1"/>
    <xf numFmtId="0" fontId="0" fillId="2" borderId="0" xfId="12" applyFont="1" applyFill="1" applyBorder="1" applyAlignment="1"/>
    <xf numFmtId="0" fontId="0" fillId="2" borderId="29" xfId="12" applyFont="1" applyFill="1" applyBorder="1" applyAlignment="1"/>
    <xf numFmtId="0" fontId="0" fillId="2" borderId="0" xfId="12" applyFont="1" applyFill="1" applyBorder="1" applyAlignment="1">
      <alignment horizontal="left"/>
    </xf>
    <xf numFmtId="0" fontId="9" fillId="0" borderId="11" xfId="8" applyFont="1" applyBorder="1" applyAlignment="1">
      <alignment horizontal="center"/>
    </xf>
    <xf numFmtId="0" fontId="11" fillId="0" borderId="9" xfId="8" applyFont="1" applyBorder="1" applyAlignment="1"/>
    <xf numFmtId="44" fontId="9" fillId="2" borderId="9" xfId="8" applyNumberFormat="1" applyFont="1" applyFill="1" applyBorder="1" applyAlignment="1"/>
    <xf numFmtId="44" fontId="0" fillId="2" borderId="21" xfId="3" applyFont="1" applyFill="1" applyBorder="1" applyAlignment="1"/>
    <xf numFmtId="0" fontId="9" fillId="2" borderId="11" xfId="8" applyFont="1" applyFill="1" applyBorder="1" applyAlignment="1">
      <alignment vertical="center"/>
    </xf>
    <xf numFmtId="0" fontId="9" fillId="2" borderId="1" xfId="8" applyFont="1" applyFill="1" applyBorder="1" applyAlignment="1">
      <alignment vertical="center"/>
    </xf>
    <xf numFmtId="0" fontId="9" fillId="2" borderId="1" xfId="8" applyFont="1" applyFill="1" applyBorder="1" applyAlignment="1">
      <alignment horizontal="left" vertical="center"/>
    </xf>
    <xf numFmtId="0" fontId="15" fillId="2" borderId="1" xfId="10" applyFont="1" applyFill="1" applyBorder="1" applyAlignment="1">
      <alignment horizontal="left"/>
    </xf>
    <xf numFmtId="0" fontId="15" fillId="2" borderId="1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0" fillId="2" borderId="43" xfId="10" applyFont="1" applyFill="1" applyBorder="1" applyAlignment="1">
      <alignment horizontal="left"/>
    </xf>
    <xf numFmtId="44" fontId="0" fillId="2" borderId="47" xfId="3" applyFont="1" applyFill="1" applyBorder="1" applyAlignment="1"/>
    <xf numFmtId="0" fontId="0" fillId="10" borderId="51" xfId="0" applyFont="1" applyFill="1" applyBorder="1" applyAlignment="1">
      <alignment horizontal="left"/>
    </xf>
    <xf numFmtId="0" fontId="0" fillId="10" borderId="49" xfId="0" applyFont="1" applyFill="1" applyBorder="1" applyAlignment="1">
      <alignment horizontal="left"/>
    </xf>
    <xf numFmtId="0" fontId="1" fillId="0" borderId="47" xfId="0" applyFont="1" applyBorder="1" applyAlignment="1">
      <alignment horizontal="left"/>
    </xf>
    <xf numFmtId="0" fontId="0" fillId="0" borderId="47" xfId="0" applyFont="1" applyBorder="1" applyAlignment="1">
      <alignment horizontal="left"/>
    </xf>
    <xf numFmtId="0" fontId="0" fillId="2" borderId="52" xfId="12" applyFont="1" applyFill="1" applyBorder="1" applyAlignment="1">
      <alignment horizontal="left"/>
    </xf>
    <xf numFmtId="0" fontId="0" fillId="2" borderId="43" xfId="12" applyFont="1" applyFill="1" applyBorder="1" applyAlignment="1">
      <alignment horizontal="left"/>
    </xf>
    <xf numFmtId="0" fontId="9" fillId="2" borderId="47" xfId="8" applyFont="1" applyFill="1" applyBorder="1" applyAlignment="1"/>
    <xf numFmtId="0" fontId="0" fillId="2" borderId="49" xfId="0" applyFont="1" applyFill="1" applyBorder="1" applyAlignment="1">
      <alignment horizontal="left"/>
    </xf>
    <xf numFmtId="0" fontId="0" fillId="0" borderId="52" xfId="0" applyFont="1" applyBorder="1" applyAlignment="1">
      <alignment horizontal="left"/>
    </xf>
    <xf numFmtId="0" fontId="0" fillId="0" borderId="43" xfId="0" applyFont="1" applyBorder="1" applyAlignment="1">
      <alignment horizontal="left"/>
    </xf>
    <xf numFmtId="0" fontId="0" fillId="2" borderId="34" xfId="0" applyFont="1" applyFill="1" applyBorder="1"/>
    <xf numFmtId="0" fontId="0" fillId="10" borderId="20" xfId="0" applyFont="1" applyFill="1" applyBorder="1" applyAlignment="1">
      <alignment vertical="center"/>
    </xf>
    <xf numFmtId="0" fontId="0" fillId="2" borderId="52" xfId="12" applyFont="1" applyFill="1" applyBorder="1" applyAlignment="1"/>
    <xf numFmtId="0" fontId="0" fillId="2" borderId="42" xfId="12" applyFont="1" applyFill="1" applyBorder="1" applyAlignment="1"/>
    <xf numFmtId="0" fontId="0" fillId="2" borderId="43" xfId="12" applyFont="1" applyFill="1" applyBorder="1" applyAlignment="1"/>
    <xf numFmtId="0" fontId="0" fillId="0" borderId="42" xfId="0" applyFont="1" applyBorder="1" applyAlignment="1">
      <alignment horizontal="left"/>
    </xf>
    <xf numFmtId="0" fontId="0" fillId="2" borderId="43" xfId="0" applyFont="1" applyFill="1" applyBorder="1" applyAlignment="1">
      <alignment horizontal="left"/>
    </xf>
    <xf numFmtId="0" fontId="0" fillId="2" borderId="47" xfId="12" applyFont="1" applyFill="1" applyBorder="1" applyAlignment="1">
      <alignment horizontal="left"/>
    </xf>
    <xf numFmtId="0" fontId="9" fillId="0" borderId="43" xfId="8" applyFont="1" applyBorder="1" applyAlignment="1"/>
    <xf numFmtId="0" fontId="9" fillId="2" borderId="42" xfId="8" applyFont="1" applyFill="1" applyBorder="1" applyAlignment="1"/>
    <xf numFmtId="0" fontId="0" fillId="0" borderId="34" xfId="0" applyFont="1" applyBorder="1" applyAlignment="1">
      <alignment horizontal="left"/>
    </xf>
    <xf numFmtId="0" fontId="9" fillId="0" borderId="44" xfId="8" applyFont="1" applyBorder="1" applyAlignment="1"/>
    <xf numFmtId="0" fontId="15" fillId="2" borderId="55" xfId="0" applyFont="1" applyFill="1" applyBorder="1" applyAlignment="1">
      <alignment horizontal="left"/>
    </xf>
    <xf numFmtId="0" fontId="9" fillId="0" borderId="55" xfId="8" applyFont="1" applyBorder="1" applyAlignment="1">
      <alignment horizontal="left"/>
    </xf>
    <xf numFmtId="0" fontId="9" fillId="0" borderId="55" xfId="8" applyFont="1" applyBorder="1" applyAlignment="1"/>
    <xf numFmtId="0" fontId="11" fillId="0" borderId="55" xfId="8" applyFont="1" applyBorder="1" applyAlignment="1"/>
    <xf numFmtId="0" fontId="9" fillId="0" borderId="50" xfId="8" applyFont="1" applyBorder="1" applyAlignment="1"/>
    <xf numFmtId="0" fontId="4" fillId="2" borderId="42" xfId="10" applyFont="1" applyFill="1" applyBorder="1" applyAlignment="1">
      <alignment horizontal="left" vertical="top"/>
    </xf>
    <xf numFmtId="0" fontId="11" fillId="2" borderId="42" xfId="5" applyFont="1" applyFill="1" applyBorder="1" applyAlignment="1">
      <alignment horizontal="left" vertical="top"/>
    </xf>
    <xf numFmtId="0" fontId="0" fillId="0" borderId="42" xfId="0" applyBorder="1"/>
    <xf numFmtId="0" fontId="0" fillId="0" borderId="42" xfId="0" applyBorder="1" applyAlignment="1">
      <alignment horizontal="left" vertical="top"/>
    </xf>
    <xf numFmtId="0" fontId="11" fillId="2" borderId="42" xfId="4" applyFont="1" applyFill="1" applyBorder="1" applyAlignment="1">
      <alignment horizontal="left" vertical="top"/>
    </xf>
    <xf numFmtId="0" fontId="4" fillId="2" borderId="42" xfId="4" applyFont="1" applyFill="1" applyBorder="1" applyAlignment="1">
      <alignment horizontal="left" vertical="top"/>
    </xf>
    <xf numFmtId="0" fontId="5" fillId="3" borderId="42" xfId="4" applyBorder="1" applyAlignment="1">
      <alignment horizontal="left" vertical="top"/>
    </xf>
    <xf numFmtId="0" fontId="7" fillId="2" borderId="41" xfId="6" applyFill="1" applyBorder="1" applyAlignment="1">
      <alignment horizontal="center"/>
    </xf>
    <xf numFmtId="0" fontId="11" fillId="2" borderId="42" xfId="6" applyFont="1" applyFill="1" applyBorder="1" applyAlignment="1">
      <alignment horizontal="left"/>
    </xf>
    <xf numFmtId="0" fontId="11" fillId="2" borderId="41" xfId="10" applyFont="1" applyFill="1" applyBorder="1" applyAlignment="1">
      <alignment horizontal="center" vertical="center"/>
    </xf>
    <xf numFmtId="0" fontId="11" fillId="2" borderId="42" xfId="10" applyFont="1" applyFill="1" applyBorder="1" applyAlignment="1">
      <alignment horizontal="left" vertical="top"/>
    </xf>
    <xf numFmtId="0" fontId="0" fillId="2" borderId="42" xfId="0" applyFill="1" applyBorder="1" applyAlignment="1">
      <alignment horizontal="left" vertical="top"/>
    </xf>
    <xf numFmtId="0" fontId="0" fillId="7" borderId="41" xfId="0" applyFill="1" applyBorder="1" applyAlignment="1">
      <alignment vertical="center"/>
    </xf>
    <xf numFmtId="0" fontId="0" fillId="7" borderId="42" xfId="0" applyFill="1" applyBorder="1" applyAlignment="1">
      <alignment vertical="center"/>
    </xf>
    <xf numFmtId="0" fontId="11" fillId="2" borderId="41" xfId="5" applyFont="1" applyFill="1" applyBorder="1" applyAlignment="1">
      <alignment horizontal="center" vertical="center"/>
    </xf>
    <xf numFmtId="0" fontId="4" fillId="2" borderId="42" xfId="5" applyFont="1" applyFill="1" applyBorder="1" applyAlignment="1">
      <alignment horizontal="left" vertical="top"/>
    </xf>
    <xf numFmtId="0" fontId="0" fillId="0" borderId="42" xfId="0" applyFill="1" applyBorder="1" applyAlignment="1">
      <alignment horizontal="left" vertical="top"/>
    </xf>
    <xf numFmtId="0" fontId="0" fillId="0" borderId="55" xfId="0" applyBorder="1" applyAlignment="1">
      <alignment horizontal="left"/>
    </xf>
    <xf numFmtId="0" fontId="0" fillId="0" borderId="58" xfId="0" applyBorder="1" applyAlignment="1">
      <alignment horizontal="left" vertical="top"/>
    </xf>
    <xf numFmtId="0" fontId="0" fillId="2" borderId="52" xfId="10" applyFont="1" applyFill="1" applyBorder="1" applyAlignment="1">
      <alignment horizontal="left"/>
    </xf>
    <xf numFmtId="0" fontId="0" fillId="10" borderId="51" xfId="10" applyFont="1" applyFill="1" applyBorder="1" applyAlignment="1">
      <alignment horizontal="left"/>
    </xf>
    <xf numFmtId="0" fontId="0" fillId="10" borderId="48" xfId="0" applyFont="1" applyFill="1" applyBorder="1" applyAlignment="1">
      <alignment horizontal="left"/>
    </xf>
    <xf numFmtId="0" fontId="0" fillId="14" borderId="20" xfId="0" applyFill="1" applyBorder="1" applyAlignment="1">
      <alignment horizontal="center" wrapText="1"/>
    </xf>
    <xf numFmtId="44" fontId="0" fillId="0" borderId="1" xfId="0" applyNumberFormat="1" applyBorder="1"/>
    <xf numFmtId="44" fontId="0" fillId="14" borderId="20" xfId="3" applyFont="1" applyFill="1" applyBorder="1" applyAlignment="1">
      <alignment horizontal="center" wrapText="1"/>
    </xf>
    <xf numFmtId="44" fontId="0" fillId="0" borderId="1" xfId="3" applyFont="1" applyBorder="1"/>
    <xf numFmtId="0" fontId="0" fillId="2" borderId="0" xfId="0" applyFont="1" applyFill="1"/>
    <xf numFmtId="0" fontId="0" fillId="2" borderId="1" xfId="10" applyFont="1" applyFill="1" applyBorder="1" applyAlignment="1">
      <alignment horizontal="center" vertical="center"/>
    </xf>
    <xf numFmtId="0" fontId="0" fillId="2" borderId="1" xfId="10" applyFont="1" applyFill="1" applyBorder="1" applyAlignment="1">
      <alignment horizontal="left" vertical="top"/>
    </xf>
    <xf numFmtId="0" fontId="0" fillId="2" borderId="1" xfId="5" applyFont="1" applyFill="1" applyBorder="1" applyAlignment="1">
      <alignment horizontal="left"/>
    </xf>
    <xf numFmtId="0" fontId="0" fillId="2" borderId="1" xfId="5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1" xfId="4" applyFont="1" applyFill="1" applyBorder="1" applyAlignment="1">
      <alignment horizontal="center"/>
    </xf>
    <xf numFmtId="0" fontId="0" fillId="2" borderId="1" xfId="4" applyFont="1" applyFill="1" applyBorder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top"/>
    </xf>
    <xf numFmtId="0" fontId="0" fillId="2" borderId="1" xfId="4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0" fontId="0" fillId="2" borderId="1" xfId="4" applyFont="1" applyFill="1" applyBorder="1" applyAlignment="1"/>
    <xf numFmtId="0" fontId="1" fillId="2" borderId="1" xfId="6" applyFont="1" applyFill="1" applyBorder="1" applyAlignment="1">
      <alignment horizontal="center"/>
    </xf>
    <xf numFmtId="0" fontId="0" fillId="2" borderId="1" xfId="6" applyFont="1" applyFill="1" applyBorder="1" applyAlignment="1">
      <alignment horizontal="left"/>
    </xf>
    <xf numFmtId="0" fontId="0" fillId="2" borderId="1" xfId="0" applyFont="1" applyFill="1" applyBorder="1" applyAlignment="1">
      <alignment vertical="center"/>
    </xf>
    <xf numFmtId="0" fontId="0" fillId="2" borderId="1" xfId="5" applyFont="1" applyFill="1" applyBorder="1" applyAlignment="1">
      <alignment horizontal="center" vertical="center"/>
    </xf>
    <xf numFmtId="0" fontId="12" fillId="14" borderId="13" xfId="11" applyFont="1" applyFill="1" applyBorder="1" applyAlignment="1">
      <alignment horizontal="center" vertical="center"/>
    </xf>
    <xf numFmtId="44" fontId="4" fillId="14" borderId="20" xfId="3" applyFont="1" applyFill="1" applyBorder="1" applyAlignment="1">
      <alignment horizontal="center" wrapText="1"/>
    </xf>
    <xf numFmtId="44" fontId="4" fillId="13" borderId="0" xfId="3" applyFont="1" applyFill="1"/>
    <xf numFmtId="44" fontId="4" fillId="13" borderId="1" xfId="3" applyFont="1" applyFill="1" applyBorder="1"/>
    <xf numFmtId="44" fontId="4" fillId="2" borderId="0" xfId="3" applyFont="1" applyFill="1"/>
    <xf numFmtId="0" fontId="0" fillId="0" borderId="0" xfId="0"/>
    <xf numFmtId="0" fontId="5" fillId="3" borderId="1" xfId="4" applyBorder="1" applyAlignment="1">
      <alignment horizontal="left"/>
    </xf>
    <xf numFmtId="0" fontId="0" fillId="0" borderId="41" xfId="0" applyBorder="1" applyAlignment="1">
      <alignment horizontal="center" vertical="center"/>
    </xf>
    <xf numFmtId="0" fontId="4" fillId="2" borderId="41" xfId="1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4" fillId="2" borderId="41" xfId="4" applyFont="1" applyFill="1" applyBorder="1" applyAlignment="1">
      <alignment horizontal="center" vertical="center"/>
    </xf>
    <xf numFmtId="0" fontId="11" fillId="2" borderId="41" xfId="4" applyFont="1" applyFill="1" applyBorder="1" applyAlignment="1">
      <alignment horizontal="center" vertical="center"/>
    </xf>
    <xf numFmtId="0" fontId="9" fillId="2" borderId="24" xfId="8" applyFont="1" applyFill="1" applyBorder="1" applyAlignment="1">
      <alignment horizontal="left"/>
    </xf>
    <xf numFmtId="0" fontId="9" fillId="2" borderId="2" xfId="8" applyFont="1" applyFill="1" applyBorder="1" applyAlignment="1">
      <alignment horizontal="left"/>
    </xf>
    <xf numFmtId="0" fontId="9" fillId="2" borderId="21" xfId="8" applyFont="1" applyFill="1" applyBorder="1" applyAlignment="1">
      <alignment horizontal="left"/>
    </xf>
    <xf numFmtId="44" fontId="0" fillId="0" borderId="1" xfId="3" applyFont="1" applyFill="1" applyBorder="1" applyAlignment="1"/>
    <xf numFmtId="0" fontId="4" fillId="0" borderId="1" xfId="4" applyFont="1" applyFill="1" applyBorder="1" applyAlignment="1">
      <alignment horizontal="left"/>
    </xf>
    <xf numFmtId="44" fontId="5" fillId="3" borderId="1" xfId="4" applyNumberFormat="1" applyBorder="1"/>
    <xf numFmtId="0" fontId="5" fillId="3" borderId="41" xfId="4" applyBorder="1" applyAlignment="1">
      <alignment horizontal="center" vertical="center"/>
    </xf>
    <xf numFmtId="0" fontId="9" fillId="0" borderId="2" xfId="8" applyFont="1" applyFill="1" applyBorder="1" applyAlignment="1"/>
    <xf numFmtId="0" fontId="9" fillId="0" borderId="5" xfId="8" applyFont="1" applyFill="1" applyBorder="1" applyAlignment="1"/>
    <xf numFmtId="0" fontId="9" fillId="0" borderId="3" xfId="8" applyFont="1" applyFill="1" applyBorder="1" applyAlignment="1"/>
    <xf numFmtId="0" fontId="1" fillId="0" borderId="9" xfId="10" applyFont="1" applyFill="1" applyBorder="1" applyAlignment="1">
      <alignment horizontal="left"/>
    </xf>
    <xf numFmtId="0" fontId="9" fillId="0" borderId="9" xfId="8" applyFont="1" applyFill="1" applyBorder="1" applyAlignment="1">
      <alignment horizontal="left"/>
    </xf>
    <xf numFmtId="44" fontId="11" fillId="0" borderId="9" xfId="3" applyFont="1" applyFill="1" applyBorder="1" applyAlignment="1">
      <alignment horizontal="left"/>
    </xf>
    <xf numFmtId="0" fontId="18" fillId="0" borderId="9" xfId="8" applyFont="1" applyFill="1" applyBorder="1" applyAlignment="1">
      <alignment horizontal="left"/>
    </xf>
    <xf numFmtId="0" fontId="1" fillId="0" borderId="11" xfId="10" applyFont="1" applyFill="1" applyBorder="1" applyAlignment="1">
      <alignment horizontal="left"/>
    </xf>
    <xf numFmtId="44" fontId="0" fillId="0" borderId="1" xfId="3" applyFont="1" applyFill="1" applyBorder="1"/>
    <xf numFmtId="44" fontId="0" fillId="0" borderId="11" xfId="0" applyNumberFormat="1" applyFont="1" applyFill="1" applyBorder="1"/>
    <xf numFmtId="44" fontId="0" fillId="0" borderId="1" xfId="0" applyNumberFormat="1" applyFont="1" applyFill="1" applyBorder="1"/>
    <xf numFmtId="44" fontId="0" fillId="0" borderId="1" xfId="4" applyNumberFormat="1" applyFont="1" applyFill="1" applyBorder="1"/>
    <xf numFmtId="0" fontId="0" fillId="0" borderId="20" xfId="0" applyFill="1" applyBorder="1" applyAlignment="1">
      <alignment horizontal="center" vertical="center" wrapText="1"/>
    </xf>
    <xf numFmtId="0" fontId="4" fillId="0" borderId="42" xfId="4" applyFont="1" applyFill="1" applyBorder="1" applyAlignment="1">
      <alignment horizontal="left" vertical="top"/>
    </xf>
    <xf numFmtId="44" fontId="4" fillId="0" borderId="1" xfId="4" applyNumberFormat="1" applyFont="1" applyFill="1" applyBorder="1"/>
    <xf numFmtId="0" fontId="0" fillId="0" borderId="11" xfId="12" applyFont="1" applyFill="1" applyBorder="1" applyAlignment="1">
      <alignment horizontal="left"/>
    </xf>
    <xf numFmtId="44" fontId="0" fillId="0" borderId="11" xfId="12" applyNumberFormat="1" applyFont="1" applyFill="1" applyBorder="1" applyAlignment="1">
      <alignment horizontal="left"/>
    </xf>
    <xf numFmtId="0" fontId="0" fillId="0" borderId="24" xfId="12" applyFont="1" applyFill="1" applyBorder="1" applyAlignment="1">
      <alignment horizontal="left"/>
    </xf>
    <xf numFmtId="0" fontId="0" fillId="0" borderId="1" xfId="12" applyFont="1" applyFill="1" applyBorder="1" applyAlignment="1">
      <alignment horizontal="left"/>
    </xf>
    <xf numFmtId="0" fontId="0" fillId="0" borderId="2" xfId="12" applyFont="1" applyFill="1" applyBorder="1" applyAlignment="1">
      <alignment horizontal="left"/>
    </xf>
    <xf numFmtId="0" fontId="0" fillId="0" borderId="9" xfId="12" applyFont="1" applyFill="1" applyBorder="1" applyAlignment="1">
      <alignment horizontal="left"/>
    </xf>
    <xf numFmtId="0" fontId="0" fillId="0" borderId="21" xfId="12" applyFont="1" applyFill="1" applyBorder="1" applyAlignment="1">
      <alignment horizontal="left"/>
    </xf>
    <xf numFmtId="0" fontId="0" fillId="10" borderId="20" xfId="12" applyFont="1" applyFill="1" applyBorder="1" applyAlignment="1">
      <alignment horizontal="left"/>
    </xf>
    <xf numFmtId="0" fontId="0" fillId="10" borderId="48" xfId="12" applyFont="1" applyFill="1" applyBorder="1" applyAlignment="1">
      <alignment horizontal="left"/>
    </xf>
    <xf numFmtId="44" fontId="11" fillId="11" borderId="10" xfId="3" applyFont="1" applyFill="1" applyBorder="1" applyAlignment="1">
      <alignment horizontal="left"/>
    </xf>
    <xf numFmtId="0" fontId="4" fillId="0" borderId="42" xfId="4" applyFont="1" applyFill="1" applyBorder="1"/>
    <xf numFmtId="0" fontId="0" fillId="0" borderId="0" xfId="0"/>
    <xf numFmtId="0" fontId="4" fillId="2" borderId="41" xfId="1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3" borderId="1" xfId="4" applyBorder="1" applyAlignment="1">
      <alignment horizontal="left"/>
    </xf>
    <xf numFmtId="0" fontId="0" fillId="2" borderId="41" xfId="0" applyFill="1" applyBorder="1" applyAlignment="1">
      <alignment horizontal="center" vertical="center"/>
    </xf>
    <xf numFmtId="0" fontId="4" fillId="2" borderId="41" xfId="4" applyFont="1" applyFill="1" applyBorder="1" applyAlignment="1">
      <alignment horizontal="center" vertical="center"/>
    </xf>
    <xf numFmtId="0" fontId="11" fillId="2" borderId="41" xfId="4" applyFont="1" applyFill="1" applyBorder="1" applyAlignment="1">
      <alignment horizontal="center" vertical="center"/>
    </xf>
    <xf numFmtId="2" fontId="0" fillId="0" borderId="42" xfId="0" applyNumberFormat="1" applyFont="1" applyFill="1" applyBorder="1"/>
    <xf numFmtId="0" fontId="11" fillId="2" borderId="41" xfId="5" applyFont="1" applyFill="1" applyBorder="1" applyAlignment="1">
      <alignment horizontal="center" vertical="center"/>
    </xf>
    <xf numFmtId="2" fontId="5" fillId="3" borderId="42" xfId="4" applyNumberFormat="1" applyBorder="1"/>
    <xf numFmtId="2" fontId="0" fillId="17" borderId="42" xfId="0" applyNumberFormat="1" applyFont="1" applyFill="1" applyBorder="1"/>
    <xf numFmtId="44" fontId="0" fillId="0" borderId="55" xfId="0" applyNumberFormat="1" applyFont="1" applyFill="1" applyBorder="1"/>
    <xf numFmtId="2" fontId="0" fillId="0" borderId="58" xfId="0" applyNumberFormat="1" applyFont="1" applyFill="1" applyBorder="1"/>
    <xf numFmtId="0" fontId="4" fillId="2" borderId="37" xfId="10" applyFont="1" applyFill="1" applyBorder="1" applyAlignment="1">
      <alignment horizontal="center" vertical="center"/>
    </xf>
    <xf numFmtId="0" fontId="4" fillId="2" borderId="11" xfId="10" applyFont="1" applyFill="1" applyBorder="1" applyAlignment="1">
      <alignment horizontal="left"/>
    </xf>
    <xf numFmtId="2" fontId="0" fillId="0" borderId="52" xfId="0" applyNumberFormat="1" applyFont="1" applyFill="1" applyBorder="1"/>
    <xf numFmtId="0" fontId="0" fillId="14" borderId="20" xfId="0" applyFill="1" applyBorder="1" applyAlignment="1">
      <alignment horizontal="center" vertical="center" wrapText="1"/>
    </xf>
    <xf numFmtId="0" fontId="4" fillId="2" borderId="52" xfId="10" applyFont="1" applyFill="1" applyBorder="1" applyAlignment="1">
      <alignment horizontal="left" vertical="top"/>
    </xf>
    <xf numFmtId="44" fontId="0" fillId="0" borderId="37" xfId="0" applyNumberFormat="1" applyFont="1" applyFill="1" applyBorder="1"/>
    <xf numFmtId="44" fontId="0" fillId="0" borderId="41" xfId="0" applyNumberFormat="1" applyFont="1" applyFill="1" applyBorder="1"/>
    <xf numFmtId="44" fontId="4" fillId="0" borderId="41" xfId="4" applyNumberFormat="1" applyFont="1" applyFill="1" applyBorder="1"/>
    <xf numFmtId="44" fontId="5" fillId="3" borderId="41" xfId="4" applyNumberFormat="1" applyBorder="1"/>
    <xf numFmtId="44" fontId="0" fillId="0" borderId="41" xfId="4" applyNumberFormat="1" applyFont="1" applyFill="1" applyBorder="1"/>
    <xf numFmtId="44" fontId="0" fillId="0" borderId="57" xfId="0" applyNumberFormat="1" applyFont="1" applyFill="1" applyBorder="1"/>
    <xf numFmtId="44" fontId="0" fillId="0" borderId="41" xfId="0" applyNumberFormat="1" applyFont="1" applyFill="1" applyBorder="1" applyAlignment="1">
      <alignment horizontal="center"/>
    </xf>
    <xf numFmtId="0" fontId="1" fillId="0" borderId="10" xfId="8" applyFont="1" applyFill="1" applyBorder="1" applyAlignment="1"/>
    <xf numFmtId="0" fontId="1" fillId="0" borderId="1" xfId="1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5" fillId="0" borderId="9" xfId="0" applyFont="1" applyFill="1" applyBorder="1" applyAlignment="1">
      <alignment horizontal="left"/>
    </xf>
    <xf numFmtId="0" fontId="15" fillId="0" borderId="11" xfId="10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44" fontId="1" fillId="0" borderId="9" xfId="12" applyNumberFormat="1" applyFont="1" applyFill="1" applyBorder="1" applyAlignment="1">
      <alignment horizontal="left" vertical="center"/>
    </xf>
    <xf numFmtId="0" fontId="18" fillId="0" borderId="11" xfId="8" applyFont="1" applyFill="1" applyBorder="1" applyAlignment="1"/>
    <xf numFmtId="0" fontId="18" fillId="0" borderId="1" xfId="8" applyFont="1" applyFill="1" applyBorder="1" applyAlignment="1">
      <alignment vertical="top"/>
    </xf>
    <xf numFmtId="0" fontId="18" fillId="0" borderId="1" xfId="8" applyFont="1" applyFill="1" applyBorder="1" applyAlignment="1">
      <alignment horizontal="left"/>
    </xf>
    <xf numFmtId="0" fontId="18" fillId="0" borderId="11" xfId="8" applyFont="1" applyFill="1" applyBorder="1" applyAlignment="1">
      <alignment horizontal="left"/>
    </xf>
    <xf numFmtId="0" fontId="18" fillId="0" borderId="9" xfId="8" applyFont="1" applyFill="1" applyBorder="1" applyAlignment="1"/>
    <xf numFmtId="0" fontId="15" fillId="0" borderId="10" xfId="0" applyFont="1" applyFill="1" applyBorder="1" applyAlignment="1">
      <alignment horizontal="left"/>
    </xf>
    <xf numFmtId="0" fontId="15" fillId="0" borderId="24" xfId="0" applyFont="1" applyFill="1" applyBorder="1" applyAlignment="1">
      <alignment horizontal="left"/>
    </xf>
    <xf numFmtId="0" fontId="1" fillId="0" borderId="11" xfId="12" applyFont="1" applyFill="1" applyBorder="1" applyAlignment="1">
      <alignment horizontal="left"/>
    </xf>
    <xf numFmtId="0" fontId="1" fillId="0" borderId="9" xfId="12" applyFont="1" applyFill="1" applyBorder="1" applyAlignment="1">
      <alignment horizontal="left"/>
    </xf>
    <xf numFmtId="0" fontId="15" fillId="0" borderId="10" xfId="10" applyFont="1" applyFill="1" applyBorder="1" applyAlignment="1">
      <alignment horizontal="left"/>
    </xf>
    <xf numFmtId="0" fontId="1" fillId="0" borderId="11" xfId="0" applyFont="1" applyFill="1" applyBorder="1" applyAlignment="1">
      <alignment wrapText="1"/>
    </xf>
    <xf numFmtId="0" fontId="15" fillId="0" borderId="10" xfId="0" applyFont="1" applyFill="1" applyBorder="1" applyAlignment="1">
      <alignment vertical="center"/>
    </xf>
    <xf numFmtId="0" fontId="15" fillId="0" borderId="1" xfId="10" applyFont="1" applyFill="1" applyBorder="1" applyAlignment="1">
      <alignment horizontal="left"/>
    </xf>
    <xf numFmtId="0" fontId="15" fillId="0" borderId="9" xfId="10" applyFont="1" applyFill="1" applyBorder="1" applyAlignment="1">
      <alignment horizontal="left"/>
    </xf>
    <xf numFmtId="0" fontId="1" fillId="0" borderId="11" xfId="8" applyFont="1" applyFill="1" applyBorder="1" applyAlignment="1"/>
    <xf numFmtId="0" fontId="1" fillId="0" borderId="1" xfId="8" applyFont="1" applyFill="1" applyBorder="1" applyAlignment="1"/>
    <xf numFmtId="0" fontId="1" fillId="0" borderId="0" xfId="8" applyFont="1" applyFill="1" applyBorder="1" applyAlignment="1"/>
    <xf numFmtId="0" fontId="18" fillId="0" borderId="34" xfId="8" applyFont="1" applyFill="1" applyBorder="1" applyAlignment="1">
      <alignment horizontal="left"/>
    </xf>
    <xf numFmtId="0" fontId="1" fillId="0" borderId="1" xfId="12" applyFont="1" applyFill="1" applyBorder="1" applyAlignment="1">
      <alignment horizontal="left"/>
    </xf>
    <xf numFmtId="0" fontId="18" fillId="0" borderId="10" xfId="8" applyFont="1" applyFill="1" applyBorder="1" applyAlignment="1"/>
    <xf numFmtId="0" fontId="15" fillId="0" borderId="55" xfId="0" applyFont="1" applyFill="1" applyBorder="1" applyAlignment="1">
      <alignment horizontal="left"/>
    </xf>
    <xf numFmtId="0" fontId="1" fillId="0" borderId="11" xfId="4" applyFont="1" applyFill="1" applyBorder="1" applyAlignment="1">
      <alignment horizontal="left"/>
    </xf>
    <xf numFmtId="0" fontId="1" fillId="0" borderId="1" xfId="4" applyFont="1" applyFill="1" applyBorder="1" applyAlignment="1">
      <alignment horizontal="left"/>
    </xf>
    <xf numFmtId="0" fontId="11" fillId="2" borderId="61" xfId="4" applyFont="1" applyFill="1" applyBorder="1" applyAlignment="1">
      <alignment horizontal="left" vertical="top"/>
    </xf>
    <xf numFmtId="0" fontId="0" fillId="0" borderId="3" xfId="0" applyBorder="1"/>
    <xf numFmtId="0" fontId="1" fillId="0" borderId="11" xfId="0" applyFont="1" applyBorder="1"/>
    <xf numFmtId="0" fontId="1" fillId="0" borderId="1" xfId="0" applyFont="1" applyBorder="1"/>
    <xf numFmtId="44" fontId="0" fillId="2" borderId="41" xfId="0" applyNumberFormat="1" applyFont="1" applyFill="1" applyBorder="1" applyAlignment="1">
      <alignment horizontal="center"/>
    </xf>
    <xf numFmtId="44" fontId="0" fillId="2" borderId="1" xfId="0" applyNumberFormat="1" applyFont="1" applyFill="1" applyBorder="1" applyAlignment="1">
      <alignment horizontal="center"/>
    </xf>
    <xf numFmtId="44" fontId="0" fillId="2" borderId="42" xfId="0" applyNumberFormat="1" applyFont="1" applyFill="1" applyBorder="1" applyAlignment="1">
      <alignment horizontal="center"/>
    </xf>
    <xf numFmtId="0" fontId="4" fillId="0" borderId="11" xfId="4" applyFont="1" applyFill="1" applyBorder="1" applyAlignment="1">
      <alignment horizontal="left"/>
    </xf>
    <xf numFmtId="0" fontId="4" fillId="0" borderId="52" xfId="4" applyFont="1" applyFill="1" applyBorder="1" applyAlignment="1">
      <alignment horizontal="left"/>
    </xf>
    <xf numFmtId="0" fontId="4" fillId="0" borderId="42" xfId="4" applyFont="1" applyFill="1" applyBorder="1" applyAlignment="1">
      <alignment horizontal="left"/>
    </xf>
    <xf numFmtId="44" fontId="0" fillId="0" borderId="33" xfId="3" applyFont="1" applyFill="1" applyBorder="1" applyAlignment="1"/>
    <xf numFmtId="44" fontId="0" fillId="0" borderId="18" xfId="3" applyFont="1" applyFill="1" applyBorder="1" applyAlignment="1"/>
    <xf numFmtId="44" fontId="1" fillId="0" borderId="13" xfId="3" applyFont="1" applyFill="1" applyBorder="1" applyAlignment="1"/>
    <xf numFmtId="44" fontId="1" fillId="0" borderId="16" xfId="3" applyFont="1" applyFill="1" applyBorder="1" applyAlignment="1"/>
    <xf numFmtId="44" fontId="0" fillId="0" borderId="13" xfId="3" applyFont="1" applyFill="1" applyBorder="1" applyAlignment="1"/>
    <xf numFmtId="44" fontId="0" fillId="0" borderId="16" xfId="3" applyFont="1" applyFill="1" applyBorder="1" applyAlignment="1"/>
    <xf numFmtId="44" fontId="1" fillId="0" borderId="13" xfId="3" applyFont="1" applyFill="1" applyBorder="1" applyAlignment="1">
      <alignment vertical="center"/>
    </xf>
    <xf numFmtId="44" fontId="1" fillId="0" borderId="16" xfId="3" applyFont="1" applyFill="1" applyBorder="1" applyAlignment="1">
      <alignment vertical="center"/>
    </xf>
    <xf numFmtId="44" fontId="0" fillId="7" borderId="41" xfId="0" applyNumberFormat="1" applyFont="1" applyFill="1" applyBorder="1" applyAlignment="1"/>
    <xf numFmtId="44" fontId="0" fillId="7" borderId="1" xfId="0" applyNumberFormat="1" applyFont="1" applyFill="1" applyBorder="1" applyAlignment="1"/>
    <xf numFmtId="44" fontId="0" fillId="7" borderId="42" xfId="0" applyNumberFormat="1" applyFont="1" applyFill="1" applyBorder="1" applyAlignment="1"/>
    <xf numFmtId="0" fontId="0" fillId="0" borderId="0" xfId="0"/>
    <xf numFmtId="0" fontId="0" fillId="0" borderId="0" xfId="0"/>
    <xf numFmtId="0" fontId="9" fillId="0" borderId="21" xfId="8" applyFont="1" applyFill="1" applyBorder="1" applyAlignment="1">
      <alignment horizontal="left"/>
    </xf>
    <xf numFmtId="0" fontId="1" fillId="0" borderId="10" xfId="12" applyFont="1" applyFill="1" applyBorder="1" applyAlignment="1">
      <alignment horizontal="left"/>
    </xf>
    <xf numFmtId="0" fontId="1" fillId="0" borderId="30" xfId="12" applyFont="1" applyFill="1" applyBorder="1" applyAlignment="1">
      <alignment horizontal="left"/>
    </xf>
    <xf numFmtId="0" fontId="1" fillId="0" borderId="1" xfId="12" applyFont="1" applyFill="1" applyBorder="1" applyAlignment="1"/>
    <xf numFmtId="0" fontId="1" fillId="2" borderId="9" xfId="12" applyFont="1" applyFill="1" applyBorder="1" applyAlignment="1">
      <alignment horizontal="left"/>
    </xf>
    <xf numFmtId="0" fontId="15" fillId="2" borderId="9" xfId="10" applyFont="1" applyFill="1" applyBorder="1" applyAlignment="1">
      <alignment horizontal="left"/>
    </xf>
    <xf numFmtId="0" fontId="11" fillId="2" borderId="9" xfId="8" applyFont="1" applyFill="1" applyBorder="1" applyAlignment="1"/>
    <xf numFmtId="0" fontId="9" fillId="2" borderId="43" xfId="8" applyFont="1" applyFill="1" applyBorder="1" applyAlignment="1"/>
    <xf numFmtId="0" fontId="0" fillId="19" borderId="20" xfId="0" applyFill="1" applyBorder="1" applyAlignment="1">
      <alignment horizontal="center" vertical="center" wrapText="1"/>
    </xf>
    <xf numFmtId="0" fontId="0" fillId="0" borderId="0" xfId="0" applyFill="1" applyBorder="1"/>
    <xf numFmtId="44" fontId="0" fillId="0" borderId="42" xfId="3" applyFont="1" applyFill="1" applyBorder="1" applyAlignment="1"/>
    <xf numFmtId="0" fontId="0" fillId="2" borderId="52" xfId="10" applyFont="1" applyFill="1" applyBorder="1" applyAlignment="1">
      <alignment horizontal="center"/>
    </xf>
    <xf numFmtId="0" fontId="0" fillId="2" borderId="47" xfId="10" applyFont="1" applyFill="1" applyBorder="1" applyAlignment="1">
      <alignment horizontal="center"/>
    </xf>
    <xf numFmtId="2" fontId="11" fillId="0" borderId="42" xfId="0" applyNumberFormat="1" applyFont="1" applyFill="1" applyBorder="1"/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/>
    </xf>
    <xf numFmtId="44" fontId="11" fillId="11" borderId="12" xfId="3" applyFont="1" applyFill="1" applyBorder="1" applyAlignment="1">
      <alignment horizontal="right" vertical="center"/>
    </xf>
    <xf numFmtId="44" fontId="11" fillId="11" borderId="29" xfId="3" applyFont="1" applyFill="1" applyBorder="1" applyAlignment="1">
      <alignment horizontal="right" vertical="center"/>
    </xf>
    <xf numFmtId="44" fontId="0" fillId="13" borderId="49" xfId="0" applyNumberFormat="1" applyFont="1" applyFill="1" applyBorder="1" applyAlignment="1">
      <alignment horizontal="right" vertical="center"/>
    </xf>
    <xf numFmtId="44" fontId="0" fillId="11" borderId="36" xfId="3" applyFont="1" applyFill="1" applyBorder="1" applyAlignment="1">
      <alignment horizontal="right" vertical="center"/>
    </xf>
    <xf numFmtId="44" fontId="1" fillId="0" borderId="19" xfId="3" applyFont="1" applyFill="1" applyBorder="1" applyAlignment="1">
      <alignment horizontal="right" vertical="center"/>
    </xf>
    <xf numFmtId="44" fontId="1" fillId="0" borderId="13" xfId="3" applyFont="1" applyFill="1" applyBorder="1" applyAlignment="1">
      <alignment horizontal="right" vertical="center"/>
    </xf>
    <xf numFmtId="44" fontId="0" fillId="11" borderId="10" xfId="3" applyFont="1" applyFill="1" applyBorder="1" applyAlignment="1">
      <alignment horizontal="right" vertical="center"/>
    </xf>
    <xf numFmtId="0" fontId="9" fillId="2" borderId="11" xfId="8" applyFont="1" applyFill="1" applyBorder="1" applyAlignment="1">
      <alignment horizontal="right" vertical="center"/>
    </xf>
    <xf numFmtId="0" fontId="9" fillId="2" borderId="1" xfId="8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44" fontId="0" fillId="13" borderId="20" xfId="10" applyNumberFormat="1" applyFont="1" applyFill="1" applyBorder="1" applyAlignment="1">
      <alignment horizontal="right" vertical="center"/>
    </xf>
    <xf numFmtId="44" fontId="0" fillId="11" borderId="38" xfId="10" applyNumberFormat="1" applyFont="1" applyFill="1" applyBorder="1" applyAlignment="1">
      <alignment horizontal="right" vertical="center"/>
    </xf>
    <xf numFmtId="44" fontId="0" fillId="13" borderId="20" xfId="3" applyFont="1" applyFill="1" applyBorder="1" applyAlignment="1">
      <alignment horizontal="right" vertical="center"/>
    </xf>
    <xf numFmtId="44" fontId="0" fillId="11" borderId="12" xfId="10" applyNumberFormat="1" applyFont="1" applyFill="1" applyBorder="1" applyAlignment="1">
      <alignment horizontal="right" vertical="center"/>
    </xf>
    <xf numFmtId="44" fontId="0" fillId="11" borderId="1" xfId="10" applyNumberFormat="1" applyFont="1" applyFill="1" applyBorder="1" applyAlignment="1">
      <alignment horizontal="right" vertical="center"/>
    </xf>
    <xf numFmtId="44" fontId="0" fillId="13" borderId="51" xfId="3" applyFont="1" applyFill="1" applyBorder="1" applyAlignment="1">
      <alignment horizontal="right" vertical="center"/>
    </xf>
    <xf numFmtId="44" fontId="0" fillId="11" borderId="3" xfId="3" applyFont="1" applyFill="1" applyBorder="1" applyAlignment="1">
      <alignment horizontal="right" vertical="center"/>
    </xf>
    <xf numFmtId="44" fontId="0" fillId="13" borderId="48" xfId="3" applyFont="1" applyFill="1" applyBorder="1" applyAlignment="1">
      <alignment horizontal="right" vertical="center"/>
    </xf>
    <xf numFmtId="44" fontId="0" fillId="11" borderId="12" xfId="3" applyFont="1" applyFill="1" applyBorder="1" applyAlignment="1">
      <alignment horizontal="right" vertical="center"/>
    </xf>
    <xf numFmtId="44" fontId="0" fillId="11" borderId="23" xfId="3" applyFont="1" applyFill="1" applyBorder="1" applyAlignment="1">
      <alignment horizontal="right" vertical="center"/>
    </xf>
    <xf numFmtId="44" fontId="0" fillId="13" borderId="20" xfId="0" applyNumberFormat="1" applyFont="1" applyFill="1" applyBorder="1" applyAlignment="1">
      <alignment horizontal="right" vertical="center"/>
    </xf>
    <xf numFmtId="44" fontId="0" fillId="13" borderId="20" xfId="12" applyNumberFormat="1" applyFont="1" applyFill="1" applyBorder="1" applyAlignment="1">
      <alignment horizontal="right" vertical="center"/>
    </xf>
    <xf numFmtId="44" fontId="0" fillId="11" borderId="23" xfId="12" applyNumberFormat="1" applyFont="1" applyFill="1" applyBorder="1" applyAlignment="1">
      <alignment horizontal="right" vertical="center"/>
    </xf>
    <xf numFmtId="44" fontId="0" fillId="13" borderId="48" xfId="0" applyNumberFormat="1" applyFont="1" applyFill="1" applyBorder="1" applyAlignment="1">
      <alignment horizontal="right" vertical="center"/>
    </xf>
    <xf numFmtId="44" fontId="0" fillId="13" borderId="49" xfId="3" applyFont="1" applyFill="1" applyBorder="1" applyAlignment="1">
      <alignment horizontal="right" vertical="center"/>
    </xf>
    <xf numFmtId="44" fontId="0" fillId="11" borderId="29" xfId="3" applyFont="1" applyFill="1" applyBorder="1" applyAlignment="1">
      <alignment horizontal="right" vertical="center"/>
    </xf>
    <xf numFmtId="44" fontId="0" fillId="11" borderId="0" xfId="3" applyFont="1" applyFill="1" applyBorder="1" applyAlignment="1">
      <alignment horizontal="right" vertical="center"/>
    </xf>
    <xf numFmtId="44" fontId="1" fillId="13" borderId="49" xfId="3" applyFont="1" applyFill="1" applyBorder="1" applyAlignment="1">
      <alignment horizontal="right" vertical="center"/>
    </xf>
    <xf numFmtId="44" fontId="1" fillId="11" borderId="29" xfId="3" applyFont="1" applyFill="1" applyBorder="1" applyAlignment="1">
      <alignment horizontal="right" vertical="center"/>
    </xf>
    <xf numFmtId="44" fontId="0" fillId="13" borderId="48" xfId="12" applyNumberFormat="1" applyFont="1" applyFill="1" applyBorder="1" applyAlignment="1">
      <alignment horizontal="right" vertical="center"/>
    </xf>
    <xf numFmtId="44" fontId="0" fillId="11" borderId="12" xfId="12" applyNumberFormat="1" applyFont="1" applyFill="1" applyBorder="1" applyAlignment="1">
      <alignment horizontal="right" vertical="center"/>
    </xf>
    <xf numFmtId="44" fontId="0" fillId="13" borderId="51" xfId="12" applyNumberFormat="1" applyFont="1" applyFill="1" applyBorder="1" applyAlignment="1">
      <alignment horizontal="right" vertical="center"/>
    </xf>
    <xf numFmtId="44" fontId="0" fillId="11" borderId="29" xfId="10" applyNumberFormat="1" applyFont="1" applyFill="1" applyBorder="1" applyAlignment="1">
      <alignment horizontal="right" vertical="center"/>
    </xf>
    <xf numFmtId="44" fontId="4" fillId="13" borderId="20" xfId="3" applyFont="1" applyFill="1" applyBorder="1" applyAlignment="1">
      <alignment horizontal="right" vertical="center"/>
    </xf>
    <xf numFmtId="44" fontId="4" fillId="11" borderId="12" xfId="3" applyFont="1" applyFill="1" applyBorder="1" applyAlignment="1">
      <alignment horizontal="right" vertical="center"/>
    </xf>
    <xf numFmtId="44" fontId="4" fillId="11" borderId="3" xfId="3" applyFont="1" applyFill="1" applyBorder="1" applyAlignment="1">
      <alignment horizontal="right" vertical="center"/>
    </xf>
    <xf numFmtId="44" fontId="0" fillId="11" borderId="29" xfId="3" applyNumberFormat="1" applyFont="1" applyFill="1" applyBorder="1" applyAlignment="1">
      <alignment horizontal="right" vertical="center"/>
    </xf>
    <xf numFmtId="44" fontId="0" fillId="0" borderId="17" xfId="3" applyFont="1" applyFill="1" applyBorder="1" applyAlignment="1">
      <alignment horizontal="right" vertical="center"/>
    </xf>
    <xf numFmtId="44" fontId="0" fillId="0" borderId="33" xfId="3" applyFont="1" applyFill="1" applyBorder="1" applyAlignment="1">
      <alignment horizontal="right" vertical="center"/>
    </xf>
    <xf numFmtId="44" fontId="0" fillId="13" borderId="49" xfId="12" applyNumberFormat="1" applyFont="1" applyFill="1" applyBorder="1" applyAlignment="1">
      <alignment horizontal="right" vertical="center"/>
    </xf>
    <xf numFmtId="44" fontId="0" fillId="11" borderId="29" xfId="12" applyNumberFormat="1" applyFont="1" applyFill="1" applyBorder="1" applyAlignment="1">
      <alignment horizontal="right" vertical="center"/>
    </xf>
    <xf numFmtId="44" fontId="0" fillId="11" borderId="3" xfId="12" applyNumberFormat="1" applyFont="1" applyFill="1" applyBorder="1" applyAlignment="1">
      <alignment horizontal="right" vertical="center"/>
    </xf>
    <xf numFmtId="44" fontId="0" fillId="13" borderId="51" xfId="0" applyNumberFormat="1" applyFont="1" applyFill="1" applyBorder="1" applyAlignment="1">
      <alignment horizontal="right" vertical="center"/>
    </xf>
    <xf numFmtId="44" fontId="0" fillId="13" borderId="48" xfId="10" applyNumberFormat="1" applyFont="1" applyFill="1" applyBorder="1" applyAlignment="1">
      <alignment horizontal="right" vertical="center"/>
    </xf>
    <xf numFmtId="44" fontId="0" fillId="11" borderId="3" xfId="10" applyNumberFormat="1" applyFont="1" applyFill="1" applyBorder="1" applyAlignment="1">
      <alignment horizontal="right" vertical="center"/>
    </xf>
    <xf numFmtId="44" fontId="0" fillId="13" borderId="51" xfId="10" applyNumberFormat="1" applyFont="1" applyFill="1" applyBorder="1" applyAlignment="1">
      <alignment horizontal="right" vertical="center"/>
    </xf>
    <xf numFmtId="44" fontId="0" fillId="11" borderId="23" xfId="10" applyNumberFormat="1" applyFont="1" applyFill="1" applyBorder="1" applyAlignment="1">
      <alignment horizontal="right" vertical="center"/>
    </xf>
    <xf numFmtId="44" fontId="0" fillId="0" borderId="19" xfId="3" applyFont="1" applyFill="1" applyBorder="1" applyAlignment="1">
      <alignment horizontal="right" vertical="center"/>
    </xf>
    <xf numFmtId="44" fontId="0" fillId="0" borderId="13" xfId="3" applyFont="1" applyFill="1" applyBorder="1" applyAlignment="1">
      <alignment horizontal="right" vertical="center"/>
    </xf>
    <xf numFmtId="44" fontId="0" fillId="13" borderId="49" xfId="10" applyNumberFormat="1" applyFont="1" applyFill="1" applyBorder="1" applyAlignment="1">
      <alignment horizontal="right" vertical="center"/>
    </xf>
    <xf numFmtId="44" fontId="0" fillId="11" borderId="54" xfId="3" applyFont="1" applyFill="1" applyBorder="1" applyAlignment="1">
      <alignment horizontal="right" vertical="center"/>
    </xf>
    <xf numFmtId="44" fontId="11" fillId="11" borderId="10" xfId="3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44" fontId="0" fillId="11" borderId="9" xfId="10" applyNumberFormat="1" applyFont="1" applyFill="1" applyBorder="1" applyAlignment="1">
      <alignment horizontal="right" vertical="center"/>
    </xf>
    <xf numFmtId="44" fontId="0" fillId="0" borderId="1" xfId="3" applyFont="1" applyFill="1" applyBorder="1" applyAlignment="1">
      <alignment horizontal="right" vertical="center"/>
    </xf>
    <xf numFmtId="44" fontId="0" fillId="0" borderId="11" xfId="10" applyNumberFormat="1" applyFont="1" applyFill="1" applyBorder="1" applyAlignment="1">
      <alignment horizontal="right" vertical="center"/>
    </xf>
    <xf numFmtId="44" fontId="0" fillId="0" borderId="9" xfId="10" applyNumberFormat="1" applyFont="1" applyFill="1" applyBorder="1" applyAlignment="1">
      <alignment horizontal="right" vertical="center"/>
    </xf>
    <xf numFmtId="44" fontId="0" fillId="11" borderId="11" xfId="3" applyFont="1" applyFill="1" applyBorder="1" applyAlignment="1">
      <alignment horizontal="right" vertical="center"/>
    </xf>
    <xf numFmtId="44" fontId="0" fillId="11" borderId="9" xfId="3" applyFont="1" applyFill="1" applyBorder="1" applyAlignment="1">
      <alignment horizontal="right" vertical="center"/>
    </xf>
    <xf numFmtId="44" fontId="0" fillId="11" borderId="11" xfId="10" applyNumberFormat="1" applyFont="1" applyFill="1" applyBorder="1" applyAlignment="1">
      <alignment horizontal="right" vertical="center"/>
    </xf>
    <xf numFmtId="0" fontId="9" fillId="2" borderId="9" xfId="8" applyFont="1" applyFill="1" applyBorder="1" applyAlignment="1">
      <alignment horizontal="right" vertical="center"/>
    </xf>
    <xf numFmtId="44" fontId="11" fillId="11" borderId="11" xfId="3" applyFont="1" applyFill="1" applyBorder="1" applyAlignment="1">
      <alignment horizontal="right" vertical="center"/>
    </xf>
    <xf numFmtId="44" fontId="0" fillId="11" borderId="1" xfId="3" applyFont="1" applyFill="1" applyBorder="1" applyAlignment="1">
      <alignment horizontal="right" vertical="center"/>
    </xf>
    <xf numFmtId="44" fontId="8" fillId="2" borderId="9" xfId="12" applyNumberFormat="1" applyFont="1" applyFill="1" applyBorder="1" applyAlignment="1">
      <alignment horizontal="right" vertical="center"/>
    </xf>
    <xf numFmtId="0" fontId="9" fillId="0" borderId="1" xfId="8" applyFont="1" applyBorder="1" applyAlignment="1">
      <alignment horizontal="right" vertical="center"/>
    </xf>
    <xf numFmtId="0" fontId="23" fillId="0" borderId="10" xfId="8" applyFont="1" applyBorder="1" applyAlignment="1">
      <alignment horizontal="right" vertical="center"/>
    </xf>
    <xf numFmtId="0" fontId="0" fillId="2" borderId="0" xfId="0" applyFont="1" applyFill="1" applyBorder="1" applyAlignment="1">
      <alignment horizontal="right" vertical="center"/>
    </xf>
    <xf numFmtId="44" fontId="0" fillId="11" borderId="10" xfId="10" applyNumberFormat="1" applyFont="1" applyFill="1" applyBorder="1" applyAlignment="1">
      <alignment horizontal="right" vertical="center"/>
    </xf>
    <xf numFmtId="0" fontId="9" fillId="0" borderId="10" xfId="8" applyFont="1" applyBorder="1" applyAlignment="1">
      <alignment horizontal="right" vertical="center"/>
    </xf>
    <xf numFmtId="0" fontId="4" fillId="0" borderId="11" xfId="4" applyFont="1" applyFill="1" applyBorder="1" applyAlignment="1">
      <alignment horizontal="right" vertical="center"/>
    </xf>
    <xf numFmtId="0" fontId="4" fillId="0" borderId="1" xfId="4" applyFont="1" applyFill="1" applyBorder="1" applyAlignment="1">
      <alignment horizontal="right" vertical="center"/>
    </xf>
    <xf numFmtId="0" fontId="9" fillId="11" borderId="0" xfId="8" applyFont="1" applyFill="1" applyBorder="1" applyAlignment="1">
      <alignment horizontal="right" vertical="center"/>
    </xf>
    <xf numFmtId="0" fontId="9" fillId="0" borderId="0" xfId="8" applyFont="1" applyBorder="1" applyAlignment="1">
      <alignment horizontal="right" vertical="center"/>
    </xf>
    <xf numFmtId="0" fontId="9" fillId="0" borderId="22" xfId="8" applyFont="1" applyBorder="1" applyAlignment="1">
      <alignment horizontal="right" vertical="center"/>
    </xf>
    <xf numFmtId="44" fontId="0" fillId="11" borderId="10" xfId="12" applyNumberFormat="1" applyFont="1" applyFill="1" applyBorder="1" applyAlignment="1">
      <alignment horizontal="right" vertical="center"/>
    </xf>
    <xf numFmtId="44" fontId="0" fillId="11" borderId="1" xfId="12" applyNumberFormat="1" applyFont="1" applyFill="1" applyBorder="1" applyAlignment="1">
      <alignment horizontal="right" vertical="center"/>
    </xf>
    <xf numFmtId="0" fontId="0" fillId="2" borderId="11" xfId="0" applyFont="1" applyFill="1" applyBorder="1" applyAlignment="1">
      <alignment horizontal="right" vertical="center"/>
    </xf>
    <xf numFmtId="0" fontId="9" fillId="0" borderId="5" xfId="8" applyFont="1" applyBorder="1" applyAlignment="1">
      <alignment horizontal="right" vertical="center"/>
    </xf>
    <xf numFmtId="0" fontId="0" fillId="2" borderId="0" xfId="8" applyFont="1" applyFill="1" applyBorder="1" applyAlignment="1">
      <alignment horizontal="right" vertical="center"/>
    </xf>
    <xf numFmtId="44" fontId="0" fillId="11" borderId="11" xfId="12" applyNumberFormat="1" applyFont="1" applyFill="1" applyBorder="1" applyAlignment="1">
      <alignment horizontal="right" vertical="center"/>
    </xf>
    <xf numFmtId="0" fontId="9" fillId="0" borderId="1" xfId="8" applyFont="1" applyFill="1" applyBorder="1" applyAlignment="1">
      <alignment horizontal="right" vertical="center"/>
    </xf>
    <xf numFmtId="0" fontId="9" fillId="0" borderId="9" xfId="8" applyFont="1" applyBorder="1" applyAlignment="1">
      <alignment horizontal="right" vertical="center"/>
    </xf>
    <xf numFmtId="0" fontId="9" fillId="0" borderId="11" xfId="8" applyFont="1" applyBorder="1" applyAlignment="1">
      <alignment horizontal="right" vertical="center"/>
    </xf>
    <xf numFmtId="0" fontId="0" fillId="2" borderId="0" xfId="12" applyFont="1" applyFill="1" applyBorder="1" applyAlignment="1">
      <alignment horizontal="right" vertical="center"/>
    </xf>
    <xf numFmtId="44" fontId="0" fillId="2" borderId="9" xfId="3" applyFont="1" applyFill="1" applyBorder="1" applyAlignment="1">
      <alignment horizontal="right" vertical="center"/>
    </xf>
    <xf numFmtId="0" fontId="9" fillId="2" borderId="10" xfId="8" applyFont="1" applyFill="1" applyBorder="1" applyAlignment="1">
      <alignment horizontal="right" vertical="center"/>
    </xf>
    <xf numFmtId="44" fontId="0" fillId="11" borderId="55" xfId="3" applyFont="1" applyFill="1" applyBorder="1" applyAlignment="1">
      <alignment horizontal="right" vertical="center"/>
    </xf>
    <xf numFmtId="0" fontId="9" fillId="0" borderId="11" xfId="8" applyBorder="1"/>
    <xf numFmtId="0" fontId="9" fillId="0" borderId="11" xfId="8" applyFill="1" applyBorder="1" applyAlignment="1">
      <alignment horizontal="left"/>
    </xf>
    <xf numFmtId="0" fontId="9" fillId="0" borderId="1" xfId="8" applyFill="1" applyBorder="1" applyAlignment="1">
      <alignment horizontal="left"/>
    </xf>
    <xf numFmtId="44" fontId="9" fillId="0" borderId="1" xfId="8" applyNumberFormat="1" applyFill="1" applyBorder="1" applyAlignment="1"/>
    <xf numFmtId="0" fontId="9" fillId="0" borderId="10" xfId="8" applyFill="1" applyBorder="1" applyAlignment="1">
      <alignment horizontal="left"/>
    </xf>
    <xf numFmtId="0" fontId="9" fillId="0" borderId="1" xfId="8" applyFill="1" applyBorder="1" applyAlignment="1"/>
    <xf numFmtId="0" fontId="9" fillId="0" borderId="9" xfId="8" applyFill="1" applyBorder="1" applyAlignment="1">
      <alignment horizontal="left"/>
    </xf>
    <xf numFmtId="0" fontId="9" fillId="2" borderId="9" xfId="8" applyFill="1" applyBorder="1" applyAlignment="1">
      <alignment horizontal="left"/>
    </xf>
    <xf numFmtId="44" fontId="0" fillId="11" borderId="0" xfId="3" applyFont="1" applyFill="1"/>
    <xf numFmtId="0" fontId="9" fillId="0" borderId="11" xfId="8" applyBorder="1" applyAlignment="1">
      <alignment horizontal="left"/>
    </xf>
    <xf numFmtId="0" fontId="21" fillId="12" borderId="19" xfId="0" applyFont="1" applyFill="1" applyBorder="1" applyAlignment="1">
      <alignment horizontal="center" vertical="center"/>
    </xf>
    <xf numFmtId="0" fontId="21" fillId="12" borderId="13" xfId="0" applyFont="1" applyFill="1" applyBorder="1" applyAlignment="1">
      <alignment horizontal="center" vertical="center"/>
    </xf>
    <xf numFmtId="0" fontId="21" fillId="12" borderId="16" xfId="0" applyFont="1" applyFill="1" applyBorder="1" applyAlignment="1">
      <alignment horizontal="center" vertical="center"/>
    </xf>
    <xf numFmtId="0" fontId="12" fillId="14" borderId="15" xfId="0" applyFont="1" applyFill="1" applyBorder="1" applyAlignment="1">
      <alignment horizontal="center" vertical="center"/>
    </xf>
    <xf numFmtId="0" fontId="12" fillId="14" borderId="13" xfId="0" applyFont="1" applyFill="1" applyBorder="1" applyAlignment="1">
      <alignment horizontal="center" vertical="center"/>
    </xf>
    <xf numFmtId="0" fontId="12" fillId="14" borderId="16" xfId="0" applyFont="1" applyFill="1" applyBorder="1" applyAlignment="1">
      <alignment horizontal="center" vertical="center"/>
    </xf>
    <xf numFmtId="0" fontId="12" fillId="14" borderId="19" xfId="0" applyFont="1" applyFill="1" applyBorder="1" applyAlignment="1">
      <alignment horizontal="center" vertical="center"/>
    </xf>
    <xf numFmtId="44" fontId="0" fillId="2" borderId="1" xfId="3" applyFont="1" applyFill="1" applyBorder="1" applyAlignment="1">
      <alignment horizontal="center"/>
    </xf>
    <xf numFmtId="44" fontId="0" fillId="2" borderId="2" xfId="3" applyFont="1" applyFill="1" applyBorder="1" applyAlignment="1">
      <alignment horizontal="center"/>
    </xf>
    <xf numFmtId="44" fontId="0" fillId="2" borderId="5" xfId="3" applyFont="1" applyFill="1" applyBorder="1" applyAlignment="1">
      <alignment horizontal="center"/>
    </xf>
    <xf numFmtId="44" fontId="0" fillId="2" borderId="3" xfId="3" applyFont="1" applyFill="1" applyBorder="1" applyAlignment="1">
      <alignment horizontal="center"/>
    </xf>
    <xf numFmtId="44" fontId="12" fillId="14" borderId="19" xfId="3" applyFont="1" applyFill="1" applyBorder="1" applyAlignment="1">
      <alignment horizontal="center" vertical="center"/>
    </xf>
    <xf numFmtId="44" fontId="12" fillId="14" borderId="13" xfId="3" applyFont="1" applyFill="1" applyBorder="1" applyAlignment="1">
      <alignment horizontal="center" vertical="center"/>
    </xf>
    <xf numFmtId="44" fontId="12" fillId="14" borderId="16" xfId="3" applyFont="1" applyFill="1" applyBorder="1" applyAlignment="1">
      <alignment horizontal="center" vertical="center"/>
    </xf>
    <xf numFmtId="0" fontId="4" fillId="2" borderId="1" xfId="10" applyFont="1" applyFill="1" applyBorder="1" applyAlignment="1">
      <alignment horizontal="center" vertical="center"/>
    </xf>
    <xf numFmtId="0" fontId="15" fillId="7" borderId="1" xfId="6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/>
    <xf numFmtId="0" fontId="11" fillId="2" borderId="9" xfId="5" applyFont="1" applyFill="1" applyBorder="1" applyAlignment="1">
      <alignment horizontal="center" vertical="center"/>
    </xf>
    <xf numFmtId="0" fontId="11" fillId="2" borderId="10" xfId="5" applyFont="1" applyFill="1" applyBorder="1" applyAlignment="1">
      <alignment horizontal="center" vertical="center"/>
    </xf>
    <xf numFmtId="0" fontId="11" fillId="2" borderId="11" xfId="5" applyFont="1" applyFill="1" applyBorder="1" applyAlignment="1">
      <alignment horizontal="center" vertical="center"/>
    </xf>
    <xf numFmtId="0" fontId="1" fillId="7" borderId="1" xfId="6" applyFont="1" applyFill="1" applyBorder="1" applyAlignment="1">
      <alignment horizontal="center"/>
    </xf>
    <xf numFmtId="0" fontId="7" fillId="7" borderId="1" xfId="6" applyFill="1" applyBorder="1" applyAlignment="1">
      <alignment horizontal="center"/>
    </xf>
    <xf numFmtId="0" fontId="22" fillId="10" borderId="19" xfId="0" applyFont="1" applyFill="1" applyBorder="1" applyAlignment="1">
      <alignment horizontal="center"/>
    </xf>
    <xf numFmtId="0" fontId="22" fillId="10" borderId="13" xfId="0" applyFont="1" applyFill="1" applyBorder="1" applyAlignment="1">
      <alignment horizontal="center"/>
    </xf>
    <xf numFmtId="0" fontId="22" fillId="10" borderId="16" xfId="0" applyFont="1" applyFill="1" applyBorder="1" applyAlignment="1">
      <alignment horizontal="center"/>
    </xf>
    <xf numFmtId="0" fontId="11" fillId="2" borderId="1" xfId="4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15" fillId="7" borderId="41" xfId="6" applyFont="1" applyFill="1" applyBorder="1" applyAlignment="1">
      <alignment horizontal="center"/>
    </xf>
    <xf numFmtId="0" fontId="15" fillId="7" borderId="42" xfId="6" applyFont="1" applyFill="1" applyBorder="1" applyAlignment="1">
      <alignment horizontal="center"/>
    </xf>
    <xf numFmtId="0" fontId="0" fillId="7" borderId="19" xfId="0" applyFont="1" applyFill="1" applyBorder="1" applyAlignment="1">
      <alignment horizontal="left"/>
    </xf>
    <xf numFmtId="0" fontId="0" fillId="7" borderId="13" xfId="0" applyFont="1" applyFill="1" applyBorder="1" applyAlignment="1">
      <alignment horizontal="left"/>
    </xf>
    <xf numFmtId="0" fontId="0" fillId="7" borderId="16" xfId="0" applyFont="1" applyFill="1" applyBorder="1" applyAlignment="1">
      <alignment horizontal="left"/>
    </xf>
    <xf numFmtId="0" fontId="11" fillId="2" borderId="56" xfId="5" applyFont="1" applyFill="1" applyBorder="1" applyAlignment="1">
      <alignment horizontal="center" vertical="center"/>
    </xf>
    <xf numFmtId="0" fontId="11" fillId="2" borderId="36" xfId="5" applyFont="1" applyFill="1" applyBorder="1" applyAlignment="1">
      <alignment horizontal="center" vertical="center"/>
    </xf>
    <xf numFmtId="0" fontId="11" fillId="2" borderId="37" xfId="5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5" fillId="7" borderId="38" xfId="6" applyFont="1" applyFill="1" applyBorder="1" applyAlignment="1">
      <alignment horizontal="center"/>
    </xf>
    <xf numFmtId="0" fontId="15" fillId="7" borderId="39" xfId="6" applyFont="1" applyFill="1" applyBorder="1" applyAlignment="1">
      <alignment horizontal="center"/>
    </xf>
    <xf numFmtId="0" fontId="15" fillId="7" borderId="40" xfId="6" applyFont="1" applyFill="1" applyBorder="1" applyAlignment="1">
      <alignment horizontal="center"/>
    </xf>
    <xf numFmtId="0" fontId="0" fillId="7" borderId="59" xfId="0" applyFont="1" applyFill="1" applyBorder="1" applyAlignment="1">
      <alignment horizontal="center"/>
    </xf>
    <xf numFmtId="0" fontId="0" fillId="7" borderId="7" xfId="0" applyFont="1" applyFill="1" applyBorder="1" applyAlignment="1">
      <alignment horizontal="center"/>
    </xf>
    <xf numFmtId="0" fontId="0" fillId="7" borderId="60" xfId="0" applyFont="1" applyFill="1" applyBorder="1" applyAlignment="1">
      <alignment horizontal="center"/>
    </xf>
    <xf numFmtId="0" fontId="0" fillId="7" borderId="8" xfId="0" applyFont="1" applyFill="1" applyBorder="1" applyAlignment="1">
      <alignment horizontal="center"/>
    </xf>
    <xf numFmtId="0" fontId="9" fillId="0" borderId="24" xfId="8" applyFont="1" applyFill="1" applyBorder="1" applyAlignment="1">
      <alignment horizontal="left"/>
    </xf>
    <xf numFmtId="0" fontId="9" fillId="0" borderId="25" xfId="8" applyFont="1" applyFill="1" applyBorder="1" applyAlignment="1">
      <alignment horizontal="left"/>
    </xf>
    <xf numFmtId="0" fontId="9" fillId="0" borderId="12" xfId="8" applyFont="1" applyFill="1" applyBorder="1" applyAlignment="1">
      <alignment horizontal="left"/>
    </xf>
    <xf numFmtId="0" fontId="4" fillId="2" borderId="41" xfId="10" applyFont="1" applyFill="1" applyBorder="1" applyAlignment="1">
      <alignment horizontal="center" vertical="center"/>
    </xf>
    <xf numFmtId="0" fontId="9" fillId="0" borderId="21" xfId="8" applyFont="1" applyFill="1" applyBorder="1" applyAlignment="1">
      <alignment horizontal="left"/>
    </xf>
    <xf numFmtId="0" fontId="9" fillId="0" borderId="22" xfId="8" applyFont="1" applyFill="1" applyBorder="1" applyAlignment="1">
      <alignment horizontal="left"/>
    </xf>
    <xf numFmtId="0" fontId="9" fillId="0" borderId="23" xfId="8" applyFont="1" applyFill="1" applyBorder="1" applyAlignment="1">
      <alignment horizontal="left"/>
    </xf>
    <xf numFmtId="0" fontId="0" fillId="7" borderId="6" xfId="0" applyFont="1" applyFill="1" applyBorder="1" applyAlignment="1">
      <alignment horizontal="left"/>
    </xf>
    <xf numFmtId="0" fontId="0" fillId="7" borderId="7" xfId="0" applyFont="1" applyFill="1" applyBorder="1" applyAlignment="1">
      <alignment horizontal="left"/>
    </xf>
    <xf numFmtId="0" fontId="0" fillId="7" borderId="8" xfId="0" applyFont="1" applyFill="1" applyBorder="1" applyAlignment="1">
      <alignment horizontal="left"/>
    </xf>
    <xf numFmtId="0" fontId="0" fillId="0" borderId="41" xfId="0" applyBorder="1" applyAlignment="1">
      <alignment horizontal="center" vertical="center"/>
    </xf>
    <xf numFmtId="0" fontId="24" fillId="12" borderId="6" xfId="7" applyFont="1" applyFill="1" applyBorder="1" applyAlignment="1">
      <alignment horizontal="center" vertical="center"/>
    </xf>
    <xf numFmtId="0" fontId="24" fillId="12" borderId="7" xfId="7" applyFont="1" applyFill="1" applyBorder="1" applyAlignment="1">
      <alignment horizontal="center" vertical="center"/>
    </xf>
    <xf numFmtId="0" fontId="24" fillId="12" borderId="14" xfId="7" applyFont="1" applyFill="1" applyBorder="1" applyAlignment="1">
      <alignment horizontal="center" vertical="center"/>
    </xf>
    <xf numFmtId="0" fontId="24" fillId="12" borderId="8" xfId="7" applyFont="1" applyFill="1" applyBorder="1" applyAlignment="1">
      <alignment horizontal="center" vertical="center"/>
    </xf>
    <xf numFmtId="0" fontId="12" fillId="15" borderId="2" xfId="0" applyFont="1" applyFill="1" applyBorder="1" applyAlignment="1">
      <alignment horizontal="center" vertical="center"/>
    </xf>
    <xf numFmtId="0" fontId="12" fillId="15" borderId="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31" xfId="8" applyFont="1" applyBorder="1" applyAlignment="1">
      <alignment horizontal="left"/>
    </xf>
    <xf numFmtId="0" fontId="9" fillId="0" borderId="18" xfId="8" applyFont="1" applyBorder="1" applyAlignment="1">
      <alignment horizontal="left"/>
    </xf>
    <xf numFmtId="0" fontId="9" fillId="0" borderId="30" xfId="8" applyFont="1" applyBorder="1" applyAlignment="1">
      <alignment horizontal="center"/>
    </xf>
    <xf numFmtId="0" fontId="9" fillId="0" borderId="0" xfId="8" applyFont="1" applyBorder="1" applyAlignment="1">
      <alignment horizontal="center"/>
    </xf>
    <xf numFmtId="0" fontId="9" fillId="0" borderId="34" xfId="8" applyFont="1" applyBorder="1" applyAlignment="1">
      <alignment horizontal="center"/>
    </xf>
    <xf numFmtId="0" fontId="5" fillId="3" borderId="1" xfId="4" applyBorder="1" applyAlignment="1">
      <alignment horizontal="left"/>
    </xf>
    <xf numFmtId="0" fontId="5" fillId="3" borderId="42" xfId="4" applyBorder="1" applyAlignment="1">
      <alignment horizontal="left"/>
    </xf>
    <xf numFmtId="0" fontId="0" fillId="7" borderId="53" xfId="0" applyFont="1" applyFill="1" applyBorder="1" applyAlignment="1">
      <alignment horizontal="left"/>
    </xf>
    <xf numFmtId="0" fontId="0" fillId="7" borderId="32" xfId="0" applyFont="1" applyFill="1" applyBorder="1" applyAlignment="1">
      <alignment horizontal="left"/>
    </xf>
    <xf numFmtId="0" fontId="0" fillId="7" borderId="35" xfId="0" applyFont="1" applyFill="1" applyBorder="1" applyAlignment="1">
      <alignment horizontal="left"/>
    </xf>
    <xf numFmtId="44" fontId="0" fillId="0" borderId="62" xfId="3" applyFont="1" applyFill="1" applyBorder="1" applyAlignment="1">
      <alignment horizontal="center"/>
    </xf>
    <xf numFmtId="44" fontId="0" fillId="0" borderId="5" xfId="3" applyFont="1" applyFill="1" applyBorder="1" applyAlignment="1">
      <alignment horizontal="center"/>
    </xf>
    <xf numFmtId="44" fontId="0" fillId="0" borderId="61" xfId="3" applyFont="1" applyFill="1" applyBorder="1" applyAlignment="1">
      <alignment horizontal="center"/>
    </xf>
    <xf numFmtId="0" fontId="9" fillId="0" borderId="26" xfId="8" applyFont="1" applyBorder="1" applyAlignment="1">
      <alignment horizontal="left"/>
    </xf>
    <xf numFmtId="0" fontId="9" fillId="0" borderId="45" xfId="8" applyFont="1" applyBorder="1" applyAlignment="1">
      <alignment horizontal="left"/>
    </xf>
    <xf numFmtId="0" fontId="9" fillId="0" borderId="28" xfId="8" applyFont="1" applyBorder="1" applyAlignment="1">
      <alignment horizontal="left"/>
    </xf>
    <xf numFmtId="0" fontId="9" fillId="0" borderId="50" xfId="8" applyFont="1" applyBorder="1" applyAlignment="1">
      <alignment horizontal="left"/>
    </xf>
    <xf numFmtId="0" fontId="9" fillId="0" borderId="27" xfId="8" applyFont="1" applyBorder="1" applyAlignment="1">
      <alignment horizontal="left"/>
    </xf>
    <xf numFmtId="0" fontId="9" fillId="0" borderId="21" xfId="8" applyFont="1" applyBorder="1" applyAlignment="1">
      <alignment horizontal="left" vertical="top"/>
    </xf>
    <xf numFmtId="0" fontId="9" fillId="0" borderId="46" xfId="8" applyFont="1" applyBorder="1" applyAlignment="1">
      <alignment horizontal="left" vertical="top"/>
    </xf>
    <xf numFmtId="0" fontId="7" fillId="7" borderId="41" xfId="6" applyFill="1" applyBorder="1" applyAlignment="1">
      <alignment horizontal="center"/>
    </xf>
    <xf numFmtId="0" fontId="7" fillId="7" borderId="11" xfId="6" applyFill="1" applyBorder="1" applyAlignment="1">
      <alignment horizontal="center"/>
    </xf>
    <xf numFmtId="0" fontId="7" fillId="7" borderId="42" xfId="6" applyFill="1" applyBorder="1" applyAlignment="1">
      <alignment horizontal="center"/>
    </xf>
    <xf numFmtId="0" fontId="1" fillId="7" borderId="41" xfId="6" applyFont="1" applyFill="1" applyBorder="1" applyAlignment="1">
      <alignment horizontal="center"/>
    </xf>
    <xf numFmtId="0" fontId="1" fillId="7" borderId="42" xfId="6" applyFont="1" applyFill="1" applyBorder="1" applyAlignment="1">
      <alignment horizontal="center"/>
    </xf>
    <xf numFmtId="0" fontId="0" fillId="7" borderId="17" xfId="0" applyFont="1" applyFill="1" applyBorder="1" applyAlignment="1">
      <alignment horizontal="left"/>
    </xf>
    <xf numFmtId="0" fontId="4" fillId="2" borderId="23" xfId="10" applyFont="1" applyFill="1" applyBorder="1" applyAlignment="1">
      <alignment horizontal="center" vertical="center"/>
    </xf>
    <xf numFmtId="0" fontId="4" fillId="2" borderId="29" xfId="10" applyFont="1" applyFill="1" applyBorder="1" applyAlignment="1">
      <alignment horizontal="center" vertical="center"/>
    </xf>
    <xf numFmtId="0" fontId="4" fillId="2" borderId="12" xfId="10" applyFont="1" applyFill="1" applyBorder="1" applyAlignment="1">
      <alignment horizontal="center" vertical="center"/>
    </xf>
    <xf numFmtId="0" fontId="9" fillId="0" borderId="2" xfId="8" applyBorder="1" applyAlignment="1">
      <alignment horizontal="left"/>
    </xf>
    <xf numFmtId="0" fontId="9" fillId="0" borderId="5" xfId="8" applyBorder="1" applyAlignment="1">
      <alignment horizontal="left"/>
    </xf>
    <xf numFmtId="0" fontId="9" fillId="0" borderId="61" xfId="8" applyBorder="1" applyAlignment="1">
      <alignment horizontal="left"/>
    </xf>
    <xf numFmtId="0" fontId="9" fillId="0" borderId="26" xfId="8" applyBorder="1" applyAlignment="1">
      <alignment horizontal="left"/>
    </xf>
    <xf numFmtId="0" fontId="9" fillId="0" borderId="27" xfId="8" applyBorder="1" applyAlignment="1">
      <alignment horizontal="left"/>
    </xf>
    <xf numFmtId="0" fontId="9" fillId="0" borderId="45" xfId="8" applyBorder="1" applyAlignment="1">
      <alignment horizontal="left"/>
    </xf>
    <xf numFmtId="0" fontId="5" fillId="7" borderId="19" xfId="4" applyFont="1" applyFill="1" applyBorder="1" applyAlignment="1">
      <alignment horizontal="left"/>
    </xf>
    <xf numFmtId="0" fontId="5" fillId="7" borderId="13" xfId="4" applyFont="1" applyFill="1" applyBorder="1" applyAlignment="1">
      <alignment horizontal="left"/>
    </xf>
    <xf numFmtId="0" fontId="5" fillId="7" borderId="16" xfId="4" applyFont="1" applyFill="1" applyBorder="1" applyAlignment="1">
      <alignment horizontal="left"/>
    </xf>
    <xf numFmtId="0" fontId="9" fillId="0" borderId="14" xfId="8" applyFont="1" applyBorder="1" applyAlignment="1">
      <alignment horizontal="center"/>
    </xf>
    <xf numFmtId="0" fontId="9" fillId="0" borderId="13" xfId="8" applyFont="1" applyBorder="1" applyAlignment="1">
      <alignment horizontal="center"/>
    </xf>
    <xf numFmtId="0" fontId="9" fillId="0" borderId="16" xfId="8" applyFont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44" fontId="11" fillId="0" borderId="17" xfId="3" applyFont="1" applyFill="1" applyBorder="1" applyAlignment="1">
      <alignment horizontal="center" vertical="center"/>
    </xf>
    <xf numFmtId="44" fontId="11" fillId="0" borderId="33" xfId="3" applyFont="1" applyFill="1" applyBorder="1" applyAlignment="1">
      <alignment horizontal="center" vertical="center"/>
    </xf>
    <xf numFmtId="44" fontId="11" fillId="0" borderId="18" xfId="3" applyFont="1" applyFill="1" applyBorder="1" applyAlignment="1">
      <alignment horizontal="center" vertical="center"/>
    </xf>
    <xf numFmtId="44" fontId="11" fillId="0" borderId="62" xfId="3" applyFont="1" applyFill="1" applyBorder="1" applyAlignment="1">
      <alignment horizontal="center" vertical="center"/>
    </xf>
    <xf numFmtId="44" fontId="11" fillId="0" borderId="5" xfId="3" applyFont="1" applyFill="1" applyBorder="1" applyAlignment="1">
      <alignment horizontal="center" vertical="center"/>
    </xf>
    <xf numFmtId="44" fontId="11" fillId="0" borderId="61" xfId="3" applyFont="1" applyFill="1" applyBorder="1" applyAlignment="1">
      <alignment horizontal="center" vertical="center"/>
    </xf>
    <xf numFmtId="44" fontId="0" fillId="0" borderId="19" xfId="3" applyFont="1" applyFill="1" applyBorder="1" applyAlignment="1">
      <alignment horizontal="center"/>
    </xf>
    <xf numFmtId="44" fontId="0" fillId="0" borderId="13" xfId="3" applyFont="1" applyFill="1" applyBorder="1" applyAlignment="1">
      <alignment horizontal="center"/>
    </xf>
    <xf numFmtId="44" fontId="0" fillId="0" borderId="16" xfId="3" applyFont="1" applyFill="1" applyBorder="1" applyAlignment="1">
      <alignment horizontal="center"/>
    </xf>
    <xf numFmtId="0" fontId="0" fillId="7" borderId="19" xfId="4" applyFont="1" applyFill="1" applyBorder="1" applyAlignment="1">
      <alignment horizontal="center"/>
    </xf>
    <xf numFmtId="0" fontId="0" fillId="7" borderId="13" xfId="4" applyFont="1" applyFill="1" applyBorder="1" applyAlignment="1">
      <alignment horizontal="center"/>
    </xf>
    <xf numFmtId="0" fontId="0" fillId="7" borderId="16" xfId="4" applyFont="1" applyFill="1" applyBorder="1" applyAlignment="1">
      <alignment horizontal="center"/>
    </xf>
    <xf numFmtId="0" fontId="9" fillId="2" borderId="14" xfId="8" applyFont="1" applyFill="1" applyBorder="1" applyAlignment="1">
      <alignment horizontal="left"/>
    </xf>
    <xf numFmtId="0" fontId="9" fillId="2" borderId="13" xfId="8" applyFont="1" applyFill="1" applyBorder="1" applyAlignment="1">
      <alignment horizontal="left"/>
    </xf>
    <xf numFmtId="0" fontId="9" fillId="2" borderId="16" xfId="8" applyFont="1" applyFill="1" applyBorder="1" applyAlignment="1">
      <alignment horizontal="left"/>
    </xf>
    <xf numFmtId="0" fontId="0" fillId="7" borderId="19" xfId="0" applyFont="1" applyFill="1" applyBorder="1" applyAlignment="1">
      <alignment horizontal="center"/>
    </xf>
    <xf numFmtId="0" fontId="0" fillId="7" borderId="13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0" fillId="0" borderId="41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4" fillId="2" borderId="41" xfId="4" applyFont="1" applyFill="1" applyBorder="1" applyAlignment="1">
      <alignment horizontal="center" vertical="center"/>
    </xf>
    <xf numFmtId="0" fontId="7" fillId="7" borderId="19" xfId="6" applyFont="1" applyFill="1" applyBorder="1" applyAlignment="1">
      <alignment horizontal="left"/>
    </xf>
    <xf numFmtId="0" fontId="7" fillId="7" borderId="13" xfId="6" applyFont="1" applyFill="1" applyBorder="1" applyAlignment="1">
      <alignment horizontal="left"/>
    </xf>
    <xf numFmtId="0" fontId="7" fillId="7" borderId="16" xfId="6" applyFont="1" applyFill="1" applyBorder="1" applyAlignment="1">
      <alignment horizontal="left"/>
    </xf>
    <xf numFmtId="0" fontId="9" fillId="0" borderId="26" xfId="8" applyFont="1" applyBorder="1" applyAlignment="1">
      <alignment horizontal="center"/>
    </xf>
    <xf numFmtId="0" fontId="9" fillId="0" borderId="45" xfId="8" applyFont="1" applyBorder="1" applyAlignment="1">
      <alignment horizontal="center"/>
    </xf>
    <xf numFmtId="0" fontId="9" fillId="2" borderId="14" xfId="8" applyFont="1" applyFill="1" applyBorder="1" applyAlignment="1">
      <alignment horizontal="center"/>
    </xf>
    <xf numFmtId="0" fontId="9" fillId="2" borderId="13" xfId="8" applyFont="1" applyFill="1" applyBorder="1" applyAlignment="1">
      <alignment horizontal="center"/>
    </xf>
    <xf numFmtId="0" fontId="9" fillId="2" borderId="16" xfId="8" applyFont="1" applyFill="1" applyBorder="1" applyAlignment="1">
      <alignment horizontal="center"/>
    </xf>
    <xf numFmtId="0" fontId="9" fillId="0" borderId="14" xfId="8" applyFont="1" applyBorder="1" applyAlignment="1">
      <alignment horizontal="left"/>
    </xf>
    <xf numFmtId="0" fontId="9" fillId="0" borderId="16" xfId="8" applyFont="1" applyBorder="1" applyAlignment="1">
      <alignment horizontal="left"/>
    </xf>
    <xf numFmtId="0" fontId="11" fillId="2" borderId="41" xfId="4" applyFont="1" applyFill="1" applyBorder="1" applyAlignment="1">
      <alignment horizontal="center" vertical="center"/>
    </xf>
    <xf numFmtId="44" fontId="0" fillId="13" borderId="51" xfId="3" applyFont="1" applyFill="1" applyBorder="1" applyAlignment="1">
      <alignment horizontal="right" vertical="center"/>
    </xf>
    <xf numFmtId="44" fontId="0" fillId="13" borderId="48" xfId="3" applyFont="1" applyFill="1" applyBorder="1" applyAlignment="1">
      <alignment horizontal="right" vertical="center"/>
    </xf>
    <xf numFmtId="44" fontId="0" fillId="11" borderId="59" xfId="3" applyFont="1" applyFill="1" applyBorder="1" applyAlignment="1">
      <alignment horizontal="right" vertical="center"/>
    </xf>
    <xf numFmtId="44" fontId="0" fillId="11" borderId="37" xfId="3" applyFont="1" applyFill="1" applyBorder="1" applyAlignment="1">
      <alignment horizontal="right" vertical="center"/>
    </xf>
    <xf numFmtId="0" fontId="15" fillId="0" borderId="6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7" borderId="62" xfId="6" applyFont="1" applyFill="1" applyBorder="1" applyAlignment="1">
      <alignment horizontal="center"/>
    </xf>
    <xf numFmtId="0" fontId="15" fillId="7" borderId="5" xfId="6" applyFont="1" applyFill="1" applyBorder="1" applyAlignment="1">
      <alignment horizontal="center"/>
    </xf>
    <xf numFmtId="0" fontId="15" fillId="7" borderId="61" xfId="6" applyFont="1" applyFill="1" applyBorder="1" applyAlignment="1">
      <alignment horizontal="center"/>
    </xf>
    <xf numFmtId="44" fontId="7" fillId="7" borderId="19" xfId="3" applyFont="1" applyFill="1" applyBorder="1" applyAlignment="1">
      <alignment horizontal="left"/>
    </xf>
    <xf numFmtId="44" fontId="7" fillId="7" borderId="13" xfId="3" applyFont="1" applyFill="1" applyBorder="1" applyAlignment="1">
      <alignment horizontal="left"/>
    </xf>
    <xf numFmtId="44" fontId="7" fillId="7" borderId="16" xfId="3" applyFont="1" applyFill="1" applyBorder="1" applyAlignment="1">
      <alignment horizontal="left"/>
    </xf>
    <xf numFmtId="44" fontId="0" fillId="13" borderId="49" xfId="3" applyFont="1" applyFill="1" applyBorder="1" applyAlignment="1">
      <alignment horizontal="right" vertical="center"/>
    </xf>
    <xf numFmtId="44" fontId="0" fillId="11" borderId="56" xfId="12" applyNumberFormat="1" applyFont="1" applyFill="1" applyBorder="1" applyAlignment="1">
      <alignment horizontal="right" vertical="center"/>
    </xf>
    <xf numFmtId="44" fontId="0" fillId="11" borderId="36" xfId="12" applyNumberFormat="1" applyFont="1" applyFill="1" applyBorder="1" applyAlignment="1">
      <alignment horizontal="right" vertical="center"/>
    </xf>
    <xf numFmtId="44" fontId="0" fillId="11" borderId="37" xfId="12" applyNumberFormat="1" applyFont="1" applyFill="1" applyBorder="1" applyAlignment="1">
      <alignment horizontal="right" vertical="center"/>
    </xf>
    <xf numFmtId="0" fontId="1" fillId="2" borderId="9" xfId="12" applyFont="1" applyFill="1" applyBorder="1" applyAlignment="1">
      <alignment horizontal="center" vertical="center"/>
    </xf>
    <xf numFmtId="0" fontId="1" fillId="2" borderId="10" xfId="12" applyFont="1" applyFill="1" applyBorder="1" applyAlignment="1">
      <alignment horizontal="center" vertical="center"/>
    </xf>
    <xf numFmtId="0" fontId="1" fillId="2" borderId="11" xfId="12" applyFont="1" applyFill="1" applyBorder="1" applyAlignment="1">
      <alignment horizontal="center" vertical="center"/>
    </xf>
    <xf numFmtId="0" fontId="0" fillId="2" borderId="9" xfId="12" applyFont="1" applyFill="1" applyBorder="1" applyAlignment="1">
      <alignment horizontal="center" vertical="center"/>
    </xf>
    <xf numFmtId="0" fontId="0" fillId="2" borderId="10" xfId="12" applyFont="1" applyFill="1" applyBorder="1" applyAlignment="1">
      <alignment horizontal="center" vertical="center"/>
    </xf>
    <xf numFmtId="0" fontId="0" fillId="2" borderId="11" xfId="12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4" fillId="7" borderId="62" xfId="0" applyFont="1" applyFill="1" applyBorder="1" applyAlignment="1">
      <alignment horizontal="center"/>
    </xf>
    <xf numFmtId="0" fontId="14" fillId="7" borderId="5" xfId="0" applyFont="1" applyFill="1" applyBorder="1" applyAlignment="1">
      <alignment horizontal="center"/>
    </xf>
    <xf numFmtId="0" fontId="14" fillId="7" borderId="61" xfId="0" applyFont="1" applyFill="1" applyBorder="1" applyAlignment="1">
      <alignment horizontal="center"/>
    </xf>
    <xf numFmtId="0" fontId="15" fillId="7" borderId="6" xfId="6" applyFont="1" applyFill="1" applyBorder="1" applyAlignment="1">
      <alignment horizontal="center"/>
    </xf>
    <xf numFmtId="0" fontId="15" fillId="7" borderId="7" xfId="6" applyFont="1" applyFill="1" applyBorder="1" applyAlignment="1">
      <alignment horizontal="center"/>
    </xf>
    <xf numFmtId="0" fontId="15" fillId="7" borderId="8" xfId="6" applyFont="1" applyFill="1" applyBorder="1" applyAlignment="1">
      <alignment horizontal="center"/>
    </xf>
    <xf numFmtId="0" fontId="7" fillId="7" borderId="56" xfId="6" applyFill="1" applyBorder="1" applyAlignment="1">
      <alignment horizontal="center"/>
    </xf>
    <xf numFmtId="0" fontId="7" fillId="7" borderId="37" xfId="6" applyFill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7" borderId="41" xfId="0" applyFont="1" applyFill="1" applyBorder="1" applyAlignment="1">
      <alignment horizontal="center"/>
    </xf>
    <xf numFmtId="0" fontId="14" fillId="7" borderId="42" xfId="0" applyFont="1" applyFill="1" applyBorder="1" applyAlignment="1">
      <alignment horizontal="center"/>
    </xf>
    <xf numFmtId="0" fontId="1" fillId="2" borderId="1" xfId="6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4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" xfId="1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9" xfId="5" applyFont="1" applyFill="1" applyBorder="1" applyAlignment="1">
      <alignment horizontal="center" vertical="center"/>
    </xf>
    <xf numFmtId="0" fontId="0" fillId="2" borderId="10" xfId="5" applyFont="1" applyFill="1" applyBorder="1" applyAlignment="1">
      <alignment horizontal="center" vertical="center"/>
    </xf>
    <xf numFmtId="0" fontId="0" fillId="2" borderId="11" xfId="5" applyFont="1" applyFill="1" applyBorder="1" applyAlignment="1">
      <alignment horizontal="center" vertical="center"/>
    </xf>
  </cellXfs>
  <cellStyles count="13">
    <cellStyle name="60% - Énfasis1" xfId="11" builtinId="32"/>
    <cellStyle name="Buena" xfId="10" builtinId="26"/>
    <cellStyle name="Celda de comprobación" xfId="6" builtinId="23"/>
    <cellStyle name="Énfasis1" xfId="7" builtinId="29"/>
    <cellStyle name="Énfasis2" xfId="12" builtinId="33"/>
    <cellStyle name="Hipervínculo" xfId="8" builtinId="8"/>
    <cellStyle name="Incorrecto" xfId="4" builtinId="27"/>
    <cellStyle name="Moneda" xfId="3" builtinId="4"/>
    <cellStyle name="Moneda 2" xfId="9"/>
    <cellStyle name="Neutral" xfId="5" builtinId="28"/>
    <cellStyle name="Normal" xfId="0" builtinId="0"/>
    <cellStyle name="Normal 2" xfId="2"/>
    <cellStyle name="Normal 2 2" xfId="1"/>
  </cellStyles>
  <dxfs count="0"/>
  <tableStyles count="0" defaultTableStyle="TableStyleMedium9" defaultPivotStyle="PivotStyleLight16"/>
  <colors>
    <mruColors>
      <color rgb="FFFFFF99"/>
      <color rgb="FFCC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195790</xdr:rowOff>
    </xdr:from>
    <xdr:to>
      <xdr:col>29</xdr:col>
      <xdr:colOff>28576</xdr:colOff>
      <xdr:row>4</xdr:row>
      <xdr:rowOff>19050</xdr:rowOff>
    </xdr:to>
    <xdr:sp macro="" textlink="">
      <xdr:nvSpPr>
        <xdr:cNvPr id="2" name="Rectángulo 1"/>
        <xdr:cNvSpPr/>
      </xdr:nvSpPr>
      <xdr:spPr>
        <a:xfrm>
          <a:off x="771525" y="595840"/>
          <a:ext cx="23231476" cy="223310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AR" sz="1200" b="1">
              <a:solidFill>
                <a:schemeClr val="tx1">
                  <a:lumMod val="50000"/>
                  <a:lumOff val="50000"/>
                </a:schemeClr>
              </a:solidFill>
            </a:rPr>
            <a:t>PRECIOS DE COMPR.AR MENDOZA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endahospimed.com.ar/MLA-677207028-venda-cambric-10cm-x-3mt-de-algodon-x-25-u-_JM?utm_source=google&amp;utm_medium=cpc&amp;utm_campaign=darwin_ss" TargetMode="External"/><Relationship Id="rId13" Type="http://schemas.openxmlformats.org/officeDocument/2006/relationships/hyperlink" Target="https://www.tiendasaludonline.com.ar/productos/jeringas-3cc-sin-aguja-novamed-caja-x-100u/" TargetMode="External"/><Relationship Id="rId18" Type="http://schemas.openxmlformats.org/officeDocument/2006/relationships/hyperlink" Target="https://www.tiendahospimed.com.ar/MLA-756022976-histerometro-sims-32-cm-instrumental-quirurgico-_JM" TargetMode="External"/><Relationship Id="rId3" Type="http://schemas.openxmlformats.org/officeDocument/2006/relationships/hyperlink" Target="https://www.lilis.com.ar/collar-de-filadelfia-coltex-mediano" TargetMode="External"/><Relationship Id="rId7" Type="http://schemas.openxmlformats.org/officeDocument/2006/relationships/hyperlink" Target="https://www.tiendasaludonline.com.ar/productos/algodon-hidrofilo-x-500grs-x-10-paq-insumos-xxi/" TargetMode="External"/><Relationship Id="rId12" Type="http://schemas.openxmlformats.org/officeDocument/2006/relationships/hyperlink" Target="https://www.tiendasaludonline.com.ar/productos/jeringas-3-elementos-10cc-s-aguja-medeco-caja-x-100u/" TargetMode="External"/><Relationship Id="rId17" Type="http://schemas.openxmlformats.org/officeDocument/2006/relationships/hyperlink" Target="https://cirugiarex.com.ar/producto/mascara-oxigeno-con-reservorio-adulto-y-pediatrico/" TargetMode="External"/><Relationship Id="rId2" Type="http://schemas.openxmlformats.org/officeDocument/2006/relationships/hyperlink" Target="https://www.tiendasaludonline.com.ar/productos/collar-tipo-filadelfia-s-m-l-body-care/" TargetMode="External"/><Relationship Id="rId16" Type="http://schemas.openxmlformats.org/officeDocument/2006/relationships/hyperlink" Target="https://www.lilis.com.ar/hojas-de-bisturi-ribbel-todos-los-tama-os" TargetMode="External"/><Relationship Id="rId1" Type="http://schemas.openxmlformats.org/officeDocument/2006/relationships/hyperlink" Target="https://www.tiendasaludonline.com.ar/productos/aguja-puncion-lumbar-25g-importada-aurinco/" TargetMode="External"/><Relationship Id="rId6" Type="http://schemas.openxmlformats.org/officeDocument/2006/relationships/hyperlink" Target="https://www.tiendasaludonline.com.ar/productos/algodon-hidrofilo-x-500grs-doncella-x-10u/" TargetMode="External"/><Relationship Id="rId11" Type="http://schemas.openxmlformats.org/officeDocument/2006/relationships/hyperlink" Target="https://www.tiendasaludonline.com.ar/productos/jeringas-3-elementos-sin-aguja-20cc-medeco-caja-x-50u/" TargetMode="External"/><Relationship Id="rId5" Type="http://schemas.openxmlformats.org/officeDocument/2006/relationships/hyperlink" Target="https://www.tiendasaludonline.com.ar/productos/cofias-plizadas-hemoreplente-sms-pack-x-1000unidades/" TargetMode="External"/><Relationship Id="rId15" Type="http://schemas.openxmlformats.org/officeDocument/2006/relationships/hyperlink" Target="https://cirugiarex.com.ar/producto/macrogotero-venosil-s-aguja-tipo-v14/" TargetMode="External"/><Relationship Id="rId10" Type="http://schemas.openxmlformats.org/officeDocument/2006/relationships/hyperlink" Target="https://www.tiendasaludonline.com.ar/productos/jeringas-5cc-sin-aguja-caja-x-100-novamed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tiendasaludonline.com.ar/productos/camisolin-descartabe-azul-hemorrepelente-puno-elastico-sms-30-gr-x-10unidades/" TargetMode="External"/><Relationship Id="rId9" Type="http://schemas.openxmlformats.org/officeDocument/2006/relationships/hyperlink" Target="https://www.lilis.com.ar/gel-neutro-1-2-kg-con-dispenser" TargetMode="External"/><Relationship Id="rId14" Type="http://schemas.openxmlformats.org/officeDocument/2006/relationships/hyperlink" Target="https://www.tiendasaludonline.com.ar/productos/tubo-endotraqueal-con-balon-reforzado-8-0-kangyua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7"/>
  <sheetViews>
    <sheetView showGridLines="0" zoomScaleNormal="100" workbookViewId="0">
      <selection activeCell="F9" sqref="F9"/>
    </sheetView>
  </sheetViews>
  <sheetFormatPr baseColWidth="10" defaultRowHeight="15" x14ac:dyDescent="0.25"/>
  <cols>
    <col min="1" max="1" width="6" style="71" customWidth="1"/>
    <col min="2" max="2" width="13.7109375" style="71" customWidth="1"/>
    <col min="3" max="3" width="45" style="71" customWidth="1"/>
    <col min="4" max="4" width="21.5703125" style="71" customWidth="1"/>
    <col min="5" max="5" width="3.5703125" style="71" customWidth="1"/>
  </cols>
  <sheetData>
    <row r="1" spans="1:29" s="71" customFormat="1" ht="15.75" thickBot="1" x14ac:dyDescent="0.3"/>
    <row r="2" spans="1:29" ht="16.5" thickBot="1" x14ac:dyDescent="0.3">
      <c r="A2" s="532" t="s">
        <v>398</v>
      </c>
      <c r="B2" s="533"/>
      <c r="C2" s="534"/>
      <c r="F2" s="15"/>
      <c r="G2" s="15"/>
      <c r="H2" s="24"/>
      <c r="I2" s="35"/>
      <c r="J2" s="35"/>
      <c r="K2" s="10"/>
      <c r="L2" s="35"/>
      <c r="M2" s="35"/>
      <c r="N2" s="10"/>
      <c r="O2" s="10"/>
      <c r="P2" s="35"/>
      <c r="Q2" s="10"/>
      <c r="R2" s="35"/>
      <c r="S2" s="35"/>
      <c r="T2" s="10"/>
      <c r="U2" s="22"/>
      <c r="V2" s="22"/>
      <c r="W2" s="22"/>
      <c r="X2" s="22"/>
      <c r="Y2" s="22"/>
      <c r="Z2" s="35"/>
      <c r="AA2" s="35"/>
      <c r="AB2" s="35"/>
      <c r="AC2" s="35"/>
    </row>
    <row r="3" spans="1:29" s="71" customFormat="1" ht="15.75" thickBot="1" x14ac:dyDescent="0.3">
      <c r="F3" s="15"/>
      <c r="G3" s="15"/>
      <c r="H3" s="24"/>
      <c r="K3" s="10"/>
      <c r="N3" s="10"/>
      <c r="O3" s="10"/>
      <c r="Q3" s="10"/>
      <c r="T3" s="10"/>
      <c r="U3" s="22"/>
      <c r="V3" s="22"/>
      <c r="W3" s="22"/>
      <c r="X3" s="22"/>
      <c r="Y3" s="22"/>
    </row>
    <row r="4" spans="1:29" ht="15.75" thickBot="1" x14ac:dyDescent="0.3">
      <c r="F4" s="509" t="s">
        <v>387</v>
      </c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1"/>
    </row>
    <row r="5" spans="1:29" ht="15.75" thickBot="1" x14ac:dyDescent="0.3">
      <c r="F5" s="16"/>
      <c r="G5" s="16"/>
      <c r="H5" s="2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21"/>
      <c r="V5" s="21"/>
      <c r="W5" s="21"/>
      <c r="X5" s="21"/>
      <c r="Y5" s="21"/>
      <c r="Z5" s="10"/>
      <c r="AA5" s="10"/>
      <c r="AB5" s="10"/>
      <c r="AC5" s="10"/>
    </row>
    <row r="6" spans="1:29" ht="15.75" thickBot="1" x14ac:dyDescent="0.3">
      <c r="B6" s="67" t="s">
        <v>123</v>
      </c>
      <c r="C6" s="55" t="s">
        <v>124</v>
      </c>
      <c r="D6" s="54" t="s">
        <v>137</v>
      </c>
      <c r="F6" s="515" t="s">
        <v>303</v>
      </c>
      <c r="G6" s="513"/>
      <c r="H6" s="514"/>
      <c r="I6" s="515" t="s">
        <v>304</v>
      </c>
      <c r="J6" s="513"/>
      <c r="K6" s="514"/>
      <c r="L6" s="515" t="s">
        <v>305</v>
      </c>
      <c r="M6" s="513"/>
      <c r="N6" s="514"/>
      <c r="O6" s="515" t="s">
        <v>307</v>
      </c>
      <c r="P6" s="513"/>
      <c r="Q6" s="514"/>
      <c r="R6" s="515" t="s">
        <v>308</v>
      </c>
      <c r="S6" s="513"/>
      <c r="T6" s="514"/>
      <c r="U6" s="520" t="s">
        <v>310</v>
      </c>
      <c r="V6" s="521"/>
      <c r="W6" s="522"/>
      <c r="X6" s="520" t="s">
        <v>311</v>
      </c>
      <c r="Y6" s="521"/>
      <c r="Z6" s="521"/>
      <c r="AA6" s="512" t="s">
        <v>315</v>
      </c>
      <c r="AB6" s="513"/>
      <c r="AC6" s="514"/>
    </row>
    <row r="7" spans="1:29" ht="15.75" thickBot="1" x14ac:dyDescent="0.3">
      <c r="B7" s="526"/>
      <c r="C7" s="526"/>
      <c r="D7" s="526"/>
      <c r="F7" s="62">
        <v>44562</v>
      </c>
      <c r="G7" s="62">
        <v>44593</v>
      </c>
      <c r="H7" s="84">
        <v>44621</v>
      </c>
      <c r="I7" s="62">
        <v>44562</v>
      </c>
      <c r="J7" s="62">
        <v>44593</v>
      </c>
      <c r="K7" s="62">
        <v>44621</v>
      </c>
      <c r="L7" s="62">
        <v>44562</v>
      </c>
      <c r="M7" s="62">
        <v>44593</v>
      </c>
      <c r="N7" s="84">
        <v>44621</v>
      </c>
      <c r="O7" s="62">
        <v>44562</v>
      </c>
      <c r="P7" s="62">
        <v>44593</v>
      </c>
      <c r="Q7" s="62">
        <v>44621</v>
      </c>
      <c r="R7" s="62">
        <v>44562</v>
      </c>
      <c r="S7" s="62">
        <v>44593</v>
      </c>
      <c r="T7" s="84">
        <v>44621</v>
      </c>
      <c r="U7" s="63">
        <v>44562</v>
      </c>
      <c r="V7" s="63">
        <v>44593</v>
      </c>
      <c r="W7" s="62">
        <v>44621</v>
      </c>
      <c r="X7" s="63">
        <v>44562</v>
      </c>
      <c r="Y7" s="63">
        <v>44593</v>
      </c>
      <c r="Z7" s="62">
        <v>44621</v>
      </c>
      <c r="AA7" s="64">
        <v>44562</v>
      </c>
      <c r="AB7" s="64">
        <v>44593</v>
      </c>
      <c r="AC7" s="64">
        <v>44621</v>
      </c>
    </row>
    <row r="8" spans="1:29" x14ac:dyDescent="0.25">
      <c r="B8" s="524" t="s">
        <v>248</v>
      </c>
      <c r="C8" s="524"/>
      <c r="D8" s="524"/>
      <c r="F8" s="16"/>
      <c r="G8" s="16"/>
      <c r="H8" s="2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21"/>
      <c r="V8" s="21"/>
      <c r="W8" s="21"/>
      <c r="X8" s="21"/>
      <c r="Y8" s="21"/>
      <c r="Z8" s="10"/>
      <c r="AA8" s="10"/>
      <c r="AB8" s="10"/>
      <c r="AC8" s="10"/>
    </row>
    <row r="9" spans="1:29" x14ac:dyDescent="0.25">
      <c r="B9" s="73">
        <v>321200019</v>
      </c>
      <c r="C9" s="1" t="s">
        <v>97</v>
      </c>
      <c r="D9" s="40" t="s">
        <v>62</v>
      </c>
      <c r="F9" s="17"/>
      <c r="G9" s="17"/>
      <c r="H9" s="17"/>
      <c r="I9" s="17"/>
      <c r="J9" s="17"/>
      <c r="K9" s="17"/>
      <c r="L9" s="17"/>
      <c r="M9" s="17"/>
      <c r="N9" s="19">
        <v>171.5</v>
      </c>
      <c r="O9" s="17"/>
      <c r="P9" s="17"/>
      <c r="Q9" s="17"/>
      <c r="R9" s="17"/>
      <c r="S9" s="17"/>
      <c r="T9" s="17"/>
      <c r="U9" s="20"/>
      <c r="V9" s="20"/>
      <c r="W9" s="20"/>
      <c r="X9" s="20"/>
      <c r="Y9" s="20"/>
      <c r="Z9" s="20"/>
      <c r="AA9" s="20"/>
      <c r="AB9" s="20"/>
      <c r="AC9" s="20"/>
    </row>
    <row r="10" spans="1:29" x14ac:dyDescent="0.25">
      <c r="B10" s="527">
        <v>320700022</v>
      </c>
      <c r="C10" s="2" t="s">
        <v>266</v>
      </c>
      <c r="D10" s="42" t="s">
        <v>45</v>
      </c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6"/>
      <c r="Y10" s="516"/>
      <c r="Z10" s="516"/>
      <c r="AA10" s="516"/>
      <c r="AB10" s="516"/>
      <c r="AC10" s="516"/>
    </row>
    <row r="11" spans="1:29" x14ac:dyDescent="0.25">
      <c r="B11" s="528"/>
      <c r="C11" s="37" t="s">
        <v>389</v>
      </c>
      <c r="D11" s="36" t="s">
        <v>62</v>
      </c>
      <c r="F11" s="17"/>
      <c r="G11" s="17">
        <v>1.69</v>
      </c>
      <c r="H11" s="17"/>
      <c r="I11" s="17"/>
      <c r="J11" s="23"/>
      <c r="K11" s="23"/>
      <c r="L11" s="17"/>
      <c r="M11" s="17"/>
      <c r="N11" s="17"/>
      <c r="O11" s="17"/>
      <c r="P11" s="17"/>
      <c r="Q11" s="19">
        <v>1.86</v>
      </c>
      <c r="R11" s="17"/>
      <c r="S11" s="17"/>
      <c r="T11" s="19">
        <v>1.52</v>
      </c>
      <c r="U11" s="20"/>
      <c r="V11" s="20"/>
      <c r="W11" s="20"/>
      <c r="X11" s="20"/>
      <c r="Y11" s="20"/>
      <c r="Z11" s="20"/>
      <c r="AA11" s="20"/>
      <c r="AB11" s="20"/>
      <c r="AC11" s="20"/>
    </row>
    <row r="12" spans="1:29" x14ac:dyDescent="0.25">
      <c r="B12" s="528"/>
      <c r="C12" s="37" t="s">
        <v>390</v>
      </c>
      <c r="D12" s="36" t="s">
        <v>62</v>
      </c>
      <c r="F12" s="17"/>
      <c r="G12" s="17"/>
      <c r="H12" s="17"/>
      <c r="I12" s="17"/>
      <c r="J12" s="23"/>
      <c r="K12" s="23"/>
      <c r="L12" s="17"/>
      <c r="M12" s="17"/>
      <c r="N12" s="19">
        <v>1.69</v>
      </c>
      <c r="O12" s="17"/>
      <c r="P12" s="17"/>
      <c r="Q12" s="17"/>
      <c r="R12" s="17"/>
      <c r="S12" s="17"/>
      <c r="T12" s="17"/>
      <c r="U12" s="20"/>
      <c r="V12" s="20"/>
      <c r="W12" s="20"/>
      <c r="X12" s="20"/>
      <c r="Y12" s="20"/>
      <c r="Z12" s="20"/>
      <c r="AA12" s="20"/>
      <c r="AB12" s="20"/>
      <c r="AC12" s="20"/>
    </row>
    <row r="13" spans="1:29" x14ac:dyDescent="0.25">
      <c r="B13" s="528"/>
      <c r="C13" s="37" t="s">
        <v>391</v>
      </c>
      <c r="D13" s="36" t="s">
        <v>62</v>
      </c>
      <c r="F13" s="17"/>
      <c r="G13" s="17">
        <v>1.72</v>
      </c>
      <c r="H13" s="17"/>
      <c r="I13" s="17"/>
      <c r="J13" s="23">
        <v>18.95</v>
      </c>
      <c r="K13" s="23"/>
      <c r="L13" s="17"/>
      <c r="M13" s="17"/>
      <c r="N13" s="19">
        <v>19.89</v>
      </c>
      <c r="O13" s="17"/>
      <c r="P13" s="17">
        <v>1.83</v>
      </c>
      <c r="Q13" s="17"/>
      <c r="R13" s="17">
        <v>1.75</v>
      </c>
      <c r="S13" s="17">
        <v>1.41</v>
      </c>
      <c r="T13" s="17"/>
      <c r="U13" s="20">
        <v>1.76</v>
      </c>
      <c r="V13" s="20"/>
      <c r="W13" s="20"/>
      <c r="X13" s="20"/>
      <c r="Y13" s="20">
        <v>1.8</v>
      </c>
      <c r="Z13" s="20"/>
      <c r="AA13" s="20"/>
      <c r="AB13" s="20"/>
      <c r="AC13" s="20"/>
    </row>
    <row r="14" spans="1:29" x14ac:dyDescent="0.25">
      <c r="B14" s="528"/>
      <c r="C14" s="82" t="s">
        <v>392</v>
      </c>
      <c r="D14" s="83" t="s">
        <v>62</v>
      </c>
      <c r="F14" s="17"/>
      <c r="G14" s="17"/>
      <c r="H14" s="17"/>
      <c r="I14" s="17"/>
      <c r="J14" s="23"/>
      <c r="K14" s="23"/>
      <c r="L14" s="17"/>
      <c r="M14" s="17"/>
      <c r="N14" s="19">
        <v>1.74</v>
      </c>
      <c r="O14" s="17"/>
      <c r="P14" s="17"/>
      <c r="Q14" s="17"/>
      <c r="R14" s="17"/>
      <c r="S14" s="17"/>
      <c r="T14" s="17"/>
      <c r="U14" s="20"/>
      <c r="V14" s="20"/>
      <c r="W14" s="20"/>
      <c r="X14" s="20"/>
      <c r="Y14" s="20"/>
      <c r="Z14" s="20"/>
      <c r="AA14" s="20"/>
      <c r="AB14" s="20"/>
      <c r="AC14" s="20"/>
    </row>
    <row r="15" spans="1:29" x14ac:dyDescent="0.25">
      <c r="B15" s="528"/>
      <c r="C15" s="37" t="s">
        <v>393</v>
      </c>
      <c r="D15" s="36" t="s">
        <v>62</v>
      </c>
      <c r="F15" s="17"/>
      <c r="G15" s="17"/>
      <c r="H15" s="17"/>
      <c r="I15" s="17"/>
      <c r="J15" s="23"/>
      <c r="K15" s="23"/>
      <c r="L15" s="17"/>
      <c r="M15" s="17"/>
      <c r="N15" s="19">
        <v>1.64</v>
      </c>
      <c r="O15" s="17"/>
      <c r="P15" s="17"/>
      <c r="Q15" s="17"/>
      <c r="R15" s="17"/>
      <c r="S15" s="17"/>
      <c r="T15" s="19">
        <v>1.64</v>
      </c>
      <c r="U15" s="20"/>
      <c r="V15" s="20"/>
      <c r="W15" s="20"/>
      <c r="X15" s="20"/>
      <c r="Y15" s="20"/>
      <c r="Z15" s="20"/>
      <c r="AA15" s="20"/>
      <c r="AB15" s="20"/>
      <c r="AC15" s="20"/>
    </row>
    <row r="16" spans="1:29" x14ac:dyDescent="0.25">
      <c r="B16" s="529"/>
      <c r="C16" s="37" t="s">
        <v>394</v>
      </c>
      <c r="D16" s="36" t="s">
        <v>62</v>
      </c>
      <c r="F16" s="17"/>
      <c r="G16" s="17"/>
      <c r="H16" s="17"/>
      <c r="I16" s="17"/>
      <c r="J16" s="23"/>
      <c r="K16" s="23"/>
      <c r="L16" s="17"/>
      <c r="M16" s="17"/>
      <c r="N16" s="17"/>
      <c r="O16" s="17"/>
      <c r="P16" s="17"/>
      <c r="Q16" s="19">
        <v>2.0299999999999998</v>
      </c>
      <c r="R16" s="17"/>
      <c r="S16" s="17"/>
      <c r="T16" s="19">
        <v>2.09</v>
      </c>
      <c r="U16" s="20"/>
      <c r="V16" s="20"/>
      <c r="W16" s="20"/>
      <c r="X16" s="20"/>
      <c r="Y16" s="20"/>
      <c r="Z16" s="20"/>
      <c r="AA16" s="20"/>
      <c r="AB16" s="20"/>
      <c r="AC16" s="20"/>
    </row>
    <row r="17" spans="2:29" x14ac:dyDescent="0.25">
      <c r="B17" s="524" t="s">
        <v>249</v>
      </c>
      <c r="C17" s="524"/>
      <c r="D17" s="524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516"/>
      <c r="Z17" s="516"/>
      <c r="AA17" s="516"/>
      <c r="AB17" s="516"/>
      <c r="AC17" s="516"/>
    </row>
    <row r="18" spans="2:29" x14ac:dyDescent="0.25">
      <c r="B18" s="525">
        <v>31290027</v>
      </c>
      <c r="C18" s="3" t="s">
        <v>42</v>
      </c>
      <c r="D18" s="43" t="s">
        <v>43</v>
      </c>
      <c r="F18" s="17"/>
      <c r="G18" s="17">
        <v>164.43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20"/>
      <c r="V18" s="20"/>
      <c r="W18" s="20"/>
      <c r="X18" s="20"/>
      <c r="Y18" s="20"/>
      <c r="Z18" s="20"/>
      <c r="AA18" s="20"/>
      <c r="AB18" s="20"/>
      <c r="AC18" s="20"/>
    </row>
    <row r="19" spans="2:29" x14ac:dyDescent="0.25">
      <c r="B19" s="525"/>
      <c r="C19" s="3" t="s">
        <v>40</v>
      </c>
      <c r="D19" s="43" t="s">
        <v>41</v>
      </c>
      <c r="F19" s="17"/>
      <c r="G19" s="17">
        <v>186</v>
      </c>
      <c r="H19" s="17"/>
      <c r="I19" s="17"/>
      <c r="J19" s="17"/>
      <c r="K19" s="17"/>
      <c r="L19" s="17">
        <v>198.6</v>
      </c>
      <c r="M19" s="17"/>
      <c r="N19" s="17"/>
      <c r="O19" s="17"/>
      <c r="P19" s="17"/>
      <c r="Q19" s="17"/>
      <c r="R19" s="17"/>
      <c r="S19" s="17"/>
      <c r="T19" s="17"/>
      <c r="U19" s="20">
        <v>188.18</v>
      </c>
      <c r="V19" s="20"/>
      <c r="W19" s="20"/>
      <c r="X19" s="20">
        <v>189.72</v>
      </c>
      <c r="Y19" s="20">
        <v>186.61</v>
      </c>
      <c r="Z19" s="20"/>
      <c r="AA19" s="20"/>
      <c r="AB19" s="20"/>
      <c r="AC19" s="20"/>
    </row>
    <row r="20" spans="2:29" x14ac:dyDescent="0.25">
      <c r="B20" s="524" t="s">
        <v>250</v>
      </c>
      <c r="C20" s="524"/>
      <c r="D20" s="524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6"/>
      <c r="Q20" s="516"/>
      <c r="R20" s="516"/>
      <c r="S20" s="516"/>
      <c r="T20" s="516"/>
      <c r="U20" s="516"/>
      <c r="V20" s="516"/>
      <c r="W20" s="516"/>
      <c r="X20" s="516"/>
      <c r="Y20" s="516"/>
      <c r="Z20" s="516"/>
      <c r="AA20" s="516"/>
      <c r="AB20" s="516"/>
      <c r="AC20" s="516"/>
    </row>
    <row r="21" spans="2:29" x14ac:dyDescent="0.25">
      <c r="B21" s="523">
        <v>32020001</v>
      </c>
      <c r="C21" s="1" t="s">
        <v>51</v>
      </c>
      <c r="D21" s="40" t="s">
        <v>52</v>
      </c>
      <c r="F21" s="17"/>
      <c r="G21" s="17">
        <v>249.89</v>
      </c>
      <c r="H21" s="17"/>
      <c r="I21" s="17"/>
      <c r="J21" s="17">
        <v>238</v>
      </c>
      <c r="K21" s="17"/>
      <c r="L21" s="17"/>
      <c r="M21" s="17"/>
      <c r="N21" s="19">
        <v>279.22000000000003</v>
      </c>
      <c r="O21" s="17"/>
      <c r="P21" s="17"/>
      <c r="Q21" s="17"/>
      <c r="R21" s="17">
        <v>239.76</v>
      </c>
      <c r="S21" s="17">
        <v>305.89</v>
      </c>
      <c r="T21" s="17"/>
      <c r="U21" s="20">
        <v>264.92</v>
      </c>
      <c r="V21" s="20"/>
      <c r="W21" s="20"/>
      <c r="X21" s="20">
        <v>248.96</v>
      </c>
      <c r="Y21" s="20">
        <v>296.3</v>
      </c>
      <c r="Z21" s="20"/>
      <c r="AA21" s="20"/>
      <c r="AB21" s="20"/>
      <c r="AC21" s="20"/>
    </row>
    <row r="22" spans="2:29" x14ac:dyDescent="0.25">
      <c r="B22" s="523"/>
      <c r="C22" s="12" t="s">
        <v>67</v>
      </c>
      <c r="D22" s="44" t="s">
        <v>68</v>
      </c>
      <c r="F22" s="17"/>
      <c r="G22" s="17"/>
      <c r="H22" s="19">
        <v>45.49</v>
      </c>
      <c r="I22" s="17"/>
      <c r="J22" s="17"/>
      <c r="K22" s="17"/>
      <c r="L22" s="17"/>
      <c r="M22" s="17"/>
      <c r="N22" s="19">
        <v>52.1</v>
      </c>
      <c r="O22" s="17"/>
      <c r="P22" s="17">
        <v>45.86</v>
      </c>
      <c r="Q22" s="17"/>
      <c r="R22" s="17">
        <v>42.55</v>
      </c>
      <c r="S22" s="17"/>
      <c r="T22" s="17"/>
      <c r="U22" s="20"/>
      <c r="V22" s="20"/>
      <c r="W22" s="20"/>
      <c r="X22" s="20"/>
      <c r="Y22" s="20"/>
      <c r="Z22" s="20"/>
      <c r="AA22" s="20"/>
      <c r="AB22" s="20"/>
      <c r="AC22" s="20"/>
    </row>
    <row r="23" spans="2:29" x14ac:dyDescent="0.25">
      <c r="B23" s="524" t="s">
        <v>274</v>
      </c>
      <c r="C23" s="524"/>
      <c r="D23" s="524"/>
      <c r="F23" s="516"/>
      <c r="G23" s="516"/>
      <c r="H23" s="516"/>
      <c r="I23" s="516"/>
      <c r="J23" s="516"/>
      <c r="K23" s="516"/>
      <c r="L23" s="516"/>
      <c r="M23" s="516"/>
      <c r="N23" s="516"/>
      <c r="O23" s="516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16"/>
      <c r="AA23" s="516"/>
      <c r="AB23" s="516"/>
      <c r="AC23" s="516"/>
    </row>
    <row r="24" spans="2:29" x14ac:dyDescent="0.25">
      <c r="B24" s="525">
        <v>321000014</v>
      </c>
      <c r="C24" s="3" t="s">
        <v>93</v>
      </c>
      <c r="D24" s="43" t="s">
        <v>45</v>
      </c>
      <c r="F24" s="17">
        <v>39.1</v>
      </c>
      <c r="G24" s="17">
        <v>39.1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>
        <v>173.99</v>
      </c>
      <c r="T24" s="17"/>
      <c r="U24" s="20"/>
      <c r="V24" s="20"/>
      <c r="W24" s="20"/>
      <c r="X24" s="20"/>
      <c r="Y24" s="20"/>
      <c r="Z24" s="20"/>
      <c r="AA24" s="20"/>
      <c r="AB24" s="20"/>
      <c r="AC24" s="20"/>
    </row>
    <row r="25" spans="2:29" x14ac:dyDescent="0.25">
      <c r="B25" s="525"/>
      <c r="C25" s="3" t="s">
        <v>94</v>
      </c>
      <c r="D25" s="43" t="s">
        <v>62</v>
      </c>
      <c r="F25" s="17"/>
      <c r="G25" s="17"/>
      <c r="H25" s="19">
        <v>340.29</v>
      </c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20"/>
      <c r="V25" s="20"/>
      <c r="W25" s="20"/>
      <c r="X25" s="20"/>
      <c r="Y25" s="20"/>
      <c r="Z25" s="20"/>
      <c r="AA25" s="20"/>
      <c r="AB25" s="20"/>
      <c r="AC25" s="20"/>
    </row>
    <row r="26" spans="2:29" x14ac:dyDescent="0.25">
      <c r="B26" s="525">
        <v>32020007</v>
      </c>
      <c r="C26" s="3" t="s">
        <v>63</v>
      </c>
      <c r="D26" s="43" t="s">
        <v>45</v>
      </c>
      <c r="F26" s="17"/>
      <c r="G26" s="17"/>
      <c r="H26" s="17"/>
      <c r="I26" s="17"/>
      <c r="J26" s="17">
        <v>20.41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20"/>
      <c r="V26" s="20"/>
      <c r="W26" s="20"/>
      <c r="X26" s="20"/>
      <c r="Y26" s="20"/>
      <c r="Z26" s="20"/>
      <c r="AA26" s="20"/>
      <c r="AB26" s="20"/>
      <c r="AC26" s="20"/>
    </row>
    <row r="27" spans="2:29" x14ac:dyDescent="0.25">
      <c r="B27" s="525"/>
      <c r="C27" s="4" t="s">
        <v>61</v>
      </c>
      <c r="D27" s="45" t="s">
        <v>62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>
        <v>81.41</v>
      </c>
      <c r="Q27" s="17"/>
      <c r="R27" s="17"/>
      <c r="S27" s="17"/>
      <c r="T27" s="17"/>
      <c r="U27" s="20"/>
      <c r="V27" s="20"/>
      <c r="W27" s="20"/>
      <c r="X27" s="20"/>
      <c r="Y27" s="20"/>
      <c r="Z27" s="20"/>
      <c r="AA27" s="20"/>
      <c r="AB27" s="20"/>
      <c r="AC27" s="20"/>
    </row>
    <row r="28" spans="2:29" x14ac:dyDescent="0.25">
      <c r="B28" s="524" t="s">
        <v>251</v>
      </c>
      <c r="C28" s="524"/>
      <c r="D28" s="524"/>
      <c r="F28" s="516"/>
      <c r="G28" s="516"/>
      <c r="H28" s="516"/>
      <c r="I28" s="516"/>
      <c r="J28" s="516"/>
      <c r="K28" s="516"/>
      <c r="L28" s="516"/>
      <c r="M28" s="516"/>
      <c r="N28" s="516"/>
      <c r="O28" s="516"/>
      <c r="P28" s="516"/>
      <c r="Q28" s="516"/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</row>
    <row r="29" spans="2:29" x14ac:dyDescent="0.25">
      <c r="B29" s="525">
        <v>32090001</v>
      </c>
      <c r="C29" s="3" t="s">
        <v>12</v>
      </c>
      <c r="D29" s="43" t="s">
        <v>84</v>
      </c>
      <c r="F29" s="18"/>
      <c r="G29" s="17"/>
      <c r="H29" s="17"/>
      <c r="I29" s="17"/>
      <c r="J29" s="18"/>
      <c r="K29" s="18"/>
      <c r="L29" s="17"/>
      <c r="M29" s="17"/>
      <c r="N29" s="17"/>
      <c r="O29" s="17"/>
      <c r="P29" s="17"/>
      <c r="Q29" s="17"/>
      <c r="R29" s="17"/>
      <c r="S29" s="17"/>
      <c r="T29" s="17"/>
      <c r="U29" s="20"/>
      <c r="V29" s="20"/>
      <c r="W29" s="20"/>
      <c r="X29" s="20"/>
      <c r="Y29" s="20"/>
      <c r="Z29" s="20"/>
      <c r="AA29" s="20">
        <v>103.86</v>
      </c>
      <c r="AB29" s="20"/>
      <c r="AC29" s="20"/>
    </row>
    <row r="30" spans="2:29" x14ac:dyDescent="0.25">
      <c r="B30" s="525"/>
      <c r="C30" s="3" t="s">
        <v>202</v>
      </c>
      <c r="D30" s="43" t="s">
        <v>84</v>
      </c>
      <c r="F30" s="18"/>
      <c r="G30" s="17"/>
      <c r="H30" s="17"/>
      <c r="I30" s="17"/>
      <c r="J30" s="18"/>
      <c r="K30" s="18"/>
      <c r="L30" s="17"/>
      <c r="M30" s="17"/>
      <c r="N30" s="17"/>
      <c r="O30" s="17"/>
      <c r="P30" s="17"/>
      <c r="Q30" s="17"/>
      <c r="R30" s="17"/>
      <c r="S30" s="17"/>
      <c r="T30" s="17"/>
      <c r="U30" s="20"/>
      <c r="V30" s="20"/>
      <c r="W30" s="20"/>
      <c r="X30" s="20"/>
      <c r="Y30" s="20"/>
      <c r="Z30" s="20"/>
      <c r="AA30" s="20">
        <v>134</v>
      </c>
      <c r="AB30" s="20"/>
      <c r="AC30" s="20"/>
    </row>
    <row r="31" spans="2:29" x14ac:dyDescent="0.25">
      <c r="B31" s="524" t="s">
        <v>275</v>
      </c>
      <c r="C31" s="524"/>
      <c r="D31" s="524"/>
      <c r="F31" s="516"/>
      <c r="G31" s="516"/>
      <c r="H31" s="516"/>
      <c r="I31" s="516"/>
      <c r="J31" s="516"/>
      <c r="K31" s="516"/>
      <c r="L31" s="516"/>
      <c r="M31" s="516"/>
      <c r="N31" s="516"/>
      <c r="O31" s="516"/>
      <c r="P31" s="516"/>
      <c r="Q31" s="516"/>
      <c r="R31" s="516"/>
      <c r="S31" s="516"/>
      <c r="T31" s="516"/>
      <c r="U31" s="516"/>
      <c r="V31" s="516"/>
      <c r="W31" s="516"/>
      <c r="X31" s="516"/>
      <c r="Y31" s="516"/>
      <c r="Z31" s="516"/>
      <c r="AA31" s="516"/>
      <c r="AB31" s="516"/>
      <c r="AC31" s="516"/>
    </row>
    <row r="32" spans="2:29" x14ac:dyDescent="0.25">
      <c r="B32" s="72">
        <v>32010001</v>
      </c>
      <c r="C32" s="3" t="s">
        <v>44</v>
      </c>
      <c r="D32" s="43" t="s">
        <v>45</v>
      </c>
      <c r="F32" s="17"/>
      <c r="G32" s="17"/>
      <c r="H32" s="17"/>
      <c r="I32" s="17"/>
      <c r="J32" s="17"/>
      <c r="K32" s="17"/>
      <c r="L32" s="17">
        <v>6.16</v>
      </c>
      <c r="M32" s="17"/>
      <c r="N32" s="17"/>
      <c r="O32" s="17"/>
      <c r="P32" s="17">
        <v>6.42</v>
      </c>
      <c r="Q32" s="17"/>
      <c r="R32" s="17"/>
      <c r="S32" s="17"/>
      <c r="T32" s="17"/>
      <c r="U32" s="20">
        <v>4.82</v>
      </c>
      <c r="V32" s="20"/>
      <c r="W32" s="20"/>
      <c r="X32" s="20">
        <v>5.29</v>
      </c>
      <c r="Y32" s="20">
        <v>5.39</v>
      </c>
      <c r="Z32" s="20"/>
      <c r="AA32" s="20"/>
      <c r="AB32" s="20"/>
      <c r="AC32" s="20"/>
    </row>
    <row r="33" spans="2:29" x14ac:dyDescent="0.25">
      <c r="B33" s="524" t="s">
        <v>299</v>
      </c>
      <c r="C33" s="524"/>
      <c r="D33" s="524"/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6"/>
      <c r="U33" s="516"/>
      <c r="V33" s="516"/>
      <c r="W33" s="516"/>
      <c r="X33" s="516"/>
      <c r="Y33" s="516"/>
      <c r="Z33" s="516"/>
      <c r="AA33" s="516"/>
      <c r="AB33" s="516"/>
      <c r="AC33" s="516"/>
    </row>
    <row r="34" spans="2:29" x14ac:dyDescent="0.25">
      <c r="B34" s="72">
        <v>320100049</v>
      </c>
      <c r="C34" s="3" t="s">
        <v>16</v>
      </c>
      <c r="D34" s="43" t="s">
        <v>45</v>
      </c>
      <c r="F34" s="17"/>
      <c r="G34" s="17"/>
      <c r="H34" s="17"/>
      <c r="I34" s="17"/>
      <c r="J34" s="17"/>
      <c r="K34" s="17"/>
      <c r="L34" s="17"/>
      <c r="M34" s="17">
        <v>116.69</v>
      </c>
      <c r="N34" s="17"/>
      <c r="O34" s="17"/>
      <c r="P34" s="17"/>
      <c r="Q34" s="17"/>
      <c r="R34" s="17"/>
      <c r="S34" s="17"/>
      <c r="T34" s="17"/>
      <c r="U34" s="20"/>
      <c r="V34" s="20"/>
      <c r="W34" s="20"/>
      <c r="X34" s="20"/>
      <c r="Y34" s="20"/>
      <c r="Z34" s="20"/>
      <c r="AA34" s="20"/>
      <c r="AB34" s="20"/>
      <c r="AC34" s="20"/>
    </row>
    <row r="35" spans="2:29" x14ac:dyDescent="0.25">
      <c r="B35" s="72">
        <v>320100053</v>
      </c>
      <c r="C35" s="7" t="s">
        <v>46</v>
      </c>
      <c r="D35" s="43" t="s">
        <v>47</v>
      </c>
      <c r="F35" s="17"/>
      <c r="G35" s="17"/>
      <c r="H35" s="17"/>
      <c r="I35" s="17"/>
      <c r="J35" s="17"/>
      <c r="K35" s="17"/>
      <c r="L35" s="17"/>
      <c r="M35" s="17">
        <v>14.62</v>
      </c>
      <c r="N35" s="19">
        <v>15</v>
      </c>
      <c r="O35" s="17"/>
      <c r="P35" s="17"/>
      <c r="Q35" s="17"/>
      <c r="R35" s="17"/>
      <c r="S35" s="17"/>
      <c r="T35" s="17"/>
      <c r="U35" s="20"/>
      <c r="V35" s="20"/>
      <c r="W35" s="20"/>
      <c r="X35" s="20">
        <v>13.22</v>
      </c>
      <c r="Y35" s="20"/>
      <c r="Z35" s="20"/>
      <c r="AA35" s="20"/>
      <c r="AB35" s="20"/>
      <c r="AC35" s="20"/>
    </row>
    <row r="36" spans="2:29" x14ac:dyDescent="0.25">
      <c r="B36" s="72">
        <v>320100073</v>
      </c>
      <c r="C36" s="3" t="s">
        <v>17</v>
      </c>
      <c r="D36" s="43" t="s">
        <v>45</v>
      </c>
      <c r="F36" s="17"/>
      <c r="G36" s="17"/>
      <c r="H36" s="17"/>
      <c r="I36" s="17"/>
      <c r="J36" s="17"/>
      <c r="K36" s="17"/>
      <c r="L36" s="17"/>
      <c r="M36" s="17">
        <v>4.29</v>
      </c>
      <c r="N36" s="19">
        <v>4.4000000000000004</v>
      </c>
      <c r="O36" s="17"/>
      <c r="P36" s="17"/>
      <c r="Q36" s="17"/>
      <c r="R36" s="17"/>
      <c r="S36" s="17"/>
      <c r="T36" s="17"/>
      <c r="U36" s="20"/>
      <c r="V36" s="20"/>
      <c r="W36" s="20"/>
      <c r="X36" s="20">
        <v>3.35</v>
      </c>
      <c r="Y36" s="20"/>
      <c r="Z36" s="20"/>
      <c r="AA36" s="20"/>
      <c r="AB36" s="20"/>
      <c r="AC36" s="20"/>
    </row>
    <row r="37" spans="2:29" x14ac:dyDescent="0.25">
      <c r="B37" s="524"/>
      <c r="C37" s="524"/>
      <c r="D37" s="524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516"/>
      <c r="Z37" s="516"/>
      <c r="AA37" s="516"/>
      <c r="AB37" s="516"/>
      <c r="AC37" s="516"/>
    </row>
    <row r="38" spans="2:29" x14ac:dyDescent="0.25">
      <c r="B38" s="525">
        <v>32130001</v>
      </c>
      <c r="C38" s="3" t="s">
        <v>110</v>
      </c>
      <c r="D38" s="43" t="s">
        <v>45</v>
      </c>
      <c r="F38" s="17"/>
      <c r="G38" s="17"/>
      <c r="H38" s="17"/>
      <c r="I38" s="17">
        <v>121.27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20">
        <v>142</v>
      </c>
      <c r="V38" s="20"/>
      <c r="W38" s="20"/>
      <c r="X38" s="20"/>
      <c r="Y38" s="20"/>
      <c r="Z38" s="20"/>
      <c r="AA38" s="20">
        <v>143.68</v>
      </c>
      <c r="AB38" s="20"/>
      <c r="AC38" s="20"/>
    </row>
    <row r="39" spans="2:29" x14ac:dyDescent="0.25">
      <c r="B39" s="525"/>
      <c r="C39" s="12" t="s">
        <v>111</v>
      </c>
      <c r="D39" s="44" t="s">
        <v>45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81">
        <v>28.25</v>
      </c>
      <c r="X39" s="39"/>
      <c r="Y39" s="39"/>
      <c r="Z39" s="39"/>
      <c r="AA39" s="39"/>
      <c r="AB39" s="39"/>
      <c r="AC39" s="39"/>
    </row>
    <row r="40" spans="2:29" x14ac:dyDescent="0.25">
      <c r="B40" s="72">
        <v>322300022</v>
      </c>
      <c r="C40" s="3" t="s">
        <v>34</v>
      </c>
      <c r="D40" s="43" t="s">
        <v>45</v>
      </c>
      <c r="F40" s="17"/>
      <c r="G40" s="17">
        <v>47.04</v>
      </c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20">
        <v>44.16</v>
      </c>
      <c r="V40" s="20"/>
      <c r="W40" s="20"/>
      <c r="X40" s="20">
        <v>48</v>
      </c>
      <c r="Y40" s="20"/>
      <c r="Z40" s="20"/>
      <c r="AA40" s="20"/>
      <c r="AB40" s="20"/>
      <c r="AC40" s="20"/>
    </row>
    <row r="41" spans="2:29" x14ac:dyDescent="0.25">
      <c r="B41" s="74">
        <v>321500181</v>
      </c>
      <c r="C41" s="85" t="s">
        <v>301</v>
      </c>
      <c r="D41" s="43" t="s">
        <v>45</v>
      </c>
      <c r="F41" s="17"/>
      <c r="G41" s="17"/>
      <c r="H41" s="17"/>
      <c r="I41" s="17"/>
      <c r="J41" s="17">
        <v>5336.9</v>
      </c>
      <c r="K41" s="17"/>
      <c r="L41" s="17"/>
      <c r="M41" s="17"/>
      <c r="N41" s="19">
        <v>6050</v>
      </c>
      <c r="O41" s="17"/>
      <c r="P41" s="17"/>
      <c r="Q41" s="17"/>
      <c r="R41" s="17"/>
      <c r="S41" s="17"/>
      <c r="T41" s="17"/>
      <c r="U41" s="20"/>
      <c r="V41" s="20"/>
      <c r="W41" s="20"/>
      <c r="X41" s="20"/>
      <c r="Y41" s="20"/>
      <c r="Z41" s="20"/>
      <c r="AA41" s="20"/>
      <c r="AB41" s="20"/>
      <c r="AC41" s="20"/>
    </row>
    <row r="42" spans="2:29" x14ac:dyDescent="0.25">
      <c r="B42" s="524" t="s">
        <v>276</v>
      </c>
      <c r="C42" s="524"/>
      <c r="D42" s="524"/>
      <c r="F42" s="517"/>
      <c r="G42" s="518"/>
      <c r="H42" s="518"/>
      <c r="I42" s="518"/>
      <c r="J42" s="518"/>
      <c r="K42" s="518"/>
      <c r="L42" s="518"/>
      <c r="M42" s="518"/>
      <c r="N42" s="518"/>
      <c r="O42" s="518"/>
      <c r="P42" s="518"/>
      <c r="Q42" s="518"/>
      <c r="R42" s="518"/>
      <c r="S42" s="518"/>
      <c r="T42" s="518"/>
      <c r="U42" s="518"/>
      <c r="V42" s="518"/>
      <c r="W42" s="518"/>
      <c r="X42" s="518"/>
      <c r="Y42" s="518"/>
      <c r="Z42" s="518"/>
      <c r="AA42" s="518"/>
      <c r="AB42" s="518"/>
      <c r="AC42" s="519"/>
    </row>
    <row r="43" spans="2:29" x14ac:dyDescent="0.25">
      <c r="B43" s="72">
        <v>321220013</v>
      </c>
      <c r="C43" s="77" t="s">
        <v>109</v>
      </c>
      <c r="D43" s="46" t="s">
        <v>62</v>
      </c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</row>
    <row r="44" spans="2:29" x14ac:dyDescent="0.25">
      <c r="B44" s="530"/>
      <c r="C44" s="530"/>
      <c r="D44" s="530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</row>
    <row r="45" spans="2:29" x14ac:dyDescent="0.25">
      <c r="B45" s="72">
        <v>322300061</v>
      </c>
      <c r="C45" s="3" t="s">
        <v>122</v>
      </c>
      <c r="D45" s="43" t="s">
        <v>45</v>
      </c>
      <c r="F45" s="17"/>
      <c r="G45" s="17">
        <v>187.08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20"/>
      <c r="V45" s="20"/>
      <c r="W45" s="20"/>
      <c r="X45" s="20"/>
      <c r="Y45" s="20"/>
      <c r="Z45" s="20"/>
      <c r="AA45" s="20"/>
      <c r="AB45" s="20"/>
      <c r="AC45" s="20"/>
    </row>
    <row r="46" spans="2:29" x14ac:dyDescent="0.25">
      <c r="B46" s="531"/>
      <c r="C46" s="531"/>
      <c r="D46" s="531"/>
      <c r="F46" s="516"/>
      <c r="G46" s="516"/>
      <c r="H46" s="516"/>
      <c r="I46" s="516"/>
      <c r="J46" s="516"/>
      <c r="K46" s="516"/>
      <c r="L46" s="516"/>
      <c r="M46" s="516"/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6"/>
      <c r="Y46" s="516"/>
      <c r="Z46" s="516"/>
      <c r="AA46" s="516"/>
      <c r="AB46" s="516"/>
      <c r="AC46" s="516"/>
    </row>
    <row r="47" spans="2:29" x14ac:dyDescent="0.25">
      <c r="B47" s="74">
        <v>320300033</v>
      </c>
      <c r="C47" s="12" t="s">
        <v>64</v>
      </c>
      <c r="D47" s="44" t="s">
        <v>62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>
        <v>349.92</v>
      </c>
      <c r="S47" s="17"/>
      <c r="T47" s="17"/>
      <c r="U47" s="20"/>
      <c r="V47" s="20"/>
      <c r="W47" s="20"/>
      <c r="X47" s="20"/>
      <c r="Y47" s="20"/>
      <c r="Z47" s="20"/>
      <c r="AA47" s="20"/>
      <c r="AB47" s="20"/>
      <c r="AC47" s="20"/>
    </row>
    <row r="48" spans="2:29" x14ac:dyDescent="0.25">
      <c r="B48" s="531"/>
      <c r="C48" s="531"/>
      <c r="D48" s="531"/>
      <c r="F48" s="516"/>
      <c r="G48" s="516"/>
      <c r="H48" s="516"/>
      <c r="I48" s="516"/>
      <c r="J48" s="516"/>
      <c r="K48" s="516"/>
      <c r="L48" s="516"/>
      <c r="M48" s="516"/>
      <c r="N48" s="516"/>
      <c r="O48" s="516"/>
      <c r="P48" s="516"/>
      <c r="Q48" s="516"/>
      <c r="R48" s="516"/>
      <c r="S48" s="516"/>
      <c r="T48" s="516"/>
      <c r="U48" s="516"/>
      <c r="V48" s="516"/>
      <c r="W48" s="516"/>
      <c r="X48" s="516"/>
      <c r="Y48" s="516"/>
      <c r="Z48" s="516"/>
      <c r="AA48" s="516"/>
      <c r="AB48" s="516"/>
      <c r="AC48" s="516"/>
    </row>
    <row r="49" spans="2:29" x14ac:dyDescent="0.25">
      <c r="B49" s="73">
        <v>3207000511</v>
      </c>
      <c r="C49" s="4" t="s">
        <v>267</v>
      </c>
      <c r="D49" s="45" t="s">
        <v>45</v>
      </c>
      <c r="F49" s="17"/>
      <c r="G49" s="17"/>
      <c r="H49" s="19">
        <v>59.88</v>
      </c>
      <c r="I49" s="17"/>
      <c r="J49" s="17"/>
      <c r="K49" s="17"/>
      <c r="L49" s="17"/>
      <c r="M49" s="17"/>
      <c r="N49" s="17"/>
      <c r="O49" s="17"/>
      <c r="P49" s="17"/>
      <c r="Q49" s="17"/>
      <c r="R49" s="17">
        <v>16.18</v>
      </c>
      <c r="S49" s="17"/>
      <c r="T49" s="17"/>
      <c r="U49" s="20">
        <v>55.99</v>
      </c>
      <c r="V49" s="20"/>
      <c r="W49" s="20"/>
      <c r="X49" s="20"/>
      <c r="Y49" s="20"/>
      <c r="Z49" s="20"/>
      <c r="AA49" s="20"/>
      <c r="AB49" s="20"/>
      <c r="AC49" s="20"/>
    </row>
    <row r="50" spans="2:29" x14ac:dyDescent="0.25">
      <c r="B50" s="531"/>
      <c r="C50" s="531"/>
      <c r="D50" s="531"/>
      <c r="F50" s="516"/>
      <c r="G50" s="516"/>
      <c r="H50" s="516"/>
      <c r="I50" s="516"/>
      <c r="J50" s="516"/>
      <c r="K50" s="516"/>
      <c r="L50" s="516"/>
      <c r="M50" s="516"/>
      <c r="N50" s="516"/>
      <c r="O50" s="516"/>
      <c r="P50" s="516"/>
      <c r="Q50" s="516"/>
      <c r="R50" s="516"/>
      <c r="S50" s="516"/>
      <c r="T50" s="516"/>
      <c r="U50" s="516"/>
      <c r="V50" s="516"/>
      <c r="W50" s="516"/>
      <c r="X50" s="516"/>
      <c r="Y50" s="516"/>
      <c r="Z50" s="516"/>
      <c r="AA50" s="516"/>
      <c r="AB50" s="516"/>
      <c r="AC50" s="516"/>
    </row>
    <row r="51" spans="2:29" x14ac:dyDescent="0.25">
      <c r="B51" s="72">
        <v>321600012</v>
      </c>
      <c r="C51" s="3" t="s">
        <v>31</v>
      </c>
      <c r="D51" s="43" t="s">
        <v>45</v>
      </c>
      <c r="F51" s="17"/>
      <c r="G51" s="17"/>
      <c r="H51" s="17"/>
      <c r="I51" s="17"/>
      <c r="J51" s="17"/>
      <c r="K51" s="17"/>
      <c r="L51" s="17"/>
      <c r="M51" s="17"/>
      <c r="N51" s="19">
        <v>15.93</v>
      </c>
      <c r="O51" s="17"/>
      <c r="P51" s="17"/>
      <c r="Q51" s="17"/>
      <c r="R51" s="17"/>
      <c r="S51" s="17"/>
      <c r="T51" s="17"/>
      <c r="U51" s="20"/>
      <c r="V51" s="20"/>
      <c r="W51" s="20"/>
      <c r="X51" s="20"/>
      <c r="Y51" s="20"/>
      <c r="Z51" s="20"/>
      <c r="AA51" s="20">
        <v>16.75</v>
      </c>
      <c r="AB51" s="20"/>
      <c r="AC51" s="20"/>
    </row>
    <row r="52" spans="2:29" x14ac:dyDescent="0.25">
      <c r="B52" s="531"/>
      <c r="C52" s="531"/>
      <c r="D52" s="531"/>
      <c r="F52" s="516"/>
      <c r="G52" s="516"/>
      <c r="H52" s="516"/>
      <c r="I52" s="516"/>
      <c r="J52" s="516"/>
      <c r="K52" s="516"/>
      <c r="L52" s="516"/>
      <c r="M52" s="516"/>
      <c r="N52" s="516"/>
      <c r="O52" s="516"/>
      <c r="P52" s="516"/>
      <c r="Q52" s="516"/>
      <c r="R52" s="516"/>
      <c r="S52" s="516"/>
      <c r="T52" s="516"/>
      <c r="U52" s="516"/>
      <c r="V52" s="516"/>
      <c r="W52" s="516"/>
      <c r="X52" s="516"/>
      <c r="Y52" s="516"/>
      <c r="Z52" s="516"/>
      <c r="AA52" s="516"/>
      <c r="AB52" s="516"/>
      <c r="AC52" s="516"/>
    </row>
    <row r="53" spans="2:29" x14ac:dyDescent="0.25">
      <c r="B53" s="72">
        <v>320900071</v>
      </c>
      <c r="C53" s="3" t="s">
        <v>35</v>
      </c>
      <c r="D53" s="43" t="s">
        <v>62</v>
      </c>
      <c r="F53" s="17"/>
      <c r="G53" s="17"/>
      <c r="H53" s="17"/>
      <c r="I53" s="17"/>
      <c r="J53" s="17"/>
      <c r="K53" s="17"/>
      <c r="L53" s="17"/>
      <c r="M53" s="17"/>
      <c r="N53" s="19">
        <v>335</v>
      </c>
      <c r="O53" s="17"/>
      <c r="P53" s="17"/>
      <c r="Q53" s="17"/>
      <c r="R53" s="17"/>
      <c r="S53" s="17"/>
      <c r="T53" s="17"/>
      <c r="U53" s="20"/>
      <c r="V53" s="20"/>
      <c r="W53" s="20"/>
      <c r="X53" s="20"/>
      <c r="Y53" s="20"/>
      <c r="Z53" s="20"/>
      <c r="AA53" s="20"/>
      <c r="AB53" s="20"/>
      <c r="AC53" s="20"/>
    </row>
    <row r="54" spans="2:29" x14ac:dyDescent="0.25">
      <c r="B54" s="524" t="s">
        <v>277</v>
      </c>
      <c r="C54" s="524"/>
      <c r="D54" s="524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516"/>
      <c r="Z54" s="516"/>
      <c r="AA54" s="516"/>
      <c r="AB54" s="516"/>
      <c r="AC54" s="516"/>
    </row>
    <row r="55" spans="2:29" x14ac:dyDescent="0.25">
      <c r="B55" s="525">
        <v>32150002</v>
      </c>
      <c r="C55" s="3" t="s">
        <v>112</v>
      </c>
      <c r="D55" s="43" t="s">
        <v>58</v>
      </c>
      <c r="F55" s="17"/>
      <c r="G55" s="17"/>
      <c r="H55" s="17"/>
      <c r="I55" s="17"/>
      <c r="J55" s="17">
        <v>340.68</v>
      </c>
      <c r="K55" s="17"/>
      <c r="L55" s="17"/>
      <c r="M55" s="17"/>
      <c r="N55" s="19">
        <v>470</v>
      </c>
      <c r="O55" s="17"/>
      <c r="P55" s="17"/>
      <c r="Q55" s="17"/>
      <c r="R55" s="17"/>
      <c r="S55" s="17"/>
      <c r="T55" s="17"/>
      <c r="U55" s="20"/>
      <c r="V55" s="20"/>
      <c r="W55" s="20"/>
      <c r="X55" s="20"/>
      <c r="Y55" s="20"/>
      <c r="Z55" s="20"/>
      <c r="AA55" s="20"/>
      <c r="AB55" s="20"/>
      <c r="AC55" s="20"/>
    </row>
    <row r="56" spans="2:29" x14ac:dyDescent="0.25">
      <c r="B56" s="525"/>
      <c r="C56" s="3" t="s">
        <v>113</v>
      </c>
      <c r="D56" s="43" t="s">
        <v>68</v>
      </c>
      <c r="F56" s="17"/>
      <c r="G56" s="17"/>
      <c r="H56" s="17"/>
      <c r="I56" s="17"/>
      <c r="J56" s="17">
        <v>316.77999999999997</v>
      </c>
      <c r="K56" s="17"/>
      <c r="L56" s="17"/>
      <c r="M56" s="17"/>
      <c r="N56" s="19">
        <v>415.36</v>
      </c>
      <c r="O56" s="17"/>
      <c r="P56" s="17"/>
      <c r="Q56" s="17"/>
      <c r="R56" s="17"/>
      <c r="S56" s="17"/>
      <c r="T56" s="17"/>
      <c r="U56" s="20"/>
      <c r="V56" s="20"/>
      <c r="W56" s="20"/>
      <c r="X56" s="20"/>
      <c r="Y56" s="20"/>
      <c r="Z56" s="20"/>
      <c r="AA56" s="20"/>
      <c r="AB56" s="20"/>
      <c r="AC56" s="20"/>
    </row>
    <row r="57" spans="2:29" x14ac:dyDescent="0.25">
      <c r="B57" s="531"/>
      <c r="C57" s="531"/>
      <c r="D57" s="531"/>
      <c r="F57" s="516"/>
      <c r="G57" s="516"/>
      <c r="H57" s="516"/>
      <c r="I57" s="516"/>
      <c r="J57" s="516"/>
      <c r="K57" s="516"/>
      <c r="L57" s="516"/>
      <c r="M57" s="516"/>
      <c r="N57" s="516"/>
      <c r="O57" s="516"/>
      <c r="P57" s="516"/>
      <c r="Q57" s="516"/>
      <c r="R57" s="516"/>
      <c r="S57" s="516"/>
      <c r="T57" s="516"/>
      <c r="U57" s="516"/>
      <c r="V57" s="516"/>
      <c r="W57" s="516"/>
      <c r="X57" s="516"/>
      <c r="Y57" s="516"/>
      <c r="Z57" s="516"/>
      <c r="AA57" s="516"/>
      <c r="AB57" s="516"/>
      <c r="AC57" s="516"/>
    </row>
    <row r="58" spans="2:29" x14ac:dyDescent="0.25">
      <c r="B58" s="72">
        <v>3212002017</v>
      </c>
      <c r="C58" s="7" t="s">
        <v>108</v>
      </c>
      <c r="D58" s="43" t="s">
        <v>62</v>
      </c>
      <c r="F58" s="17"/>
      <c r="G58" s="17"/>
      <c r="H58" s="17"/>
      <c r="I58" s="17"/>
      <c r="J58" s="17"/>
      <c r="K58" s="17"/>
      <c r="L58" s="17"/>
      <c r="M58" s="17"/>
      <c r="N58" s="19">
        <v>1501.22</v>
      </c>
      <c r="O58" s="17"/>
      <c r="P58" s="17"/>
      <c r="Q58" s="17"/>
      <c r="R58" s="17"/>
      <c r="S58" s="17"/>
      <c r="T58" s="17"/>
      <c r="U58" s="20"/>
      <c r="V58" s="20"/>
      <c r="W58" s="20"/>
      <c r="X58" s="20"/>
      <c r="Y58" s="20"/>
      <c r="Z58" s="20"/>
      <c r="AA58" s="20"/>
      <c r="AB58" s="20"/>
      <c r="AC58" s="20"/>
    </row>
    <row r="59" spans="2:29" x14ac:dyDescent="0.25">
      <c r="B59" s="524" t="s">
        <v>278</v>
      </c>
      <c r="C59" s="524"/>
      <c r="D59" s="524"/>
      <c r="F59" s="516"/>
      <c r="G59" s="516"/>
      <c r="H59" s="516"/>
      <c r="I59" s="516"/>
      <c r="J59" s="516"/>
      <c r="K59" s="516"/>
      <c r="L59" s="516"/>
      <c r="M59" s="516"/>
      <c r="N59" s="516"/>
      <c r="O59" s="516"/>
      <c r="P59" s="516"/>
      <c r="Q59" s="516"/>
      <c r="R59" s="516"/>
      <c r="S59" s="516"/>
      <c r="T59" s="516"/>
      <c r="U59" s="516"/>
      <c r="V59" s="516"/>
      <c r="W59" s="516"/>
      <c r="X59" s="516"/>
      <c r="Y59" s="516"/>
      <c r="Z59" s="516"/>
      <c r="AA59" s="516"/>
      <c r="AB59" s="516"/>
      <c r="AC59" s="516"/>
    </row>
    <row r="60" spans="2:29" x14ac:dyDescent="0.25">
      <c r="B60" s="73">
        <v>32220001</v>
      </c>
      <c r="C60" s="47" t="s">
        <v>287</v>
      </c>
      <c r="D60" s="40" t="s">
        <v>45</v>
      </c>
      <c r="F60" s="17">
        <v>1092</v>
      </c>
      <c r="G60" s="17">
        <v>1092</v>
      </c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20"/>
      <c r="V60" s="20"/>
      <c r="W60" s="20"/>
      <c r="X60" s="20"/>
      <c r="Y60" s="20"/>
      <c r="Z60" s="20"/>
      <c r="AA60" s="20">
        <v>1108.18</v>
      </c>
      <c r="AB60" s="20"/>
      <c r="AC60" s="20"/>
    </row>
    <row r="61" spans="2:29" x14ac:dyDescent="0.25">
      <c r="B61" s="531"/>
      <c r="C61" s="531"/>
      <c r="D61" s="531"/>
      <c r="F61" s="516"/>
      <c r="G61" s="516"/>
      <c r="H61" s="516"/>
      <c r="I61" s="516"/>
      <c r="J61" s="516"/>
      <c r="K61" s="516"/>
      <c r="L61" s="516"/>
      <c r="M61" s="516"/>
      <c r="N61" s="516"/>
      <c r="O61" s="516"/>
      <c r="P61" s="516"/>
      <c r="Q61" s="516"/>
      <c r="R61" s="516"/>
      <c r="S61" s="516"/>
      <c r="T61" s="516"/>
      <c r="U61" s="516"/>
      <c r="V61" s="516"/>
      <c r="W61" s="516"/>
      <c r="X61" s="516"/>
      <c r="Y61" s="516"/>
      <c r="Z61" s="516"/>
      <c r="AA61" s="516"/>
      <c r="AB61" s="516"/>
      <c r="AC61" s="516"/>
    </row>
    <row r="62" spans="2:29" x14ac:dyDescent="0.25">
      <c r="B62" s="72">
        <v>321500041</v>
      </c>
      <c r="C62" s="3" t="s">
        <v>116</v>
      </c>
      <c r="D62" s="43" t="s">
        <v>62</v>
      </c>
      <c r="F62" s="17"/>
      <c r="G62" s="17"/>
      <c r="H62" s="17"/>
      <c r="I62" s="17"/>
      <c r="J62" s="17">
        <v>370.65</v>
      </c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20"/>
      <c r="V62" s="20"/>
      <c r="W62" s="20"/>
      <c r="X62" s="20"/>
      <c r="Y62" s="20"/>
      <c r="Z62" s="20"/>
      <c r="AA62" s="20"/>
      <c r="AB62" s="20"/>
      <c r="AC62" s="20"/>
    </row>
    <row r="63" spans="2:29" x14ac:dyDescent="0.25">
      <c r="B63" s="531"/>
      <c r="C63" s="531"/>
      <c r="D63" s="531"/>
      <c r="F63" s="516"/>
      <c r="G63" s="516"/>
      <c r="H63" s="516"/>
      <c r="I63" s="516"/>
      <c r="J63" s="516"/>
      <c r="K63" s="516"/>
      <c r="L63" s="516"/>
      <c r="M63" s="516"/>
      <c r="N63" s="516"/>
      <c r="O63" s="516"/>
      <c r="P63" s="516"/>
      <c r="Q63" s="516"/>
      <c r="R63" s="516"/>
      <c r="S63" s="516"/>
      <c r="T63" s="516"/>
      <c r="U63" s="516"/>
      <c r="V63" s="516"/>
      <c r="W63" s="516"/>
      <c r="X63" s="516"/>
      <c r="Y63" s="516"/>
      <c r="Z63" s="516"/>
      <c r="AA63" s="516"/>
      <c r="AB63" s="516"/>
      <c r="AC63" s="516"/>
    </row>
    <row r="64" spans="2:29" x14ac:dyDescent="0.25">
      <c r="B64" s="69"/>
      <c r="C64" s="70" t="s">
        <v>396</v>
      </c>
      <c r="D64" s="70" t="s">
        <v>45</v>
      </c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>
        <v>202.65</v>
      </c>
      <c r="S64" s="68">
        <v>174.22</v>
      </c>
      <c r="T64" s="68"/>
      <c r="U64" s="68"/>
      <c r="V64" s="68"/>
      <c r="W64" s="68"/>
      <c r="X64" s="68"/>
      <c r="Y64" s="68"/>
      <c r="Z64" s="68"/>
      <c r="AA64" s="68"/>
      <c r="AB64" s="68"/>
      <c r="AC64" s="68"/>
    </row>
    <row r="65" spans="2:29" x14ac:dyDescent="0.25">
      <c r="B65" s="69"/>
      <c r="C65" s="70" t="s">
        <v>397</v>
      </c>
      <c r="D65" s="70" t="s">
        <v>45</v>
      </c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>
        <v>211.98</v>
      </c>
      <c r="T65" s="79">
        <v>196.63</v>
      </c>
      <c r="U65" s="68"/>
      <c r="V65" s="68"/>
      <c r="W65" s="68"/>
      <c r="X65" s="68"/>
      <c r="Y65" s="68"/>
      <c r="Z65" s="79">
        <v>291.2</v>
      </c>
      <c r="AA65" s="68"/>
      <c r="AB65" s="68"/>
      <c r="AC65" s="68"/>
    </row>
    <row r="66" spans="2:29" x14ac:dyDescent="0.25">
      <c r="B66" s="72">
        <v>3201000612</v>
      </c>
      <c r="C66" s="3" t="s">
        <v>48</v>
      </c>
      <c r="D66" s="43" t="s">
        <v>45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>
        <v>92.15</v>
      </c>
      <c r="S66" s="17"/>
      <c r="T66" s="17"/>
      <c r="U66" s="20"/>
      <c r="V66" s="20"/>
      <c r="W66" s="20"/>
      <c r="X66" s="20">
        <v>90.45</v>
      </c>
      <c r="Y66" s="20"/>
      <c r="Z66" s="20"/>
      <c r="AA66" s="20"/>
      <c r="AB66" s="20"/>
      <c r="AC66" s="20"/>
    </row>
    <row r="67" spans="2:29" x14ac:dyDescent="0.25">
      <c r="B67" s="531"/>
      <c r="C67" s="531"/>
      <c r="D67" s="531"/>
      <c r="F67" s="516"/>
      <c r="G67" s="516"/>
      <c r="H67" s="516"/>
      <c r="I67" s="516"/>
      <c r="J67" s="516"/>
      <c r="K67" s="516"/>
      <c r="L67" s="516"/>
      <c r="M67" s="516"/>
      <c r="N67" s="516"/>
      <c r="O67" s="516"/>
      <c r="P67" s="516"/>
      <c r="Q67" s="516"/>
      <c r="R67" s="516"/>
      <c r="S67" s="516"/>
      <c r="T67" s="516"/>
      <c r="U67" s="516"/>
      <c r="V67" s="516"/>
      <c r="W67" s="516"/>
      <c r="X67" s="516"/>
      <c r="Y67" s="516"/>
      <c r="Z67" s="516"/>
      <c r="AA67" s="516"/>
      <c r="AB67" s="516"/>
      <c r="AC67" s="516"/>
    </row>
    <row r="68" spans="2:29" x14ac:dyDescent="0.25">
      <c r="B68" s="72">
        <v>321500036</v>
      </c>
      <c r="C68" s="3" t="s">
        <v>114</v>
      </c>
      <c r="D68" s="43" t="s">
        <v>115</v>
      </c>
      <c r="F68" s="17"/>
      <c r="G68" s="17"/>
      <c r="H68" s="17"/>
      <c r="I68" s="17"/>
      <c r="J68" s="17">
        <v>1250</v>
      </c>
      <c r="K68" s="17"/>
      <c r="L68" s="17"/>
      <c r="M68" s="17"/>
      <c r="N68" s="19">
        <v>595.20000000000005</v>
      </c>
      <c r="O68" s="17"/>
      <c r="P68" s="17"/>
      <c r="Q68" s="17"/>
      <c r="R68" s="17"/>
      <c r="S68" s="17"/>
      <c r="T68" s="17"/>
      <c r="U68" s="20"/>
      <c r="V68" s="20"/>
      <c r="W68" s="20"/>
      <c r="X68" s="20"/>
      <c r="Y68" s="20"/>
      <c r="Z68" s="20"/>
      <c r="AA68" s="20">
        <v>671.17</v>
      </c>
      <c r="AB68" s="20"/>
      <c r="AC68" s="20"/>
    </row>
    <row r="69" spans="2:29" x14ac:dyDescent="0.25">
      <c r="B69" s="524" t="s">
        <v>279</v>
      </c>
      <c r="C69" s="524"/>
      <c r="D69" s="524"/>
      <c r="F69" s="516"/>
      <c r="G69" s="516"/>
      <c r="H69" s="516"/>
      <c r="I69" s="516"/>
      <c r="J69" s="516"/>
      <c r="K69" s="516"/>
      <c r="L69" s="516"/>
      <c r="M69" s="516"/>
      <c r="N69" s="516"/>
      <c r="O69" s="516"/>
      <c r="P69" s="516"/>
      <c r="Q69" s="516"/>
      <c r="R69" s="516"/>
      <c r="S69" s="516"/>
      <c r="T69" s="516"/>
      <c r="U69" s="516"/>
      <c r="V69" s="516"/>
      <c r="W69" s="516"/>
      <c r="X69" s="516"/>
      <c r="Y69" s="516"/>
      <c r="Z69" s="516"/>
      <c r="AA69" s="516"/>
      <c r="AB69" s="516"/>
      <c r="AC69" s="516"/>
    </row>
    <row r="70" spans="2:29" x14ac:dyDescent="0.25">
      <c r="B70" s="72">
        <v>32050001</v>
      </c>
      <c r="C70" s="3" t="s">
        <v>288</v>
      </c>
      <c r="D70" s="43" t="s">
        <v>45</v>
      </c>
      <c r="F70" s="17"/>
      <c r="G70" s="17"/>
      <c r="H70" s="19">
        <v>9.9600000000000009</v>
      </c>
      <c r="I70" s="17"/>
      <c r="J70" s="17"/>
      <c r="K70" s="17"/>
      <c r="L70" s="17"/>
      <c r="M70" s="17"/>
      <c r="N70" s="19">
        <v>8.6</v>
      </c>
      <c r="O70" s="17"/>
      <c r="P70" s="17"/>
      <c r="Q70" s="17"/>
      <c r="R70" s="17"/>
      <c r="S70" s="17">
        <v>8.5</v>
      </c>
      <c r="T70" s="17"/>
      <c r="U70" s="20"/>
      <c r="V70" s="20"/>
      <c r="W70" s="20"/>
      <c r="X70" s="20"/>
      <c r="Y70" s="20">
        <v>11.86</v>
      </c>
      <c r="Z70" s="20"/>
      <c r="AA70" s="20"/>
      <c r="AB70" s="20"/>
      <c r="AC70" s="20"/>
    </row>
    <row r="71" spans="2:29" x14ac:dyDescent="0.25">
      <c r="B71" s="531"/>
      <c r="C71" s="531"/>
      <c r="D71" s="531"/>
      <c r="F71" s="516"/>
      <c r="G71" s="516"/>
      <c r="H71" s="516"/>
      <c r="I71" s="516"/>
      <c r="J71" s="516"/>
      <c r="K71" s="516"/>
      <c r="L71" s="516"/>
      <c r="M71" s="516"/>
      <c r="N71" s="516"/>
      <c r="O71" s="516"/>
      <c r="P71" s="516"/>
      <c r="Q71" s="516"/>
      <c r="R71" s="516"/>
      <c r="S71" s="516"/>
      <c r="T71" s="516"/>
      <c r="U71" s="516"/>
      <c r="V71" s="516"/>
      <c r="W71" s="516"/>
      <c r="X71" s="516"/>
      <c r="Y71" s="516"/>
      <c r="Z71" s="516"/>
      <c r="AA71" s="516"/>
      <c r="AB71" s="516"/>
      <c r="AC71" s="516"/>
    </row>
    <row r="72" spans="2:29" x14ac:dyDescent="0.25">
      <c r="B72" s="76">
        <v>320700121</v>
      </c>
      <c r="C72" s="4" t="s">
        <v>81</v>
      </c>
      <c r="D72" s="45" t="s">
        <v>45</v>
      </c>
      <c r="F72" s="17">
        <v>114.56</v>
      </c>
      <c r="G72" s="17"/>
      <c r="H72" s="38"/>
      <c r="I72" s="17"/>
      <c r="J72" s="17"/>
      <c r="K72" s="17"/>
      <c r="L72" s="20"/>
      <c r="M72" s="17"/>
      <c r="N72" s="19">
        <v>99.8</v>
      </c>
      <c r="O72" s="17"/>
      <c r="P72" s="17"/>
      <c r="Q72" s="17"/>
      <c r="R72" s="17"/>
      <c r="S72" s="17"/>
      <c r="T72" s="17"/>
      <c r="U72" s="20"/>
      <c r="V72" s="20"/>
      <c r="W72" s="20"/>
      <c r="X72" s="20"/>
      <c r="Y72" s="20"/>
      <c r="Z72" s="20"/>
      <c r="AA72" s="20"/>
      <c r="AB72" s="20"/>
      <c r="AC72" s="20"/>
    </row>
    <row r="73" spans="2:29" x14ac:dyDescent="0.25">
      <c r="B73" s="524" t="s">
        <v>259</v>
      </c>
      <c r="C73" s="524"/>
      <c r="D73" s="524"/>
      <c r="F73" s="516"/>
      <c r="G73" s="516"/>
      <c r="H73" s="516"/>
      <c r="I73" s="516"/>
      <c r="J73" s="516"/>
      <c r="K73" s="516"/>
      <c r="L73" s="516"/>
      <c r="M73" s="516"/>
      <c r="N73" s="516"/>
      <c r="O73" s="516"/>
      <c r="P73" s="516"/>
      <c r="Q73" s="516"/>
      <c r="R73" s="516"/>
      <c r="S73" s="516"/>
      <c r="T73" s="516"/>
      <c r="U73" s="516"/>
      <c r="V73" s="516"/>
      <c r="W73" s="516"/>
      <c r="X73" s="516"/>
      <c r="Y73" s="516"/>
      <c r="Z73" s="516"/>
      <c r="AA73" s="516"/>
      <c r="AB73" s="516"/>
      <c r="AC73" s="516"/>
    </row>
    <row r="74" spans="2:29" x14ac:dyDescent="0.25">
      <c r="B74" s="525">
        <v>32160002</v>
      </c>
      <c r="C74" s="3" t="s">
        <v>118</v>
      </c>
      <c r="D74" s="43" t="s">
        <v>45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20"/>
      <c r="V74" s="20"/>
      <c r="W74" s="20"/>
      <c r="X74" s="20"/>
      <c r="Y74" s="20"/>
      <c r="Z74" s="20"/>
      <c r="AA74" s="20">
        <v>60.89</v>
      </c>
      <c r="AB74" s="20"/>
      <c r="AC74" s="20"/>
    </row>
    <row r="75" spans="2:29" x14ac:dyDescent="0.25">
      <c r="B75" s="525"/>
      <c r="C75" s="3" t="s">
        <v>119</v>
      </c>
      <c r="D75" s="43" t="s">
        <v>45</v>
      </c>
      <c r="F75" s="17"/>
      <c r="G75" s="17">
        <v>84.61</v>
      </c>
      <c r="H75" s="17"/>
      <c r="I75" s="17"/>
      <c r="J75" s="17"/>
      <c r="K75" s="17"/>
      <c r="L75" s="17"/>
      <c r="M75" s="17"/>
      <c r="N75" s="19">
        <v>81</v>
      </c>
      <c r="O75" s="17"/>
      <c r="P75" s="17"/>
      <c r="Q75" s="17"/>
      <c r="R75" s="17"/>
      <c r="S75" s="17"/>
      <c r="T75" s="17"/>
      <c r="U75" s="20"/>
      <c r="V75" s="20"/>
      <c r="W75" s="20"/>
      <c r="X75" s="20"/>
      <c r="Y75" s="20"/>
      <c r="Z75" s="20"/>
      <c r="AA75" s="20">
        <v>68.19</v>
      </c>
      <c r="AB75" s="20"/>
      <c r="AC75" s="20"/>
    </row>
    <row r="76" spans="2:29" x14ac:dyDescent="0.25">
      <c r="B76" s="525"/>
      <c r="C76" s="3" t="s">
        <v>14</v>
      </c>
      <c r="D76" s="43" t="s">
        <v>45</v>
      </c>
      <c r="F76" s="17"/>
      <c r="G76" s="17"/>
      <c r="H76" s="17"/>
      <c r="I76" s="17"/>
      <c r="J76" s="17"/>
      <c r="K76" s="17"/>
      <c r="L76" s="17"/>
      <c r="M76" s="17"/>
      <c r="N76" s="19">
        <v>74</v>
      </c>
      <c r="O76" s="17"/>
      <c r="P76" s="17"/>
      <c r="Q76" s="17"/>
      <c r="R76" s="17"/>
      <c r="S76" s="17">
        <v>74.099999999999994</v>
      </c>
      <c r="T76" s="17"/>
      <c r="U76" s="20"/>
      <c r="V76" s="20"/>
      <c r="W76" s="20"/>
      <c r="X76" s="20">
        <v>51.49</v>
      </c>
      <c r="Y76" s="20"/>
      <c r="Z76" s="20"/>
      <c r="AA76" s="20">
        <v>62.29</v>
      </c>
      <c r="AB76" s="20"/>
      <c r="AC76" s="20"/>
    </row>
    <row r="77" spans="2:29" x14ac:dyDescent="0.25">
      <c r="B77" s="524"/>
      <c r="C77" s="524"/>
      <c r="D77" s="524"/>
      <c r="F77" s="517"/>
      <c r="G77" s="518"/>
      <c r="H77" s="518"/>
      <c r="I77" s="518"/>
      <c r="J77" s="518"/>
      <c r="K77" s="518"/>
      <c r="L77" s="518"/>
      <c r="M77" s="518"/>
      <c r="N77" s="518"/>
      <c r="O77" s="518"/>
      <c r="P77" s="518"/>
      <c r="Q77" s="518"/>
      <c r="R77" s="518"/>
      <c r="S77" s="518"/>
      <c r="T77" s="518"/>
      <c r="U77" s="518"/>
      <c r="V77" s="518"/>
      <c r="W77" s="518"/>
      <c r="X77" s="518"/>
      <c r="Y77" s="518"/>
      <c r="Z77" s="518"/>
      <c r="AA77" s="518"/>
      <c r="AB77" s="518"/>
      <c r="AC77" s="519"/>
    </row>
    <row r="78" spans="2:29" x14ac:dyDescent="0.25">
      <c r="B78" s="74">
        <v>321200161</v>
      </c>
      <c r="C78" s="4" t="s">
        <v>105</v>
      </c>
      <c r="D78" s="45" t="s">
        <v>62</v>
      </c>
      <c r="F78" s="17"/>
      <c r="G78" s="17"/>
      <c r="H78" s="17"/>
      <c r="I78" s="17"/>
      <c r="J78" s="17"/>
      <c r="K78" s="17"/>
      <c r="L78" s="17"/>
      <c r="M78" s="17"/>
      <c r="N78" s="19">
        <v>180</v>
      </c>
      <c r="O78" s="17"/>
      <c r="P78" s="17"/>
      <c r="Q78" s="17"/>
      <c r="R78" s="17"/>
      <c r="S78" s="17">
        <v>176.09</v>
      </c>
      <c r="T78" s="17"/>
      <c r="U78" s="20"/>
      <c r="V78" s="20"/>
      <c r="W78" s="20"/>
      <c r="X78" s="20"/>
      <c r="Y78" s="20"/>
      <c r="Z78" s="20"/>
      <c r="AA78" s="20"/>
      <c r="AB78" s="20"/>
      <c r="AC78" s="20"/>
    </row>
    <row r="79" spans="2:29" x14ac:dyDescent="0.25">
      <c r="B79" s="74">
        <v>321200172</v>
      </c>
      <c r="C79" s="4" t="s">
        <v>106</v>
      </c>
      <c r="D79" s="45" t="s">
        <v>62</v>
      </c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81">
        <v>191.5</v>
      </c>
      <c r="X79" s="39"/>
      <c r="Y79" s="39"/>
      <c r="Z79" s="39"/>
      <c r="AA79" s="39"/>
      <c r="AB79" s="39"/>
      <c r="AC79" s="39"/>
    </row>
    <row r="80" spans="2:29" x14ac:dyDescent="0.25">
      <c r="B80" s="524"/>
      <c r="C80" s="524"/>
      <c r="D80" s="524"/>
      <c r="F80" s="517"/>
      <c r="G80" s="518"/>
      <c r="H80" s="518"/>
      <c r="I80" s="518"/>
      <c r="J80" s="518"/>
      <c r="K80" s="518"/>
      <c r="L80" s="518"/>
      <c r="M80" s="518"/>
      <c r="N80" s="518"/>
      <c r="O80" s="518"/>
      <c r="P80" s="518"/>
      <c r="Q80" s="518"/>
      <c r="R80" s="518"/>
      <c r="S80" s="518"/>
      <c r="T80" s="518"/>
      <c r="U80" s="518"/>
      <c r="V80" s="518"/>
      <c r="W80" s="518"/>
      <c r="X80" s="518"/>
      <c r="Y80" s="518"/>
      <c r="Z80" s="518"/>
      <c r="AA80" s="518"/>
      <c r="AB80" s="518"/>
      <c r="AC80" s="519"/>
    </row>
    <row r="81" spans="2:29" x14ac:dyDescent="0.25">
      <c r="B81" s="74">
        <v>321200192</v>
      </c>
      <c r="C81" s="77" t="s">
        <v>107</v>
      </c>
      <c r="D81" s="46" t="s">
        <v>45</v>
      </c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</row>
    <row r="82" spans="2:29" x14ac:dyDescent="0.25">
      <c r="B82" s="524" t="s">
        <v>258</v>
      </c>
      <c r="C82" s="524"/>
      <c r="D82" s="524"/>
      <c r="F82" s="517"/>
      <c r="G82" s="518"/>
      <c r="H82" s="518"/>
      <c r="I82" s="518"/>
      <c r="J82" s="518"/>
      <c r="K82" s="518"/>
      <c r="L82" s="518"/>
      <c r="M82" s="518"/>
      <c r="N82" s="518"/>
      <c r="O82" s="518"/>
      <c r="P82" s="518"/>
      <c r="Q82" s="518"/>
      <c r="R82" s="518"/>
      <c r="S82" s="518"/>
      <c r="T82" s="518"/>
      <c r="U82" s="518"/>
      <c r="V82" s="518"/>
      <c r="W82" s="518"/>
      <c r="X82" s="518"/>
      <c r="Y82" s="518"/>
      <c r="Z82" s="518"/>
      <c r="AA82" s="518"/>
      <c r="AB82" s="518"/>
      <c r="AC82" s="519"/>
    </row>
    <row r="83" spans="2:29" x14ac:dyDescent="0.25">
      <c r="B83" s="525">
        <v>32020003</v>
      </c>
      <c r="C83" s="3" t="s">
        <v>55</v>
      </c>
      <c r="D83" s="43" t="s">
        <v>54</v>
      </c>
      <c r="F83" s="17"/>
      <c r="G83" s="17"/>
      <c r="H83" s="17"/>
      <c r="I83" s="17"/>
      <c r="J83" s="17"/>
      <c r="K83" s="17"/>
      <c r="L83" s="17"/>
      <c r="M83" s="17"/>
      <c r="N83" s="19">
        <v>2577</v>
      </c>
      <c r="O83" s="17"/>
      <c r="P83" s="17"/>
      <c r="Q83" s="17"/>
      <c r="R83" s="17">
        <v>1048.49</v>
      </c>
      <c r="S83" s="17">
        <v>1236.69</v>
      </c>
      <c r="T83" s="17"/>
      <c r="U83" s="20"/>
      <c r="V83" s="20"/>
      <c r="W83" s="20"/>
      <c r="X83" s="20"/>
      <c r="Y83" s="20"/>
      <c r="Z83" s="20"/>
      <c r="AA83" s="20"/>
      <c r="AB83" s="20"/>
      <c r="AC83" s="20"/>
    </row>
    <row r="84" spans="2:29" x14ac:dyDescent="0.25">
      <c r="B84" s="525"/>
      <c r="C84" s="3" t="s">
        <v>9</v>
      </c>
      <c r="D84" s="43" t="s">
        <v>56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20"/>
      <c r="V84" s="20"/>
      <c r="W84" s="20"/>
      <c r="X84" s="20"/>
      <c r="Y84" s="20"/>
      <c r="Z84" s="20"/>
      <c r="AA84" s="20">
        <v>11.58</v>
      </c>
      <c r="AB84" s="20"/>
      <c r="AC84" s="20"/>
    </row>
    <row r="85" spans="2:29" x14ac:dyDescent="0.25">
      <c r="B85" s="74">
        <v>320200024</v>
      </c>
      <c r="C85" s="4" t="s">
        <v>53</v>
      </c>
      <c r="D85" s="45" t="s">
        <v>54</v>
      </c>
      <c r="F85" s="17"/>
      <c r="G85" s="17"/>
      <c r="H85" s="17"/>
      <c r="I85" s="17"/>
      <c r="J85" s="17">
        <v>2198</v>
      </c>
      <c r="K85" s="17"/>
      <c r="L85" s="17"/>
      <c r="M85" s="17"/>
      <c r="N85" s="19">
        <v>1566.98</v>
      </c>
      <c r="O85" s="17"/>
      <c r="P85" s="17"/>
      <c r="Q85" s="17"/>
      <c r="R85" s="17"/>
      <c r="S85" s="17"/>
      <c r="T85" s="17"/>
      <c r="U85" s="20"/>
      <c r="V85" s="20"/>
      <c r="W85" s="20"/>
      <c r="X85" s="20"/>
      <c r="Y85" s="20"/>
      <c r="Z85" s="20"/>
      <c r="AA85" s="20">
        <v>2193.8000000000002</v>
      </c>
      <c r="AB85" s="20"/>
      <c r="AC85" s="20"/>
    </row>
    <row r="86" spans="2:29" x14ac:dyDescent="0.25">
      <c r="B86" s="524"/>
      <c r="C86" s="524"/>
      <c r="D86" s="524"/>
      <c r="F86" s="516"/>
      <c r="G86" s="516"/>
      <c r="H86" s="516"/>
      <c r="I86" s="516"/>
      <c r="J86" s="516"/>
      <c r="K86" s="516"/>
      <c r="L86" s="516"/>
      <c r="M86" s="516"/>
      <c r="N86" s="516"/>
      <c r="O86" s="516"/>
      <c r="P86" s="516"/>
      <c r="Q86" s="516"/>
      <c r="R86" s="516"/>
      <c r="S86" s="516"/>
      <c r="T86" s="516"/>
      <c r="U86" s="516"/>
      <c r="V86" s="516"/>
      <c r="W86" s="516"/>
      <c r="X86" s="516"/>
      <c r="Y86" s="516"/>
      <c r="Z86" s="516"/>
      <c r="AA86" s="516"/>
      <c r="AB86" s="516"/>
      <c r="AC86" s="516"/>
    </row>
    <row r="87" spans="2:29" x14ac:dyDescent="0.25">
      <c r="B87" s="72">
        <v>320500026</v>
      </c>
      <c r="C87" s="3" t="s">
        <v>19</v>
      </c>
      <c r="D87" s="43" t="s">
        <v>65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>
        <v>182.39</v>
      </c>
      <c r="Q87" s="17"/>
      <c r="R87" s="17">
        <v>179.89</v>
      </c>
      <c r="S87" s="17"/>
      <c r="T87" s="17"/>
      <c r="U87" s="20"/>
      <c r="V87" s="20"/>
      <c r="W87" s="20"/>
      <c r="X87" s="20"/>
      <c r="Y87" s="20"/>
      <c r="Z87" s="20"/>
      <c r="AA87" s="20">
        <v>172.09</v>
      </c>
      <c r="AB87" s="20"/>
      <c r="AC87" s="20"/>
    </row>
    <row r="88" spans="2:29" x14ac:dyDescent="0.25">
      <c r="B88" s="524" t="s">
        <v>280</v>
      </c>
      <c r="C88" s="524"/>
      <c r="D88" s="524"/>
      <c r="F88" s="516"/>
      <c r="G88" s="516"/>
      <c r="H88" s="516"/>
      <c r="I88" s="516"/>
      <c r="J88" s="516"/>
      <c r="K88" s="516"/>
      <c r="L88" s="516"/>
      <c r="M88" s="516"/>
      <c r="N88" s="516"/>
      <c r="O88" s="516"/>
      <c r="P88" s="516"/>
      <c r="Q88" s="516"/>
      <c r="R88" s="516"/>
      <c r="S88" s="516"/>
      <c r="T88" s="516"/>
      <c r="U88" s="516"/>
      <c r="V88" s="516"/>
      <c r="W88" s="516"/>
      <c r="X88" s="516"/>
      <c r="Y88" s="516"/>
      <c r="Z88" s="516"/>
      <c r="AA88" s="516"/>
      <c r="AB88" s="516"/>
      <c r="AC88" s="516"/>
    </row>
    <row r="89" spans="2:29" x14ac:dyDescent="0.25">
      <c r="B89" s="48">
        <v>320100112</v>
      </c>
      <c r="C89" s="5" t="s">
        <v>268</v>
      </c>
      <c r="D89" s="49" t="s">
        <v>49</v>
      </c>
      <c r="F89" s="17"/>
      <c r="G89" s="17"/>
      <c r="H89" s="17"/>
      <c r="I89" s="17"/>
      <c r="J89" s="17"/>
      <c r="K89" s="17"/>
      <c r="L89" s="17">
        <v>389.62</v>
      </c>
      <c r="M89" s="17"/>
      <c r="N89" s="17"/>
      <c r="O89" s="17"/>
      <c r="P89" s="17"/>
      <c r="Q89" s="17"/>
      <c r="R89" s="17"/>
      <c r="S89" s="17"/>
      <c r="T89" s="17"/>
      <c r="U89" s="20">
        <v>409.41</v>
      </c>
      <c r="V89" s="20"/>
      <c r="W89" s="20"/>
      <c r="X89" s="20">
        <v>420.11</v>
      </c>
      <c r="Y89" s="20"/>
      <c r="Z89" s="20"/>
      <c r="AA89" s="20"/>
      <c r="AB89" s="20">
        <v>389.62</v>
      </c>
      <c r="AC89" s="20"/>
    </row>
    <row r="90" spans="2:29" x14ac:dyDescent="0.25">
      <c r="B90" s="48">
        <v>320100123</v>
      </c>
      <c r="C90" s="5" t="s">
        <v>269</v>
      </c>
      <c r="D90" s="49" t="s">
        <v>50</v>
      </c>
      <c r="F90" s="17"/>
      <c r="G90" s="17"/>
      <c r="H90" s="17"/>
      <c r="I90" s="17"/>
      <c r="J90" s="17"/>
      <c r="K90" s="17"/>
      <c r="L90" s="17">
        <v>42.82</v>
      </c>
      <c r="M90" s="17"/>
      <c r="N90" s="17"/>
      <c r="O90" s="17"/>
      <c r="P90" s="17"/>
      <c r="Q90" s="17"/>
      <c r="R90" s="17">
        <v>35.32</v>
      </c>
      <c r="S90" s="17">
        <v>40.200000000000003</v>
      </c>
      <c r="T90" s="17"/>
      <c r="U90" s="20">
        <v>35.9</v>
      </c>
      <c r="V90" s="20"/>
      <c r="W90" s="20"/>
      <c r="X90" s="20"/>
      <c r="Y90" s="20">
        <v>36.04</v>
      </c>
      <c r="Z90" s="20"/>
      <c r="AA90" s="20"/>
      <c r="AB90" s="20"/>
      <c r="AC90" s="20"/>
    </row>
    <row r="91" spans="2:29" x14ac:dyDescent="0.25">
      <c r="B91" s="48">
        <v>3201001710</v>
      </c>
      <c r="C91" s="5" t="s">
        <v>270</v>
      </c>
      <c r="D91" s="49" t="s">
        <v>49</v>
      </c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81">
        <v>485</v>
      </c>
      <c r="X91" s="39"/>
      <c r="Y91" s="39"/>
      <c r="Z91" s="39"/>
      <c r="AA91" s="39"/>
      <c r="AB91" s="39"/>
      <c r="AC91" s="39"/>
    </row>
    <row r="92" spans="2:29" x14ac:dyDescent="0.25">
      <c r="B92" s="524" t="s">
        <v>252</v>
      </c>
      <c r="C92" s="524"/>
      <c r="D92" s="524"/>
      <c r="F92" s="517"/>
      <c r="G92" s="518"/>
      <c r="H92" s="518"/>
      <c r="I92" s="518"/>
      <c r="J92" s="518"/>
      <c r="K92" s="518"/>
      <c r="L92" s="518"/>
      <c r="M92" s="518"/>
      <c r="N92" s="518"/>
      <c r="O92" s="518"/>
      <c r="P92" s="518"/>
      <c r="Q92" s="518"/>
      <c r="R92" s="518"/>
      <c r="S92" s="518"/>
      <c r="T92" s="518"/>
      <c r="U92" s="518"/>
      <c r="V92" s="518"/>
      <c r="W92" s="518"/>
      <c r="X92" s="518"/>
      <c r="Y92" s="518"/>
      <c r="Z92" s="518"/>
      <c r="AA92" s="518"/>
      <c r="AB92" s="518"/>
      <c r="AC92" s="519"/>
    </row>
    <row r="93" spans="2:29" x14ac:dyDescent="0.25">
      <c r="B93" s="525">
        <v>32070006</v>
      </c>
      <c r="C93" s="7" t="s">
        <v>75</v>
      </c>
      <c r="D93" s="50" t="s">
        <v>62</v>
      </c>
      <c r="F93" s="17"/>
      <c r="G93" s="17"/>
      <c r="H93" s="17"/>
      <c r="I93" s="17"/>
      <c r="J93" s="17"/>
      <c r="K93" s="17"/>
      <c r="L93" s="17"/>
      <c r="M93" s="17"/>
      <c r="N93" s="19">
        <v>31.02</v>
      </c>
      <c r="O93" s="17"/>
      <c r="P93" s="17"/>
      <c r="Q93" s="17"/>
      <c r="R93" s="20"/>
      <c r="S93" s="20"/>
      <c r="T93" s="17"/>
      <c r="U93" s="20"/>
      <c r="V93" s="20"/>
      <c r="W93" s="20"/>
      <c r="X93" s="20"/>
      <c r="Y93" s="20"/>
      <c r="Z93" s="20"/>
      <c r="AA93" s="20"/>
      <c r="AB93" s="20"/>
      <c r="AC93" s="20"/>
    </row>
    <row r="94" spans="2:29" x14ac:dyDescent="0.25">
      <c r="B94" s="525"/>
      <c r="C94" s="3" t="s">
        <v>74</v>
      </c>
      <c r="D94" s="43" t="s">
        <v>45</v>
      </c>
      <c r="F94" s="17">
        <v>23.48</v>
      </c>
      <c r="G94" s="17"/>
      <c r="H94" s="17"/>
      <c r="I94" s="17"/>
      <c r="J94" s="17"/>
      <c r="K94" s="17"/>
      <c r="L94" s="17"/>
      <c r="M94" s="17"/>
      <c r="N94" s="19">
        <v>20.61</v>
      </c>
      <c r="O94" s="17"/>
      <c r="P94" s="17">
        <v>32.15</v>
      </c>
      <c r="Q94" s="17"/>
      <c r="R94" s="17">
        <v>19.82</v>
      </c>
      <c r="S94" s="17">
        <v>19.829999999999998</v>
      </c>
      <c r="T94" s="17"/>
      <c r="U94" s="20"/>
      <c r="V94" s="20"/>
      <c r="W94" s="20"/>
      <c r="X94" s="20">
        <v>19.899999999999999</v>
      </c>
      <c r="Y94" s="20"/>
      <c r="Z94" s="20"/>
      <c r="AA94" s="20"/>
      <c r="AB94" s="20"/>
      <c r="AC94" s="20"/>
    </row>
    <row r="95" spans="2:29" x14ac:dyDescent="0.25">
      <c r="B95" s="525"/>
      <c r="C95" s="3" t="s">
        <v>73</v>
      </c>
      <c r="D95" s="43" t="s">
        <v>45</v>
      </c>
      <c r="F95" s="17"/>
      <c r="G95" s="17">
        <v>58.13</v>
      </c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20"/>
      <c r="V95" s="20"/>
      <c r="W95" s="20"/>
      <c r="X95" s="20"/>
      <c r="Y95" s="20"/>
      <c r="Z95" s="20"/>
      <c r="AA95" s="20"/>
      <c r="AB95" s="20"/>
      <c r="AC95" s="20"/>
    </row>
    <row r="96" spans="2:29" x14ac:dyDescent="0.25">
      <c r="B96" s="525"/>
      <c r="C96" s="3" t="s">
        <v>72</v>
      </c>
      <c r="D96" s="43" t="s">
        <v>62</v>
      </c>
      <c r="F96" s="17"/>
      <c r="G96" s="17">
        <v>22.3</v>
      </c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>
        <v>23.98</v>
      </c>
      <c r="T96" s="17"/>
      <c r="U96" s="20"/>
      <c r="V96" s="20"/>
      <c r="W96" s="20"/>
      <c r="X96" s="20"/>
      <c r="Y96" s="20">
        <v>17.91</v>
      </c>
      <c r="Z96" s="20"/>
      <c r="AA96" s="20"/>
      <c r="AB96" s="20"/>
      <c r="AC96" s="20"/>
    </row>
    <row r="97" spans="2:29" x14ac:dyDescent="0.25">
      <c r="B97" s="525"/>
      <c r="C97" s="77" t="s">
        <v>71</v>
      </c>
      <c r="D97" s="46" t="s">
        <v>45</v>
      </c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</row>
    <row r="98" spans="2:29" x14ac:dyDescent="0.25">
      <c r="B98" s="51"/>
      <c r="C98" s="51"/>
      <c r="D98" s="51"/>
      <c r="F98" s="517"/>
      <c r="G98" s="518"/>
      <c r="H98" s="518"/>
      <c r="I98" s="518"/>
      <c r="J98" s="518"/>
      <c r="K98" s="518"/>
      <c r="L98" s="518"/>
      <c r="M98" s="518"/>
      <c r="N98" s="518"/>
      <c r="O98" s="518"/>
      <c r="P98" s="518"/>
      <c r="Q98" s="518"/>
      <c r="R98" s="518"/>
      <c r="S98" s="518"/>
      <c r="T98" s="518"/>
      <c r="U98" s="518"/>
      <c r="V98" s="518"/>
      <c r="W98" s="518"/>
      <c r="X98" s="518"/>
      <c r="Y98" s="518"/>
      <c r="Z98" s="518"/>
      <c r="AA98" s="518"/>
      <c r="AB98" s="518"/>
      <c r="AC98" s="519"/>
    </row>
    <row r="99" spans="2:29" x14ac:dyDescent="0.25">
      <c r="B99" s="75">
        <v>321600081</v>
      </c>
      <c r="C99" s="77" t="s">
        <v>120</v>
      </c>
      <c r="D99" s="46" t="s">
        <v>45</v>
      </c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</row>
    <row r="100" spans="2:29" x14ac:dyDescent="0.25">
      <c r="B100" s="524" t="s">
        <v>257</v>
      </c>
      <c r="C100" s="524"/>
      <c r="D100" s="524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</row>
    <row r="101" spans="2:29" x14ac:dyDescent="0.25">
      <c r="B101" s="41">
        <v>32030001</v>
      </c>
      <c r="C101" s="3" t="s">
        <v>10</v>
      </c>
      <c r="D101" s="43" t="s">
        <v>45</v>
      </c>
      <c r="F101" s="17"/>
      <c r="G101" s="17"/>
      <c r="H101" s="19">
        <v>5.5</v>
      </c>
      <c r="I101" s="17"/>
      <c r="J101" s="17"/>
      <c r="K101" s="17"/>
      <c r="L101" s="17"/>
      <c r="M101" s="17"/>
      <c r="N101" s="19">
        <v>5.5</v>
      </c>
      <c r="O101" s="17"/>
      <c r="P101" s="17">
        <v>4.7699999999999996</v>
      </c>
      <c r="Q101" s="17"/>
      <c r="R101" s="17">
        <v>4.97</v>
      </c>
      <c r="S101" s="17"/>
      <c r="T101" s="17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2:29" x14ac:dyDescent="0.25">
      <c r="B102" s="531"/>
      <c r="C102" s="531"/>
      <c r="D102" s="531"/>
      <c r="F102" s="516"/>
      <c r="G102" s="516"/>
      <c r="H102" s="516"/>
      <c r="I102" s="516"/>
      <c r="J102" s="516"/>
      <c r="K102" s="516"/>
      <c r="L102" s="516"/>
      <c r="M102" s="516"/>
      <c r="N102" s="516"/>
      <c r="O102" s="516"/>
      <c r="P102" s="516"/>
      <c r="Q102" s="516"/>
      <c r="R102" s="516"/>
      <c r="S102" s="516"/>
      <c r="T102" s="516"/>
      <c r="U102" s="516"/>
      <c r="V102" s="516"/>
      <c r="W102" s="516"/>
      <c r="X102" s="516"/>
      <c r="Y102" s="516"/>
      <c r="Z102" s="516"/>
      <c r="AA102" s="516"/>
      <c r="AB102" s="516"/>
      <c r="AC102" s="516"/>
    </row>
    <row r="103" spans="2:29" x14ac:dyDescent="0.25">
      <c r="B103" s="74">
        <v>321500154</v>
      </c>
      <c r="C103" s="4" t="s">
        <v>302</v>
      </c>
      <c r="D103" s="45" t="s">
        <v>62</v>
      </c>
      <c r="F103" s="17"/>
      <c r="G103" s="17"/>
      <c r="H103" s="17"/>
      <c r="I103" s="17"/>
      <c r="J103" s="17">
        <v>125.08</v>
      </c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2:29" x14ac:dyDescent="0.25">
      <c r="B104" s="524" t="s">
        <v>281</v>
      </c>
      <c r="C104" s="524"/>
      <c r="D104" s="524"/>
      <c r="F104" s="516"/>
      <c r="G104" s="516"/>
      <c r="H104" s="516"/>
      <c r="I104" s="516"/>
      <c r="J104" s="516"/>
      <c r="K104" s="516"/>
      <c r="L104" s="516"/>
      <c r="M104" s="516"/>
      <c r="N104" s="516"/>
      <c r="O104" s="516"/>
      <c r="P104" s="516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6"/>
      <c r="AC104" s="516"/>
    </row>
    <row r="105" spans="2:29" x14ac:dyDescent="0.25">
      <c r="B105" s="523">
        <v>32070007</v>
      </c>
      <c r="C105" s="1" t="s">
        <v>77</v>
      </c>
      <c r="D105" s="40" t="s">
        <v>45</v>
      </c>
      <c r="F105" s="17">
        <v>4.75</v>
      </c>
      <c r="G105" s="17"/>
      <c r="H105" s="19">
        <v>4.4000000000000004</v>
      </c>
      <c r="I105" s="17"/>
      <c r="J105" s="17"/>
      <c r="K105" s="17"/>
      <c r="L105" s="17"/>
      <c r="M105" s="17"/>
      <c r="N105" s="19">
        <v>4.91</v>
      </c>
      <c r="O105" s="17"/>
      <c r="P105" s="17"/>
      <c r="Q105" s="17"/>
      <c r="R105" s="17">
        <v>4.07</v>
      </c>
      <c r="S105" s="17"/>
      <c r="T105" s="17"/>
      <c r="U105" s="20">
        <v>4.8</v>
      </c>
      <c r="V105" s="20"/>
      <c r="W105" s="20"/>
      <c r="X105" s="20"/>
      <c r="Y105" s="20"/>
      <c r="Z105" s="80">
        <v>5.19</v>
      </c>
      <c r="AA105" s="20"/>
      <c r="AB105" s="20">
        <v>4.28</v>
      </c>
      <c r="AC105" s="20"/>
    </row>
    <row r="106" spans="2:29" x14ac:dyDescent="0.25">
      <c r="B106" s="523"/>
      <c r="C106" s="1" t="s">
        <v>78</v>
      </c>
      <c r="D106" s="40" t="s">
        <v>45</v>
      </c>
      <c r="F106" s="17">
        <v>6.59</v>
      </c>
      <c r="G106" s="17"/>
      <c r="H106" s="19">
        <v>5.98</v>
      </c>
      <c r="I106" s="17"/>
      <c r="J106" s="17"/>
      <c r="K106" s="17"/>
      <c r="L106" s="17"/>
      <c r="M106" s="17"/>
      <c r="N106" s="19">
        <v>7.2</v>
      </c>
      <c r="O106" s="17"/>
      <c r="P106" s="17">
        <v>5.89</v>
      </c>
      <c r="Q106" s="17"/>
      <c r="R106" s="17">
        <v>6.06</v>
      </c>
      <c r="S106" s="17">
        <v>6.51</v>
      </c>
      <c r="T106" s="17"/>
      <c r="U106" s="20">
        <v>5.89</v>
      </c>
      <c r="V106" s="20"/>
      <c r="W106" s="20"/>
      <c r="X106" s="20"/>
      <c r="Y106" s="20"/>
      <c r="Z106" s="20"/>
      <c r="AA106" s="20"/>
      <c r="AB106" s="20">
        <v>6.68</v>
      </c>
      <c r="AC106" s="20"/>
    </row>
    <row r="107" spans="2:29" x14ac:dyDescent="0.25">
      <c r="B107" s="523"/>
      <c r="C107" s="1" t="s">
        <v>79</v>
      </c>
      <c r="D107" s="40" t="s">
        <v>45</v>
      </c>
      <c r="F107" s="17">
        <v>11.98</v>
      </c>
      <c r="G107" s="17"/>
      <c r="H107" s="19">
        <v>10</v>
      </c>
      <c r="I107" s="17"/>
      <c r="J107" s="17"/>
      <c r="K107" s="17"/>
      <c r="L107" s="17"/>
      <c r="M107" s="17"/>
      <c r="N107" s="19">
        <v>10.38</v>
      </c>
      <c r="O107" s="17"/>
      <c r="P107" s="17">
        <v>9.99</v>
      </c>
      <c r="Q107" s="17"/>
      <c r="R107" s="17">
        <v>10.36</v>
      </c>
      <c r="S107" s="17"/>
      <c r="T107" s="17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2:29" x14ac:dyDescent="0.25">
      <c r="B108" s="523"/>
      <c r="C108" s="6" t="s">
        <v>80</v>
      </c>
      <c r="D108" s="52" t="s">
        <v>45</v>
      </c>
      <c r="F108" s="17">
        <v>27.42</v>
      </c>
      <c r="G108" s="17"/>
      <c r="H108" s="17"/>
      <c r="I108" s="17"/>
      <c r="J108" s="17"/>
      <c r="K108" s="17"/>
      <c r="L108" s="17"/>
      <c r="M108" s="17"/>
      <c r="N108" s="19">
        <v>25.9</v>
      </c>
      <c r="O108" s="17"/>
      <c r="P108" s="17">
        <v>23.5</v>
      </c>
      <c r="Q108" s="17"/>
      <c r="R108" s="17"/>
      <c r="S108" s="17">
        <v>25.05</v>
      </c>
      <c r="T108" s="17"/>
      <c r="U108" s="20">
        <v>29.9</v>
      </c>
      <c r="V108" s="20"/>
      <c r="W108" s="20"/>
      <c r="X108" s="20"/>
      <c r="Y108" s="20"/>
      <c r="Z108" s="20"/>
      <c r="AA108" s="20">
        <v>29.27</v>
      </c>
      <c r="AB108" s="20"/>
      <c r="AC108" s="20"/>
    </row>
    <row r="109" spans="2:29" x14ac:dyDescent="0.25">
      <c r="B109" s="523"/>
      <c r="C109" s="1" t="s">
        <v>76</v>
      </c>
      <c r="D109" s="40" t="s">
        <v>45</v>
      </c>
      <c r="F109" s="17">
        <v>4.1100000000000003</v>
      </c>
      <c r="G109" s="17"/>
      <c r="H109" s="19">
        <v>4.7</v>
      </c>
      <c r="I109" s="17"/>
      <c r="J109" s="17"/>
      <c r="K109" s="17"/>
      <c r="L109" s="17"/>
      <c r="M109" s="17"/>
      <c r="N109" s="19">
        <v>4.5599999999999996</v>
      </c>
      <c r="O109" s="17"/>
      <c r="P109" s="17"/>
      <c r="Q109" s="17"/>
      <c r="R109" s="17">
        <v>3.69</v>
      </c>
      <c r="S109" s="17"/>
      <c r="T109" s="17"/>
      <c r="U109" s="20">
        <v>3.68</v>
      </c>
      <c r="V109" s="20"/>
      <c r="W109" s="20"/>
      <c r="X109" s="20"/>
      <c r="Y109" s="20"/>
      <c r="Z109" s="20"/>
      <c r="AA109" s="20"/>
      <c r="AB109" s="20"/>
      <c r="AC109" s="20"/>
    </row>
    <row r="110" spans="2:29" x14ac:dyDescent="0.25">
      <c r="B110" s="524"/>
      <c r="C110" s="524"/>
      <c r="D110" s="524"/>
      <c r="F110" s="516"/>
      <c r="G110" s="516"/>
      <c r="H110" s="516"/>
      <c r="I110" s="516"/>
      <c r="J110" s="516"/>
      <c r="K110" s="516"/>
      <c r="L110" s="516"/>
      <c r="M110" s="516"/>
      <c r="N110" s="516"/>
      <c r="O110" s="516"/>
      <c r="P110" s="516"/>
      <c r="Q110" s="516"/>
      <c r="R110" s="516"/>
      <c r="S110" s="516"/>
      <c r="T110" s="516"/>
      <c r="U110" s="516"/>
      <c r="V110" s="516"/>
      <c r="W110" s="516"/>
      <c r="X110" s="516"/>
      <c r="Y110" s="516"/>
      <c r="Z110" s="516"/>
      <c r="AA110" s="516"/>
      <c r="AB110" s="516"/>
      <c r="AC110" s="516"/>
    </row>
    <row r="111" spans="2:29" x14ac:dyDescent="0.25">
      <c r="B111" s="72">
        <v>321100011</v>
      </c>
      <c r="C111" s="3" t="s">
        <v>25</v>
      </c>
      <c r="D111" s="43" t="s">
        <v>45</v>
      </c>
      <c r="F111" s="17">
        <v>20.5</v>
      </c>
      <c r="G111" s="17">
        <v>18.97</v>
      </c>
      <c r="H111" s="17"/>
      <c r="I111" s="17"/>
      <c r="J111" s="17"/>
      <c r="K111" s="17"/>
      <c r="L111" s="17"/>
      <c r="M111" s="17"/>
      <c r="N111" s="19">
        <v>19.690000000000001</v>
      </c>
      <c r="O111" s="17"/>
      <c r="P111" s="17"/>
      <c r="Q111" s="17"/>
      <c r="R111" s="17"/>
      <c r="S111" s="17">
        <v>19.98</v>
      </c>
      <c r="T111" s="17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2:29" x14ac:dyDescent="0.25">
      <c r="B112" s="524" t="s">
        <v>300</v>
      </c>
      <c r="C112" s="524"/>
      <c r="D112" s="524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</row>
    <row r="113" spans="2:29" x14ac:dyDescent="0.25">
      <c r="B113" s="537">
        <v>32090019</v>
      </c>
      <c r="C113" s="77" t="s">
        <v>92</v>
      </c>
      <c r="D113" s="46" t="s">
        <v>62</v>
      </c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</row>
    <row r="114" spans="2:29" x14ac:dyDescent="0.25">
      <c r="B114" s="537"/>
      <c r="C114" s="14" t="s">
        <v>90</v>
      </c>
      <c r="D114" s="53" t="s">
        <v>62</v>
      </c>
      <c r="F114" s="17"/>
      <c r="G114" s="17">
        <v>229.88</v>
      </c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20"/>
      <c r="V114" s="20"/>
      <c r="W114" s="20"/>
      <c r="X114" s="20">
        <v>224.37</v>
      </c>
      <c r="Y114" s="20"/>
      <c r="Z114" s="20"/>
      <c r="AA114" s="20"/>
      <c r="AB114" s="20"/>
      <c r="AC114" s="20"/>
    </row>
    <row r="115" spans="2:29" x14ac:dyDescent="0.25">
      <c r="B115" s="537"/>
      <c r="C115" s="14" t="s">
        <v>91</v>
      </c>
      <c r="D115" s="53" t="s">
        <v>62</v>
      </c>
      <c r="F115" s="17"/>
      <c r="G115" s="17"/>
      <c r="H115" s="17"/>
      <c r="I115" s="17"/>
      <c r="J115" s="17"/>
      <c r="K115" s="17"/>
      <c r="L115" s="17"/>
      <c r="M115" s="17"/>
      <c r="N115" s="19">
        <v>293.01</v>
      </c>
      <c r="O115" s="17"/>
      <c r="P115" s="17"/>
      <c r="Q115" s="17"/>
      <c r="R115" s="17"/>
      <c r="S115" s="17"/>
      <c r="T115" s="17"/>
      <c r="U115" s="20"/>
      <c r="V115" s="20"/>
      <c r="W115" s="20"/>
      <c r="X115" s="20">
        <v>261.54000000000002</v>
      </c>
      <c r="Y115" s="20"/>
      <c r="Z115" s="20"/>
      <c r="AA115" s="20"/>
      <c r="AB115" s="20"/>
      <c r="AC115" s="20"/>
    </row>
    <row r="116" spans="2:29" x14ac:dyDescent="0.25">
      <c r="B116" s="538">
        <v>32120004</v>
      </c>
      <c r="C116" s="14" t="s">
        <v>28</v>
      </c>
      <c r="D116" s="53" t="s">
        <v>45</v>
      </c>
      <c r="F116" s="17">
        <v>51.98</v>
      </c>
      <c r="G116" s="17">
        <v>56.39</v>
      </c>
      <c r="H116" s="17"/>
      <c r="I116" s="17"/>
      <c r="J116" s="17"/>
      <c r="K116" s="17"/>
      <c r="L116" s="17"/>
      <c r="M116" s="17"/>
      <c r="N116" s="19">
        <v>61</v>
      </c>
      <c r="O116" s="17"/>
      <c r="P116" s="17"/>
      <c r="Q116" s="17"/>
      <c r="R116" s="17"/>
      <c r="S116" s="17">
        <v>56.42</v>
      </c>
      <c r="T116" s="17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2:29" x14ac:dyDescent="0.25">
      <c r="B117" s="538"/>
      <c r="C117" s="7" t="s">
        <v>98</v>
      </c>
      <c r="D117" s="50" t="s">
        <v>45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>
        <v>61</v>
      </c>
      <c r="S117" s="17"/>
      <c r="T117" s="17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2:29" x14ac:dyDescent="0.25">
      <c r="B118" s="539">
        <v>32120005</v>
      </c>
      <c r="C118" s="4" t="s">
        <v>102</v>
      </c>
      <c r="D118" s="45" t="s">
        <v>45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>
        <v>120.51</v>
      </c>
      <c r="Q118" s="17"/>
      <c r="R118" s="17"/>
      <c r="S118" s="17"/>
      <c r="T118" s="17"/>
      <c r="U118" s="20"/>
      <c r="V118" s="20"/>
      <c r="W118" s="20"/>
      <c r="X118" s="20">
        <v>134.44999999999999</v>
      </c>
      <c r="Y118" s="20"/>
      <c r="Z118" s="20"/>
      <c r="AA118" s="20"/>
      <c r="AB118" s="20"/>
      <c r="AC118" s="20"/>
    </row>
    <row r="119" spans="2:29" x14ac:dyDescent="0.25">
      <c r="B119" s="539"/>
      <c r="C119" s="77" t="s">
        <v>99</v>
      </c>
      <c r="D119" s="46" t="s">
        <v>100</v>
      </c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</row>
    <row r="120" spans="2:29" x14ac:dyDescent="0.25">
      <c r="B120" s="539"/>
      <c r="C120" s="77" t="s">
        <v>101</v>
      </c>
      <c r="D120" s="46" t="s">
        <v>100</v>
      </c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</row>
    <row r="121" spans="2:29" x14ac:dyDescent="0.25">
      <c r="B121" s="539"/>
      <c r="C121" s="4" t="s">
        <v>26</v>
      </c>
      <c r="D121" s="45" t="s">
        <v>45</v>
      </c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81">
        <v>116.99</v>
      </c>
      <c r="AA121" s="39"/>
      <c r="AB121" s="39"/>
      <c r="AC121" s="39"/>
    </row>
    <row r="122" spans="2:29" x14ac:dyDescent="0.25">
      <c r="B122" s="524" t="s">
        <v>253</v>
      </c>
      <c r="C122" s="524"/>
      <c r="D122" s="524"/>
      <c r="F122" s="517"/>
      <c r="G122" s="518"/>
      <c r="H122" s="518"/>
      <c r="I122" s="518"/>
      <c r="J122" s="518"/>
      <c r="K122" s="518"/>
      <c r="L122" s="518"/>
      <c r="M122" s="518"/>
      <c r="N122" s="518"/>
      <c r="O122" s="518"/>
      <c r="P122" s="518"/>
      <c r="Q122" s="518"/>
      <c r="R122" s="518"/>
      <c r="S122" s="518"/>
      <c r="T122" s="518"/>
      <c r="U122" s="518"/>
      <c r="V122" s="518"/>
      <c r="W122" s="518"/>
      <c r="X122" s="518"/>
      <c r="Y122" s="518"/>
      <c r="Z122" s="518"/>
      <c r="AA122" s="518"/>
      <c r="AB122" s="518"/>
      <c r="AC122" s="519"/>
    </row>
    <row r="123" spans="2:29" x14ac:dyDescent="0.25">
      <c r="B123" s="74">
        <v>32120011</v>
      </c>
      <c r="C123" s="4" t="s">
        <v>282</v>
      </c>
      <c r="D123" s="45" t="s">
        <v>45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>
        <v>122.1</v>
      </c>
      <c r="S123" s="17"/>
      <c r="T123" s="17"/>
      <c r="U123" s="20"/>
      <c r="V123" s="20"/>
      <c r="W123" s="20"/>
      <c r="X123" s="20"/>
      <c r="Y123" s="20"/>
      <c r="Z123" s="20"/>
      <c r="AA123" s="20">
        <v>106.69</v>
      </c>
      <c r="AB123" s="20"/>
      <c r="AC123" s="20"/>
    </row>
    <row r="124" spans="2:29" x14ac:dyDescent="0.25">
      <c r="B124" s="524" t="s">
        <v>256</v>
      </c>
      <c r="C124" s="524"/>
      <c r="D124" s="524"/>
      <c r="F124" s="516"/>
      <c r="G124" s="516"/>
      <c r="H124" s="516"/>
      <c r="I124" s="516"/>
      <c r="J124" s="516"/>
      <c r="K124" s="516"/>
      <c r="L124" s="516"/>
      <c r="M124" s="516"/>
      <c r="N124" s="516"/>
      <c r="O124" s="516"/>
      <c r="P124" s="516"/>
      <c r="Q124" s="516"/>
      <c r="R124" s="516"/>
      <c r="S124" s="516"/>
      <c r="T124" s="516"/>
      <c r="U124" s="516"/>
      <c r="V124" s="516"/>
      <c r="W124" s="516"/>
      <c r="X124" s="516"/>
      <c r="Y124" s="516"/>
      <c r="Z124" s="516"/>
      <c r="AA124" s="516"/>
      <c r="AB124" s="516"/>
      <c r="AC124" s="516"/>
    </row>
    <row r="125" spans="2:29" x14ac:dyDescent="0.25">
      <c r="B125" s="525">
        <v>32080004</v>
      </c>
      <c r="C125" s="3" t="s">
        <v>82</v>
      </c>
      <c r="D125" s="43" t="s">
        <v>45</v>
      </c>
      <c r="F125" s="17"/>
      <c r="G125" s="17"/>
      <c r="H125" s="17"/>
      <c r="I125" s="17"/>
      <c r="J125" s="17"/>
      <c r="K125" s="17"/>
      <c r="L125" s="17"/>
      <c r="M125" s="17"/>
      <c r="N125" s="19">
        <v>111.04</v>
      </c>
      <c r="O125" s="17"/>
      <c r="P125" s="17"/>
      <c r="Q125" s="17"/>
      <c r="R125" s="17"/>
      <c r="S125" s="17">
        <v>259</v>
      </c>
      <c r="T125" s="17"/>
      <c r="U125" s="20">
        <v>138.53</v>
      </c>
      <c r="V125" s="20"/>
      <c r="W125" s="20"/>
      <c r="X125" s="20"/>
      <c r="Y125" s="20"/>
      <c r="Z125" s="20"/>
      <c r="AA125" s="20">
        <v>84.12</v>
      </c>
      <c r="AB125" s="20"/>
      <c r="AC125" s="20"/>
    </row>
    <row r="126" spans="2:29" x14ac:dyDescent="0.25">
      <c r="B126" s="525"/>
      <c r="C126" s="3" t="s">
        <v>83</v>
      </c>
      <c r="D126" s="43" t="s">
        <v>45</v>
      </c>
      <c r="F126" s="17"/>
      <c r="G126" s="17"/>
      <c r="H126" s="17"/>
      <c r="I126" s="17"/>
      <c r="J126" s="17"/>
      <c r="K126" s="17"/>
      <c r="L126" s="17"/>
      <c r="M126" s="17"/>
      <c r="N126" s="19">
        <v>111.04</v>
      </c>
      <c r="O126" s="17"/>
      <c r="P126" s="17"/>
      <c r="Q126" s="17"/>
      <c r="R126" s="17"/>
      <c r="S126" s="17"/>
      <c r="T126" s="17"/>
      <c r="U126" s="20">
        <v>138.53</v>
      </c>
      <c r="V126" s="20"/>
      <c r="W126" s="20"/>
      <c r="X126" s="20"/>
      <c r="Y126" s="20"/>
      <c r="Z126" s="20"/>
      <c r="AA126" s="20">
        <v>84.12</v>
      </c>
      <c r="AB126" s="20"/>
      <c r="AC126" s="20"/>
    </row>
    <row r="127" spans="2:29" x14ac:dyDescent="0.25">
      <c r="B127" s="525"/>
      <c r="C127" s="3" t="s">
        <v>8</v>
      </c>
      <c r="D127" s="43" t="s">
        <v>45</v>
      </c>
      <c r="F127" s="17"/>
      <c r="G127" s="17"/>
      <c r="H127" s="19">
        <v>78.599999999999994</v>
      </c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>
        <v>164</v>
      </c>
      <c r="T127" s="17"/>
      <c r="U127" s="20"/>
      <c r="V127" s="20"/>
      <c r="W127" s="20"/>
      <c r="X127" s="20"/>
      <c r="Y127" s="20"/>
      <c r="Z127" s="20"/>
      <c r="AA127" s="20">
        <v>84.12</v>
      </c>
      <c r="AB127" s="20"/>
      <c r="AC127" s="20"/>
    </row>
    <row r="128" spans="2:29" x14ac:dyDescent="0.25">
      <c r="B128" s="74">
        <v>320800057</v>
      </c>
      <c r="C128" s="12" t="s">
        <v>272</v>
      </c>
      <c r="D128" s="44" t="s">
        <v>45</v>
      </c>
      <c r="F128" s="17"/>
      <c r="G128" s="17"/>
      <c r="H128" s="19">
        <v>118.12</v>
      </c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2:29" x14ac:dyDescent="0.25">
      <c r="B129" s="524"/>
      <c r="C129" s="524"/>
      <c r="D129" s="524"/>
      <c r="F129" s="516"/>
      <c r="G129" s="516"/>
      <c r="H129" s="516"/>
      <c r="I129" s="516"/>
      <c r="J129" s="516"/>
      <c r="K129" s="516"/>
      <c r="L129" s="516"/>
      <c r="M129" s="516"/>
      <c r="N129" s="516"/>
      <c r="O129" s="516"/>
      <c r="P129" s="516"/>
      <c r="Q129" s="516"/>
      <c r="R129" s="516"/>
      <c r="S129" s="516"/>
      <c r="T129" s="516"/>
      <c r="U129" s="516"/>
      <c r="V129" s="516"/>
      <c r="W129" s="516"/>
      <c r="X129" s="516"/>
      <c r="Y129" s="516"/>
      <c r="Z129" s="516"/>
      <c r="AA129" s="516"/>
      <c r="AB129" s="516"/>
      <c r="AC129" s="516"/>
    </row>
    <row r="130" spans="2:29" x14ac:dyDescent="0.25">
      <c r="B130" s="72">
        <v>320900102</v>
      </c>
      <c r="C130" s="3" t="s">
        <v>87</v>
      </c>
      <c r="D130" s="43" t="s">
        <v>62</v>
      </c>
      <c r="F130" s="17"/>
      <c r="G130" s="17"/>
      <c r="H130" s="17"/>
      <c r="I130" s="17"/>
      <c r="J130" s="17"/>
      <c r="K130" s="17"/>
      <c r="L130" s="17"/>
      <c r="M130" s="17"/>
      <c r="N130" s="19">
        <v>129.6</v>
      </c>
      <c r="O130" s="17"/>
      <c r="P130" s="17"/>
      <c r="Q130" s="17"/>
      <c r="R130" s="17"/>
      <c r="S130" s="17"/>
      <c r="T130" s="17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2:29" x14ac:dyDescent="0.25">
      <c r="B131" s="524" t="s">
        <v>283</v>
      </c>
      <c r="C131" s="524"/>
      <c r="D131" s="524"/>
      <c r="F131" s="516"/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  <c r="Q131" s="516"/>
      <c r="R131" s="516"/>
      <c r="S131" s="516"/>
      <c r="T131" s="516"/>
      <c r="U131" s="516"/>
      <c r="V131" s="516"/>
      <c r="W131" s="516"/>
      <c r="X131" s="516"/>
      <c r="Y131" s="516"/>
      <c r="Z131" s="516"/>
      <c r="AA131" s="516"/>
      <c r="AB131" s="516"/>
      <c r="AC131" s="516"/>
    </row>
    <row r="132" spans="2:29" x14ac:dyDescent="0.25">
      <c r="B132" s="72">
        <v>320900135</v>
      </c>
      <c r="C132" s="3" t="s">
        <v>89</v>
      </c>
      <c r="D132" s="43" t="s">
        <v>45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20"/>
      <c r="V132" s="20"/>
      <c r="W132" s="20"/>
      <c r="X132" s="20">
        <v>30.74</v>
      </c>
      <c r="Y132" s="20"/>
      <c r="Z132" s="20"/>
      <c r="AA132" s="20"/>
      <c r="AB132" s="20">
        <v>24.88</v>
      </c>
      <c r="AC132" s="20"/>
    </row>
    <row r="133" spans="2:29" x14ac:dyDescent="0.25">
      <c r="B133" s="72">
        <v>320900131</v>
      </c>
      <c r="C133" s="3" t="s">
        <v>88</v>
      </c>
      <c r="D133" s="43" t="s">
        <v>45</v>
      </c>
      <c r="F133" s="17"/>
      <c r="G133" s="17">
        <v>22.67</v>
      </c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>
        <v>25.68</v>
      </c>
      <c r="T133" s="17"/>
      <c r="U133" s="20"/>
      <c r="V133" s="20"/>
      <c r="W133" s="20"/>
      <c r="X133" s="20"/>
      <c r="Y133" s="20"/>
      <c r="Z133" s="20"/>
      <c r="AA133" s="20"/>
      <c r="AB133" s="20">
        <v>22.99</v>
      </c>
      <c r="AC133" s="20"/>
    </row>
    <row r="134" spans="2:29" x14ac:dyDescent="0.25">
      <c r="B134" s="524"/>
      <c r="C134" s="524"/>
      <c r="D134" s="524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2:29" x14ac:dyDescent="0.25">
      <c r="B135" s="72">
        <v>320900212</v>
      </c>
      <c r="C135" s="3" t="s">
        <v>24</v>
      </c>
      <c r="D135" s="43" t="s">
        <v>62</v>
      </c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>
        <v>12.75</v>
      </c>
      <c r="S135" s="17"/>
      <c r="T135" s="17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2:29" x14ac:dyDescent="0.25">
      <c r="B136" s="524"/>
      <c r="C136" s="524"/>
      <c r="D136" s="524"/>
      <c r="F136" s="516"/>
      <c r="G136" s="516"/>
      <c r="H136" s="516"/>
      <c r="I136" s="516"/>
      <c r="J136" s="516"/>
      <c r="K136" s="516"/>
      <c r="L136" s="516"/>
      <c r="M136" s="516"/>
      <c r="N136" s="516"/>
      <c r="O136" s="516"/>
      <c r="P136" s="516"/>
      <c r="Q136" s="516"/>
      <c r="R136" s="516"/>
      <c r="S136" s="516"/>
      <c r="T136" s="516"/>
      <c r="U136" s="516"/>
      <c r="V136" s="516"/>
      <c r="W136" s="516"/>
      <c r="X136" s="516"/>
      <c r="Y136" s="516"/>
      <c r="Z136" s="516"/>
      <c r="AA136" s="516"/>
      <c r="AB136" s="516"/>
      <c r="AC136" s="516"/>
    </row>
    <row r="137" spans="2:29" x14ac:dyDescent="0.25">
      <c r="B137" s="72">
        <v>320500044</v>
      </c>
      <c r="C137" s="3" t="s">
        <v>21</v>
      </c>
      <c r="D137" s="43" t="s">
        <v>58</v>
      </c>
      <c r="F137" s="17"/>
      <c r="G137" s="17"/>
      <c r="H137" s="17"/>
      <c r="I137" s="17"/>
      <c r="J137" s="17"/>
      <c r="K137" s="17"/>
      <c r="L137" s="17"/>
      <c r="M137" s="17"/>
      <c r="N137" s="19">
        <v>125.48</v>
      </c>
      <c r="O137" s="17"/>
      <c r="P137" s="17"/>
      <c r="Q137" s="17"/>
      <c r="R137" s="17"/>
      <c r="S137" s="17"/>
      <c r="T137" s="17"/>
      <c r="U137" s="20"/>
      <c r="V137" s="20"/>
      <c r="W137" s="20"/>
      <c r="X137" s="20"/>
      <c r="Y137" s="20"/>
      <c r="Z137" s="20"/>
      <c r="AA137" s="20">
        <v>107.95</v>
      </c>
      <c r="AB137" s="20"/>
      <c r="AC137" s="20"/>
    </row>
    <row r="138" spans="2:29" x14ac:dyDescent="0.25">
      <c r="B138" s="72">
        <v>320500031</v>
      </c>
      <c r="C138" s="3" t="s">
        <v>66</v>
      </c>
      <c r="D138" s="43" t="s">
        <v>58</v>
      </c>
      <c r="F138" s="39">
        <v>1568.85</v>
      </c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</row>
    <row r="139" spans="2:29" x14ac:dyDescent="0.25">
      <c r="B139" s="74">
        <v>321500066</v>
      </c>
      <c r="C139" s="4" t="s">
        <v>292</v>
      </c>
      <c r="D139" s="45" t="s">
        <v>117</v>
      </c>
      <c r="F139" s="17"/>
      <c r="G139" s="17"/>
      <c r="H139" s="17"/>
      <c r="I139" s="17"/>
      <c r="J139" s="17">
        <v>570</v>
      </c>
      <c r="K139" s="17"/>
      <c r="L139" s="17"/>
      <c r="M139" s="17"/>
      <c r="N139" s="19"/>
      <c r="O139" s="17"/>
      <c r="P139" s="17"/>
      <c r="Q139" s="17"/>
      <c r="R139" s="17"/>
      <c r="S139" s="17"/>
      <c r="T139" s="17"/>
      <c r="U139" s="20"/>
      <c r="V139" s="20"/>
      <c r="W139" s="80">
        <v>744.75</v>
      </c>
      <c r="X139" s="20"/>
      <c r="Y139" s="20"/>
      <c r="Z139" s="20"/>
      <c r="AA139" s="20">
        <v>574</v>
      </c>
      <c r="AB139" s="20"/>
      <c r="AC139" s="20"/>
    </row>
    <row r="140" spans="2:29" x14ac:dyDescent="0.25">
      <c r="B140" s="524"/>
      <c r="C140" s="524"/>
      <c r="D140" s="524"/>
      <c r="F140" s="517"/>
      <c r="G140" s="518"/>
      <c r="H140" s="518"/>
      <c r="I140" s="518"/>
      <c r="J140" s="518"/>
      <c r="K140" s="518"/>
      <c r="L140" s="518"/>
      <c r="M140" s="518"/>
      <c r="N140" s="518"/>
      <c r="O140" s="518"/>
      <c r="P140" s="518"/>
      <c r="Q140" s="518"/>
      <c r="R140" s="518"/>
      <c r="S140" s="518"/>
      <c r="T140" s="518"/>
      <c r="U140" s="518"/>
      <c r="V140" s="518"/>
      <c r="W140" s="518"/>
      <c r="X140" s="518"/>
      <c r="Y140" s="518"/>
      <c r="Z140" s="518"/>
      <c r="AA140" s="518"/>
      <c r="AB140" s="518"/>
      <c r="AC140" s="519"/>
    </row>
    <row r="141" spans="2:29" x14ac:dyDescent="0.25">
      <c r="B141" s="72">
        <v>321600051</v>
      </c>
      <c r="C141" s="77" t="s">
        <v>33</v>
      </c>
      <c r="D141" s="46" t="s">
        <v>45</v>
      </c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</row>
    <row r="142" spans="2:29" x14ac:dyDescent="0.25">
      <c r="B142" s="72">
        <v>320900041</v>
      </c>
      <c r="C142" s="3" t="s">
        <v>85</v>
      </c>
      <c r="D142" s="43" t="s">
        <v>62</v>
      </c>
      <c r="F142" s="17"/>
      <c r="G142" s="17"/>
      <c r="H142" s="17"/>
      <c r="I142" s="17"/>
      <c r="J142" s="17"/>
      <c r="K142" s="17"/>
      <c r="L142" s="17"/>
      <c r="M142" s="17"/>
      <c r="N142" s="19">
        <v>13.7</v>
      </c>
      <c r="O142" s="17"/>
      <c r="P142" s="17"/>
      <c r="Q142" s="17"/>
      <c r="R142" s="17"/>
      <c r="S142" s="17">
        <v>22.28</v>
      </c>
      <c r="T142" s="17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2:29" x14ac:dyDescent="0.25">
      <c r="B143" s="524"/>
      <c r="C143" s="524"/>
      <c r="D143" s="524"/>
      <c r="F143" s="516"/>
      <c r="G143" s="516"/>
      <c r="H143" s="516"/>
      <c r="I143" s="516"/>
      <c r="J143" s="516"/>
      <c r="K143" s="516"/>
      <c r="L143" s="516"/>
      <c r="M143" s="516"/>
      <c r="N143" s="516"/>
      <c r="O143" s="516"/>
      <c r="P143" s="516"/>
      <c r="Q143" s="516"/>
      <c r="R143" s="516"/>
      <c r="S143" s="516"/>
      <c r="T143" s="516"/>
      <c r="U143" s="516"/>
      <c r="V143" s="516"/>
      <c r="W143" s="516"/>
      <c r="X143" s="516"/>
      <c r="Y143" s="516"/>
      <c r="Z143" s="516"/>
      <c r="AA143" s="516"/>
      <c r="AB143" s="516"/>
      <c r="AC143" s="516"/>
    </row>
    <row r="144" spans="2:29" x14ac:dyDescent="0.25">
      <c r="B144" s="41">
        <v>321500062</v>
      </c>
      <c r="C144" s="2" t="s">
        <v>271</v>
      </c>
      <c r="D144" s="42" t="s">
        <v>58</v>
      </c>
      <c r="F144" s="17"/>
      <c r="G144" s="17"/>
      <c r="H144" s="17"/>
      <c r="I144" s="17"/>
      <c r="J144" s="17">
        <v>9250</v>
      </c>
      <c r="K144" s="17"/>
      <c r="L144" s="17"/>
      <c r="M144" s="17"/>
      <c r="N144" s="19">
        <v>9200</v>
      </c>
      <c r="O144" s="17"/>
      <c r="P144" s="17"/>
      <c r="Q144" s="17"/>
      <c r="R144" s="17"/>
      <c r="S144" s="17"/>
      <c r="T144" s="17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2:29" x14ac:dyDescent="0.25">
      <c r="B145" s="524" t="s">
        <v>298</v>
      </c>
      <c r="C145" s="524"/>
      <c r="D145" s="524"/>
      <c r="F145" s="516"/>
      <c r="G145" s="516"/>
      <c r="H145" s="516"/>
      <c r="I145" s="516"/>
      <c r="J145" s="516"/>
      <c r="K145" s="516"/>
      <c r="L145" s="516"/>
      <c r="M145" s="516"/>
      <c r="N145" s="516"/>
      <c r="O145" s="516"/>
      <c r="P145" s="516"/>
      <c r="Q145" s="516"/>
      <c r="R145" s="516"/>
      <c r="S145" s="516"/>
      <c r="T145" s="516"/>
      <c r="U145" s="516"/>
      <c r="V145" s="516"/>
      <c r="W145" s="516"/>
      <c r="X145" s="516"/>
      <c r="Y145" s="516"/>
      <c r="Z145" s="516"/>
      <c r="AA145" s="516"/>
      <c r="AB145" s="516"/>
      <c r="AC145" s="516"/>
    </row>
    <row r="146" spans="2:29" x14ac:dyDescent="0.25">
      <c r="B146" s="76">
        <v>3211000211</v>
      </c>
      <c r="C146" s="4" t="s">
        <v>95</v>
      </c>
      <c r="D146" s="45" t="s">
        <v>45</v>
      </c>
      <c r="F146" s="17"/>
      <c r="G146" s="17">
        <v>199.8</v>
      </c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2:29" x14ac:dyDescent="0.25">
      <c r="B147" s="76">
        <v>3211000212</v>
      </c>
      <c r="C147" s="4" t="s">
        <v>96</v>
      </c>
      <c r="D147" s="45" t="s">
        <v>62</v>
      </c>
      <c r="F147" s="17"/>
      <c r="G147" s="17">
        <v>242.95</v>
      </c>
      <c r="H147" s="17"/>
      <c r="I147" s="17"/>
      <c r="J147" s="17"/>
      <c r="K147" s="17"/>
      <c r="L147" s="17"/>
      <c r="M147" s="17"/>
      <c r="N147" s="19">
        <v>228.86</v>
      </c>
      <c r="O147" s="20"/>
      <c r="P147" s="17"/>
      <c r="Q147" s="17"/>
      <c r="R147" s="17"/>
      <c r="S147" s="17"/>
      <c r="T147" s="17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2:29" x14ac:dyDescent="0.25">
      <c r="B148" s="524" t="s">
        <v>254</v>
      </c>
      <c r="C148" s="524"/>
      <c r="D148" s="524"/>
      <c r="F148" s="516"/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  <c r="Q148" s="516"/>
      <c r="R148" s="516"/>
      <c r="S148" s="516"/>
      <c r="T148" s="516"/>
      <c r="U148" s="516"/>
      <c r="V148" s="516"/>
      <c r="W148" s="516"/>
      <c r="X148" s="516"/>
      <c r="Y148" s="516"/>
      <c r="Z148" s="516"/>
      <c r="AA148" s="516"/>
      <c r="AB148" s="516"/>
      <c r="AC148" s="516"/>
    </row>
    <row r="149" spans="2:29" x14ac:dyDescent="0.25">
      <c r="B149" s="535">
        <v>32130006</v>
      </c>
      <c r="C149" s="12" t="s">
        <v>273</v>
      </c>
      <c r="D149" s="44" t="s">
        <v>62</v>
      </c>
      <c r="F149" s="17"/>
      <c r="G149" s="17"/>
      <c r="H149" s="17"/>
      <c r="I149" s="17"/>
      <c r="J149" s="17"/>
      <c r="K149" s="17"/>
      <c r="L149" s="17"/>
      <c r="M149" s="17"/>
      <c r="N149" s="19">
        <v>24.5</v>
      </c>
      <c r="O149" s="17"/>
      <c r="P149" s="17"/>
      <c r="Q149" s="17"/>
      <c r="R149" s="17">
        <v>21.36</v>
      </c>
      <c r="S149" s="17">
        <v>19.82</v>
      </c>
      <c r="T149" s="17"/>
      <c r="U149" s="20">
        <v>22.39</v>
      </c>
      <c r="V149" s="20"/>
      <c r="W149" s="20"/>
      <c r="X149" s="20"/>
      <c r="Y149" s="20"/>
      <c r="Z149" s="20"/>
      <c r="AA149" s="20">
        <v>19.059999999999999</v>
      </c>
      <c r="AB149" s="20"/>
      <c r="AC149" s="20"/>
    </row>
    <row r="150" spans="2:29" x14ac:dyDescent="0.25">
      <c r="B150" s="535"/>
      <c r="C150" s="12" t="s">
        <v>103</v>
      </c>
      <c r="D150" s="44" t="s">
        <v>45</v>
      </c>
      <c r="F150" s="17"/>
      <c r="G150" s="17"/>
      <c r="H150" s="19">
        <v>26.3</v>
      </c>
      <c r="I150" s="17"/>
      <c r="J150" s="17"/>
      <c r="K150" s="17"/>
      <c r="L150" s="17"/>
      <c r="M150" s="17"/>
      <c r="N150" s="19">
        <v>43.04</v>
      </c>
      <c r="O150" s="17"/>
      <c r="P150" s="17"/>
      <c r="Q150" s="17"/>
      <c r="R150" s="17"/>
      <c r="S150" s="17">
        <v>25.6</v>
      </c>
      <c r="T150" s="17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2:29" x14ac:dyDescent="0.25">
      <c r="B151" s="41">
        <v>322300033</v>
      </c>
      <c r="C151" s="2" t="s">
        <v>306</v>
      </c>
      <c r="D151" s="42" t="s">
        <v>62</v>
      </c>
      <c r="F151" s="17"/>
      <c r="G151" s="17"/>
      <c r="H151" s="17"/>
      <c r="I151" s="17"/>
      <c r="J151" s="17"/>
      <c r="K151" s="17"/>
      <c r="L151" s="17"/>
      <c r="M151" s="17"/>
      <c r="N151" s="19">
        <v>71.900000000000006</v>
      </c>
      <c r="O151" s="17"/>
      <c r="P151" s="17"/>
      <c r="Q151" s="17"/>
      <c r="R151" s="17">
        <v>71.7</v>
      </c>
      <c r="S151" s="17">
        <v>69.2</v>
      </c>
      <c r="T151" s="17"/>
      <c r="U151" s="20">
        <v>60.69</v>
      </c>
      <c r="V151" s="20"/>
      <c r="W151" s="20"/>
      <c r="X151" s="20"/>
      <c r="Y151" s="20">
        <v>57.7</v>
      </c>
      <c r="Z151" s="20"/>
      <c r="AA151" s="20"/>
      <c r="AB151" s="20"/>
      <c r="AC151" s="20"/>
    </row>
    <row r="152" spans="2:29" x14ac:dyDescent="0.25">
      <c r="B152" s="72">
        <v>322300054</v>
      </c>
      <c r="C152" s="3" t="s">
        <v>121</v>
      </c>
      <c r="D152" s="43" t="s">
        <v>45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20"/>
      <c r="V152" s="20"/>
      <c r="W152" s="20"/>
      <c r="X152" s="20"/>
      <c r="Y152" s="20"/>
      <c r="Z152" s="20"/>
      <c r="AA152" s="20">
        <v>22.41</v>
      </c>
      <c r="AB152" s="20"/>
      <c r="AC152" s="20"/>
    </row>
    <row r="153" spans="2:29" x14ac:dyDescent="0.25">
      <c r="B153" s="524" t="s">
        <v>388</v>
      </c>
      <c r="C153" s="524"/>
      <c r="D153" s="524"/>
      <c r="F153" s="516"/>
      <c r="G153" s="516"/>
      <c r="H153" s="516"/>
      <c r="I153" s="516"/>
      <c r="J153" s="516"/>
      <c r="K153" s="516"/>
      <c r="L153" s="516"/>
      <c r="M153" s="516"/>
      <c r="N153" s="516"/>
      <c r="O153" s="516"/>
      <c r="P153" s="516"/>
      <c r="Q153" s="516"/>
      <c r="R153" s="516"/>
      <c r="S153" s="516"/>
      <c r="T153" s="516"/>
      <c r="U153" s="516"/>
      <c r="V153" s="516"/>
      <c r="W153" s="516"/>
      <c r="X153" s="516"/>
      <c r="Y153" s="516"/>
      <c r="Z153" s="516"/>
      <c r="AA153" s="516"/>
      <c r="AB153" s="516"/>
      <c r="AC153" s="516"/>
    </row>
    <row r="154" spans="2:29" x14ac:dyDescent="0.25">
      <c r="B154" s="525">
        <v>32020006</v>
      </c>
      <c r="C154" s="3" t="s">
        <v>395</v>
      </c>
      <c r="D154" s="43" t="s">
        <v>58</v>
      </c>
      <c r="F154" s="17"/>
      <c r="G154" s="17"/>
      <c r="H154" s="17"/>
      <c r="I154" s="17"/>
      <c r="J154" s="17"/>
      <c r="K154" s="17"/>
      <c r="L154" s="17"/>
      <c r="M154" s="17"/>
      <c r="N154" s="19">
        <v>203.9</v>
      </c>
      <c r="O154" s="17"/>
      <c r="P154" s="17"/>
      <c r="Q154" s="17"/>
      <c r="R154" s="17">
        <v>155.4</v>
      </c>
      <c r="S154" s="17"/>
      <c r="T154" s="17"/>
      <c r="U154" s="20">
        <v>165.6</v>
      </c>
      <c r="V154" s="20"/>
      <c r="W154" s="20"/>
      <c r="X154" s="20"/>
      <c r="Y154" s="20"/>
      <c r="Z154" s="20"/>
      <c r="AA154" s="20"/>
      <c r="AB154" s="20"/>
      <c r="AC154" s="20"/>
    </row>
    <row r="155" spans="2:29" x14ac:dyDescent="0.25">
      <c r="B155" s="525"/>
      <c r="C155" s="3" t="s">
        <v>2</v>
      </c>
      <c r="D155" s="43" t="s">
        <v>58</v>
      </c>
      <c r="F155" s="17">
        <v>98</v>
      </c>
      <c r="G155" s="17"/>
      <c r="H155" s="19">
        <v>86.09</v>
      </c>
      <c r="I155" s="17"/>
      <c r="J155" s="17"/>
      <c r="K155" s="17"/>
      <c r="L155" s="17"/>
      <c r="M155" s="17"/>
      <c r="N155" s="19">
        <v>87.3</v>
      </c>
      <c r="O155" s="17"/>
      <c r="P155" s="17"/>
      <c r="Q155" s="17"/>
      <c r="R155" s="17">
        <v>89.45</v>
      </c>
      <c r="S155" s="17">
        <v>83.65</v>
      </c>
      <c r="T155" s="17"/>
      <c r="U155" s="20">
        <v>90.8</v>
      </c>
      <c r="V155" s="20"/>
      <c r="W155" s="20"/>
      <c r="X155" s="20"/>
      <c r="Y155" s="20"/>
      <c r="Z155" s="20"/>
      <c r="AA155" s="20">
        <v>98.75</v>
      </c>
      <c r="AB155" s="20"/>
      <c r="AC155" s="20"/>
    </row>
    <row r="156" spans="2:29" x14ac:dyDescent="0.25">
      <c r="B156" s="525"/>
      <c r="C156" s="3" t="s">
        <v>60</v>
      </c>
      <c r="D156" s="43" t="s">
        <v>58</v>
      </c>
      <c r="F156" s="17">
        <v>142.85</v>
      </c>
      <c r="G156" s="17"/>
      <c r="H156" s="19">
        <v>114.5</v>
      </c>
      <c r="I156" s="17"/>
      <c r="J156" s="17"/>
      <c r="K156" s="17"/>
      <c r="L156" s="17"/>
      <c r="M156" s="17"/>
      <c r="N156" s="19">
        <v>156</v>
      </c>
      <c r="O156" s="17"/>
      <c r="P156" s="17"/>
      <c r="Q156" s="17"/>
      <c r="R156" s="17"/>
      <c r="S156" s="17">
        <v>115.91</v>
      </c>
      <c r="T156" s="17"/>
      <c r="U156" s="20">
        <v>87.06</v>
      </c>
      <c r="V156" s="20"/>
      <c r="W156" s="20"/>
      <c r="X156" s="20"/>
      <c r="Y156" s="20"/>
      <c r="Z156" s="20"/>
      <c r="AA156" s="20">
        <v>89.65</v>
      </c>
      <c r="AB156" s="20"/>
      <c r="AC156" s="20"/>
    </row>
    <row r="157" spans="2:29" x14ac:dyDescent="0.25">
      <c r="B157" s="536"/>
      <c r="C157" s="536"/>
      <c r="D157" s="536"/>
      <c r="F157" s="516"/>
      <c r="G157" s="516"/>
      <c r="H157" s="516"/>
      <c r="I157" s="516"/>
      <c r="J157" s="516"/>
      <c r="K157" s="516"/>
      <c r="L157" s="516"/>
      <c r="M157" s="516"/>
      <c r="N157" s="516"/>
      <c r="O157" s="516"/>
      <c r="P157" s="516"/>
      <c r="Q157" s="516"/>
      <c r="R157" s="516"/>
      <c r="S157" s="516"/>
      <c r="T157" s="516"/>
      <c r="U157" s="516"/>
      <c r="V157" s="516"/>
      <c r="W157" s="516"/>
      <c r="X157" s="516"/>
      <c r="Y157" s="516"/>
      <c r="Z157" s="516"/>
      <c r="AA157" s="516"/>
      <c r="AB157" s="516"/>
      <c r="AC157" s="516"/>
    </row>
    <row r="158" spans="2:29" x14ac:dyDescent="0.25">
      <c r="B158" s="72">
        <v>320900052</v>
      </c>
      <c r="C158" s="3" t="s">
        <v>86</v>
      </c>
      <c r="D158" s="43" t="s">
        <v>45</v>
      </c>
      <c r="F158" s="17"/>
      <c r="G158" s="17"/>
      <c r="H158" s="17"/>
      <c r="I158" s="17"/>
      <c r="J158" s="17"/>
      <c r="K158" s="17"/>
      <c r="L158" s="17"/>
      <c r="M158" s="17"/>
      <c r="N158" s="19">
        <v>347.02</v>
      </c>
      <c r="O158" s="17"/>
      <c r="P158" s="17"/>
      <c r="Q158" s="17"/>
      <c r="R158" s="17"/>
      <c r="S158" s="17"/>
      <c r="T158" s="17"/>
      <c r="U158" s="20"/>
      <c r="V158" s="20"/>
      <c r="W158" s="20"/>
      <c r="X158" s="20"/>
      <c r="Y158" s="20">
        <v>309.10000000000002</v>
      </c>
      <c r="Z158" s="20"/>
      <c r="AA158" s="20"/>
      <c r="AB158" s="20"/>
      <c r="AC158" s="20"/>
    </row>
    <row r="159" spans="2:29" x14ac:dyDescent="0.25">
      <c r="B159" s="524"/>
      <c r="C159" s="524"/>
      <c r="D159" s="524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2:29" x14ac:dyDescent="0.25">
      <c r="B160" s="73">
        <v>3212000815</v>
      </c>
      <c r="C160" s="1" t="s">
        <v>104</v>
      </c>
      <c r="D160" s="40" t="s">
        <v>45</v>
      </c>
      <c r="F160" s="17"/>
      <c r="G160" s="17"/>
      <c r="H160" s="17"/>
      <c r="I160" s="17"/>
      <c r="J160" s="17"/>
      <c r="K160" s="17"/>
      <c r="L160" s="17"/>
      <c r="M160" s="17"/>
      <c r="N160" s="19">
        <v>73.2</v>
      </c>
      <c r="O160" s="17">
        <v>69.430000000000007</v>
      </c>
      <c r="P160" s="17"/>
      <c r="Q160" s="17"/>
      <c r="R160" s="17"/>
      <c r="S160" s="17">
        <v>71.900000000000006</v>
      </c>
      <c r="T160" s="17"/>
      <c r="U160" s="20">
        <v>70.36</v>
      </c>
      <c r="V160" s="20"/>
      <c r="W160" s="20"/>
      <c r="X160" s="20"/>
      <c r="Y160" s="20"/>
      <c r="Z160" s="20"/>
      <c r="AA160" s="20"/>
      <c r="AB160" s="20"/>
      <c r="AC160" s="20"/>
    </row>
    <row r="161" spans="2:29" x14ac:dyDescent="0.25">
      <c r="B161" s="76">
        <v>321200332</v>
      </c>
      <c r="C161" s="77" t="s">
        <v>293</v>
      </c>
      <c r="D161" s="46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</row>
    <row r="162" spans="2:29" x14ac:dyDescent="0.25">
      <c r="B162" s="524" t="s">
        <v>255</v>
      </c>
      <c r="C162" s="524"/>
      <c r="D162" s="524"/>
      <c r="F162" s="517"/>
      <c r="G162" s="518"/>
      <c r="H162" s="518"/>
      <c r="I162" s="518"/>
      <c r="J162" s="518"/>
      <c r="K162" s="518"/>
      <c r="L162" s="518"/>
      <c r="M162" s="518"/>
      <c r="N162" s="518"/>
      <c r="O162" s="518"/>
      <c r="P162" s="518"/>
      <c r="Q162" s="518"/>
      <c r="R162" s="518"/>
      <c r="S162" s="518"/>
      <c r="T162" s="518"/>
      <c r="U162" s="518"/>
      <c r="V162" s="518"/>
      <c r="W162" s="518"/>
      <c r="X162" s="518"/>
      <c r="Y162" s="518"/>
      <c r="Z162" s="518"/>
      <c r="AA162" s="518"/>
      <c r="AB162" s="518"/>
      <c r="AC162" s="519"/>
    </row>
    <row r="163" spans="2:29" x14ac:dyDescent="0.25">
      <c r="B163" s="525">
        <v>32060005</v>
      </c>
      <c r="C163" s="3" t="s">
        <v>69</v>
      </c>
      <c r="D163" s="43" t="s">
        <v>68</v>
      </c>
      <c r="F163" s="17"/>
      <c r="G163" s="17"/>
      <c r="H163" s="17"/>
      <c r="I163" s="17"/>
      <c r="J163" s="17"/>
      <c r="K163" s="17"/>
      <c r="L163" s="17"/>
      <c r="M163" s="17"/>
      <c r="N163" s="19">
        <v>123.1</v>
      </c>
      <c r="O163" s="17"/>
      <c r="P163" s="17"/>
      <c r="Q163" s="17"/>
      <c r="R163" s="17">
        <v>108</v>
      </c>
      <c r="S163" s="17"/>
      <c r="T163" s="17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2:29" x14ac:dyDescent="0.25">
      <c r="B164" s="525"/>
      <c r="C164" s="3" t="s">
        <v>23</v>
      </c>
      <c r="D164" s="43" t="s">
        <v>68</v>
      </c>
      <c r="F164" s="17"/>
      <c r="G164" s="17"/>
      <c r="H164" s="17"/>
      <c r="I164" s="17"/>
      <c r="J164" s="17"/>
      <c r="K164" s="17"/>
      <c r="L164" s="17"/>
      <c r="M164" s="17"/>
      <c r="N164" s="19">
        <v>167.5</v>
      </c>
      <c r="O164" s="17"/>
      <c r="P164" s="17"/>
      <c r="Q164" s="17"/>
      <c r="R164" s="17">
        <v>151</v>
      </c>
      <c r="S164" s="17"/>
      <c r="T164" s="17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2:29" x14ac:dyDescent="0.25">
      <c r="B165" s="525"/>
      <c r="C165" s="3" t="s">
        <v>70</v>
      </c>
      <c r="D165" s="43" t="s">
        <v>68</v>
      </c>
      <c r="F165" s="17"/>
      <c r="G165" s="17"/>
      <c r="H165" s="17"/>
      <c r="I165" s="17"/>
      <c r="J165" s="17"/>
      <c r="K165" s="17"/>
      <c r="L165" s="17"/>
      <c r="M165" s="17"/>
      <c r="N165" s="19">
        <v>215.7</v>
      </c>
      <c r="O165" s="17"/>
      <c r="P165" s="17"/>
      <c r="Q165" s="17"/>
      <c r="R165" s="17">
        <v>113.3</v>
      </c>
      <c r="S165" s="17"/>
      <c r="T165" s="17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2:29" x14ac:dyDescent="0.25">
      <c r="B166" s="525">
        <v>32020004</v>
      </c>
      <c r="C166" s="3" t="s">
        <v>57</v>
      </c>
      <c r="D166" s="43" t="s">
        <v>58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>
        <v>24.88</v>
      </c>
      <c r="Q166" s="17"/>
      <c r="R166" s="17"/>
      <c r="S166" s="17"/>
      <c r="T166" s="17"/>
      <c r="U166" s="20"/>
      <c r="V166" s="20"/>
      <c r="W166" s="20"/>
      <c r="X166" s="20">
        <v>20.68</v>
      </c>
      <c r="Y166" s="20"/>
      <c r="Z166" s="20"/>
      <c r="AA166" s="20">
        <v>20.190000000000001</v>
      </c>
      <c r="AB166" s="20"/>
      <c r="AC166" s="20"/>
    </row>
    <row r="167" spans="2:29" x14ac:dyDescent="0.25">
      <c r="B167" s="525"/>
      <c r="C167" s="3" t="s">
        <v>59</v>
      </c>
      <c r="D167" s="43" t="s">
        <v>58</v>
      </c>
      <c r="F167" s="17"/>
      <c r="G167" s="17"/>
      <c r="H167" s="17"/>
      <c r="I167" s="17"/>
      <c r="J167" s="17"/>
      <c r="K167" s="17"/>
      <c r="L167" s="17"/>
      <c r="M167" s="17"/>
      <c r="N167" s="19">
        <v>36.36</v>
      </c>
      <c r="O167" s="17"/>
      <c r="P167" s="17">
        <v>33.119999999999997</v>
      </c>
      <c r="Q167" s="17"/>
      <c r="R167" s="17"/>
      <c r="S167" s="17"/>
      <c r="T167" s="17"/>
      <c r="U167" s="20">
        <v>26.6</v>
      </c>
      <c r="V167" s="20"/>
      <c r="W167" s="20"/>
      <c r="X167" s="20">
        <v>29.21</v>
      </c>
      <c r="Y167" s="20"/>
      <c r="Z167" s="20"/>
      <c r="AA167" s="20"/>
      <c r="AB167" s="20"/>
      <c r="AC167" s="20"/>
    </row>
  </sheetData>
  <mergeCells count="123">
    <mergeCell ref="B159:D159"/>
    <mergeCell ref="B162:D162"/>
    <mergeCell ref="B163:B165"/>
    <mergeCell ref="B166:B167"/>
    <mergeCell ref="A2:C2"/>
    <mergeCell ref="B145:D145"/>
    <mergeCell ref="B148:D148"/>
    <mergeCell ref="B149:B150"/>
    <mergeCell ref="B153:D153"/>
    <mergeCell ref="B154:B156"/>
    <mergeCell ref="B157:D157"/>
    <mergeCell ref="B129:D129"/>
    <mergeCell ref="B131:D131"/>
    <mergeCell ref="B134:D134"/>
    <mergeCell ref="B136:D136"/>
    <mergeCell ref="B140:D140"/>
    <mergeCell ref="B143:D143"/>
    <mergeCell ref="B113:B115"/>
    <mergeCell ref="B116:B117"/>
    <mergeCell ref="B118:B121"/>
    <mergeCell ref="B122:D122"/>
    <mergeCell ref="B124:D124"/>
    <mergeCell ref="B125:B127"/>
    <mergeCell ref="B100:D100"/>
    <mergeCell ref="B102:D102"/>
    <mergeCell ref="B104:D104"/>
    <mergeCell ref="B105:B109"/>
    <mergeCell ref="B110:D110"/>
    <mergeCell ref="B112:D112"/>
    <mergeCell ref="B82:D82"/>
    <mergeCell ref="B83:B84"/>
    <mergeCell ref="B86:D86"/>
    <mergeCell ref="B88:D88"/>
    <mergeCell ref="B92:D92"/>
    <mergeCell ref="B93:B97"/>
    <mergeCell ref="B69:D69"/>
    <mergeCell ref="B71:D71"/>
    <mergeCell ref="B73:D73"/>
    <mergeCell ref="B74:B76"/>
    <mergeCell ref="B77:D77"/>
    <mergeCell ref="B80:D80"/>
    <mergeCell ref="B55:B56"/>
    <mergeCell ref="B57:D57"/>
    <mergeCell ref="B59:D59"/>
    <mergeCell ref="B61:D61"/>
    <mergeCell ref="B63:D63"/>
    <mergeCell ref="B67:D67"/>
    <mergeCell ref="B44:D44"/>
    <mergeCell ref="B46:D46"/>
    <mergeCell ref="B48:D48"/>
    <mergeCell ref="B50:D50"/>
    <mergeCell ref="B52:D52"/>
    <mergeCell ref="B54:D54"/>
    <mergeCell ref="B31:D31"/>
    <mergeCell ref="B33:D33"/>
    <mergeCell ref="B37:D37"/>
    <mergeCell ref="B38:B39"/>
    <mergeCell ref="B42:D42"/>
    <mergeCell ref="B21:B22"/>
    <mergeCell ref="B23:D23"/>
    <mergeCell ref="B24:B25"/>
    <mergeCell ref="B26:B27"/>
    <mergeCell ref="B28:D28"/>
    <mergeCell ref="B29:B30"/>
    <mergeCell ref="B7:D7"/>
    <mergeCell ref="B8:D8"/>
    <mergeCell ref="B10:B16"/>
    <mergeCell ref="B17:D17"/>
    <mergeCell ref="B18:B19"/>
    <mergeCell ref="B20:D20"/>
    <mergeCell ref="F110:AC110"/>
    <mergeCell ref="F162:AC162"/>
    <mergeCell ref="F122:AC122"/>
    <mergeCell ref="F140:AC140"/>
    <mergeCell ref="F124:AC124"/>
    <mergeCell ref="F129:AC129"/>
    <mergeCell ref="F131:AC131"/>
    <mergeCell ref="F136:AC136"/>
    <mergeCell ref="F143:AC143"/>
    <mergeCell ref="F145:AC145"/>
    <mergeCell ref="F148:AC148"/>
    <mergeCell ref="F153:AC153"/>
    <mergeCell ref="F157:AC157"/>
    <mergeCell ref="F92:AC92"/>
    <mergeCell ref="F98:AC98"/>
    <mergeCell ref="F86:AC86"/>
    <mergeCell ref="F88:AC88"/>
    <mergeCell ref="F102:AC102"/>
    <mergeCell ref="F104:AC104"/>
    <mergeCell ref="F37:AC37"/>
    <mergeCell ref="F46:AC46"/>
    <mergeCell ref="F77:AC77"/>
    <mergeCell ref="F80:AC80"/>
    <mergeCell ref="F82:AC82"/>
    <mergeCell ref="F69:AC69"/>
    <mergeCell ref="F71:AC71"/>
    <mergeCell ref="F73:AC73"/>
    <mergeCell ref="F61:AC61"/>
    <mergeCell ref="F63:AC63"/>
    <mergeCell ref="F67:AC67"/>
    <mergeCell ref="F48:AC48"/>
    <mergeCell ref="F50:AC50"/>
    <mergeCell ref="F52:AC52"/>
    <mergeCell ref="F54:AC54"/>
    <mergeCell ref="F57:AC57"/>
    <mergeCell ref="F59:AC59"/>
    <mergeCell ref="F4:AC4"/>
    <mergeCell ref="AA6:AC6"/>
    <mergeCell ref="F6:H6"/>
    <mergeCell ref="F10:AC10"/>
    <mergeCell ref="F17:AC17"/>
    <mergeCell ref="F42:AC42"/>
    <mergeCell ref="F20:AC20"/>
    <mergeCell ref="F23:AC23"/>
    <mergeCell ref="F28:AC28"/>
    <mergeCell ref="F31:AC31"/>
    <mergeCell ref="U6:W6"/>
    <mergeCell ref="X6:Z6"/>
    <mergeCell ref="R6:T6"/>
    <mergeCell ref="O6:Q6"/>
    <mergeCell ref="L6:N6"/>
    <mergeCell ref="I6:K6"/>
    <mergeCell ref="F33:AC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3"/>
  <sheetViews>
    <sheetView showGridLines="0" tabSelected="1" zoomScale="85" zoomScaleNormal="85" workbookViewId="0">
      <selection activeCell="C3" sqref="C3:D3"/>
    </sheetView>
  </sheetViews>
  <sheetFormatPr baseColWidth="10" defaultRowHeight="15" x14ac:dyDescent="0.25"/>
  <cols>
    <col min="2" max="2" width="53.7109375" customWidth="1"/>
    <col min="3" max="3" width="12.85546875" customWidth="1"/>
    <col min="5" max="5" width="20.28515625" style="421" customWidth="1"/>
    <col min="6" max="6" width="13.42578125" style="421" customWidth="1"/>
    <col min="9" max="9" width="11.42578125" style="421"/>
    <col min="15" max="15" width="33.140625" customWidth="1"/>
    <col min="16" max="16" width="0.140625" customWidth="1"/>
  </cols>
  <sheetData>
    <row r="1" spans="1:16" ht="15.75" thickBot="1" x14ac:dyDescent="0.3">
      <c r="A1" s="278"/>
      <c r="B1" s="567" t="s">
        <v>407</v>
      </c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9"/>
      <c r="N1" s="569"/>
      <c r="O1" s="569"/>
      <c r="P1" s="570"/>
    </row>
    <row r="2" spans="1:16" x14ac:dyDescent="0.25">
      <c r="A2" s="278"/>
      <c r="B2" s="278"/>
      <c r="C2" s="278"/>
      <c r="D2" s="278"/>
      <c r="G2" s="278"/>
      <c r="H2" s="278"/>
      <c r="J2" s="278"/>
      <c r="K2" s="278"/>
      <c r="L2" s="278"/>
      <c r="M2" s="278"/>
      <c r="N2" s="278"/>
      <c r="O2" s="278"/>
      <c r="P2" s="278"/>
    </row>
    <row r="3" spans="1:16" x14ac:dyDescent="0.25">
      <c r="A3" s="571" t="s">
        <v>457</v>
      </c>
      <c r="B3" s="572"/>
      <c r="C3" s="526"/>
      <c r="D3" s="526"/>
      <c r="E3" s="573"/>
      <c r="F3" s="573"/>
      <c r="G3" s="526"/>
      <c r="H3" s="526"/>
      <c r="I3" s="526"/>
      <c r="J3" s="526"/>
      <c r="K3" s="526"/>
      <c r="L3" s="526"/>
      <c r="M3" s="526"/>
      <c r="N3" s="526"/>
      <c r="O3" s="526"/>
      <c r="P3" s="526"/>
    </row>
    <row r="4" spans="1:16" ht="15.75" thickBot="1" x14ac:dyDescent="0.3">
      <c r="A4" s="198"/>
      <c r="B4" s="198"/>
      <c r="C4" s="198"/>
      <c r="D4" s="198"/>
      <c r="E4" s="411"/>
      <c r="F4" s="411"/>
      <c r="G4" s="198"/>
      <c r="H4" s="198"/>
      <c r="I4" s="411"/>
      <c r="J4" s="198"/>
      <c r="K4" s="198"/>
      <c r="L4" s="198"/>
      <c r="M4" s="198"/>
      <c r="N4" s="198"/>
      <c r="O4" s="198"/>
      <c r="P4" s="198"/>
    </row>
    <row r="5" spans="1:16" ht="15.75" thickBot="1" x14ac:dyDescent="0.3">
      <c r="A5" s="67" t="s">
        <v>123</v>
      </c>
      <c r="B5" s="55" t="s">
        <v>124</v>
      </c>
      <c r="C5" s="54" t="s">
        <v>137</v>
      </c>
      <c r="D5" s="11"/>
      <c r="E5" s="54" t="s">
        <v>125</v>
      </c>
      <c r="F5" s="56" t="s">
        <v>126</v>
      </c>
      <c r="G5" s="57" t="s">
        <v>127</v>
      </c>
      <c r="H5" s="58" t="s">
        <v>128</v>
      </c>
      <c r="I5" s="56" t="s">
        <v>129</v>
      </c>
      <c r="J5" s="54" t="s">
        <v>130</v>
      </c>
      <c r="K5" s="59" t="s">
        <v>131</v>
      </c>
      <c r="L5" s="60" t="s">
        <v>324</v>
      </c>
      <c r="M5" s="61" t="s">
        <v>325</v>
      </c>
      <c r="N5" s="59" t="s">
        <v>326</v>
      </c>
      <c r="O5" s="54" t="s">
        <v>135</v>
      </c>
      <c r="P5" s="278"/>
    </row>
    <row r="6" spans="1:16" ht="15.75" thickBot="1" x14ac:dyDescent="0.3">
      <c r="A6" s="526"/>
      <c r="B6" s="526"/>
      <c r="C6" s="526"/>
      <c r="D6" s="10"/>
      <c r="E6" s="548" t="s">
        <v>386</v>
      </c>
      <c r="F6" s="548"/>
      <c r="G6" s="548"/>
      <c r="H6" s="548"/>
      <c r="I6" s="548"/>
      <c r="J6" s="548"/>
      <c r="K6" s="548"/>
      <c r="L6" s="548"/>
      <c r="M6" s="548"/>
      <c r="N6" s="548"/>
      <c r="O6" s="548"/>
      <c r="P6" s="278"/>
    </row>
    <row r="7" spans="1:16" ht="15.75" thickBot="1" x14ac:dyDescent="0.3">
      <c r="A7" s="549" t="s">
        <v>248</v>
      </c>
      <c r="B7" s="550"/>
      <c r="C7" s="551"/>
      <c r="D7" s="8"/>
      <c r="E7" s="552"/>
      <c r="F7" s="553"/>
      <c r="G7" s="554"/>
      <c r="H7" s="553"/>
      <c r="I7" s="553"/>
      <c r="J7" s="553"/>
      <c r="K7" s="553"/>
      <c r="L7" s="553"/>
      <c r="M7" s="553"/>
      <c r="N7" s="553"/>
      <c r="O7" s="555"/>
      <c r="P7" s="278"/>
    </row>
    <row r="8" spans="1:16" ht="15.75" thickBot="1" x14ac:dyDescent="0.3">
      <c r="A8" s="281">
        <v>321200019</v>
      </c>
      <c r="B8" s="1" t="s">
        <v>97</v>
      </c>
      <c r="C8" s="228" t="s">
        <v>62</v>
      </c>
      <c r="D8" s="8"/>
      <c r="E8" s="422">
        <f>(F8)</f>
        <v>361.04</v>
      </c>
      <c r="F8" s="423">
        <v>361.04</v>
      </c>
      <c r="G8" s="344"/>
      <c r="H8" s="144" t="s">
        <v>223</v>
      </c>
      <c r="I8" s="463"/>
      <c r="J8" s="343"/>
      <c r="K8" s="144"/>
      <c r="L8" s="145"/>
      <c r="M8" s="145"/>
      <c r="N8" s="144"/>
      <c r="O8" s="408"/>
      <c r="P8" s="278"/>
    </row>
    <row r="9" spans="1:16" ht="15.75" thickBot="1" x14ac:dyDescent="0.3">
      <c r="A9" s="545">
        <v>320700022</v>
      </c>
      <c r="B9" s="3" t="s">
        <v>389</v>
      </c>
      <c r="C9" s="230" t="s">
        <v>62</v>
      </c>
      <c r="D9" s="8"/>
      <c r="E9" s="424">
        <f>(F9)</f>
        <v>2.3359000000000001</v>
      </c>
      <c r="F9" s="425">
        <f>(233.59/100)</f>
        <v>2.3359000000000001</v>
      </c>
      <c r="G9" s="299" t="s">
        <v>385</v>
      </c>
      <c r="H9" s="556" t="s">
        <v>384</v>
      </c>
      <c r="I9" s="557"/>
      <c r="J9" s="557"/>
      <c r="K9" s="557"/>
      <c r="L9" s="557"/>
      <c r="M9" s="557"/>
      <c r="N9" s="558"/>
      <c r="O9" s="407"/>
      <c r="P9" s="278"/>
    </row>
    <row r="10" spans="1:16" ht="15.75" thickBot="1" x14ac:dyDescent="0.3">
      <c r="A10" s="546"/>
      <c r="B10" s="3" t="s">
        <v>390</v>
      </c>
      <c r="C10" s="230" t="s">
        <v>62</v>
      </c>
      <c r="D10" s="8"/>
      <c r="E10" s="424">
        <f>(F10)</f>
        <v>7.14</v>
      </c>
      <c r="F10" s="426">
        <f>(714/100)</f>
        <v>7.14</v>
      </c>
      <c r="G10" s="344" t="s">
        <v>402</v>
      </c>
      <c r="H10" s="292" t="s">
        <v>412</v>
      </c>
      <c r="I10" s="464"/>
      <c r="J10" s="405"/>
      <c r="K10" s="405"/>
      <c r="L10" s="293"/>
      <c r="M10" s="293"/>
      <c r="N10" s="294"/>
      <c r="O10" s="199"/>
      <c r="P10" s="278"/>
    </row>
    <row r="11" spans="1:16" ht="15.75" thickBot="1" x14ac:dyDescent="0.3">
      <c r="A11" s="546"/>
      <c r="B11" s="3" t="s">
        <v>391</v>
      </c>
      <c r="C11" s="230" t="s">
        <v>62</v>
      </c>
      <c r="D11" s="8"/>
      <c r="E11" s="427">
        <f>(F11+I11)/2</f>
        <v>2.7929499999999998</v>
      </c>
      <c r="F11" s="426">
        <f>(302.34/100)</f>
        <v>3.0233999999999996</v>
      </c>
      <c r="G11" s="344" t="s">
        <v>37</v>
      </c>
      <c r="H11" s="292" t="s">
        <v>414</v>
      </c>
      <c r="I11" s="465">
        <f>(256.25/100)</f>
        <v>2.5625</v>
      </c>
      <c r="J11" s="295" t="s">
        <v>402</v>
      </c>
      <c r="K11" s="296" t="s">
        <v>413</v>
      </c>
      <c r="L11" s="297"/>
      <c r="M11" s="298"/>
      <c r="N11" s="396"/>
      <c r="O11" s="248" t="s">
        <v>284</v>
      </c>
      <c r="P11" s="278"/>
    </row>
    <row r="12" spans="1:16" ht="15.75" thickBot="1" x14ac:dyDescent="0.3">
      <c r="A12" s="546"/>
      <c r="B12" s="289" t="s">
        <v>392</v>
      </c>
      <c r="C12" s="317" t="s">
        <v>62</v>
      </c>
      <c r="D12" s="8"/>
      <c r="E12" s="424">
        <f>(F12)</f>
        <v>7.14</v>
      </c>
      <c r="F12" s="428">
        <f>(714/100)</f>
        <v>7.14</v>
      </c>
      <c r="G12" s="295" t="s">
        <v>402</v>
      </c>
      <c r="H12" s="502" t="s">
        <v>412</v>
      </c>
      <c r="I12" s="466"/>
      <c r="J12" s="288"/>
      <c r="K12" s="288"/>
      <c r="L12" s="288"/>
      <c r="M12" s="288"/>
      <c r="N12" s="288"/>
      <c r="O12" s="406"/>
      <c r="P12" s="278"/>
    </row>
    <row r="13" spans="1:16" ht="15.75" thickBot="1" x14ac:dyDescent="0.3">
      <c r="A13" s="546"/>
      <c r="B13" s="3" t="s">
        <v>393</v>
      </c>
      <c r="C13" s="230" t="s">
        <v>62</v>
      </c>
      <c r="D13" s="8"/>
      <c r="E13" s="429">
        <f>(F13)</f>
        <v>3.0077999999999996</v>
      </c>
      <c r="F13" s="426">
        <f>(300.78/100)</f>
        <v>3.0077999999999996</v>
      </c>
      <c r="G13" s="344" t="s">
        <v>37</v>
      </c>
      <c r="H13" s="292" t="s">
        <v>415</v>
      </c>
      <c r="I13" s="467"/>
      <c r="J13" s="299"/>
      <c r="K13" s="556"/>
      <c r="L13" s="557"/>
      <c r="M13" s="557"/>
      <c r="N13" s="558"/>
      <c r="O13" s="247"/>
      <c r="P13" s="278"/>
    </row>
    <row r="14" spans="1:16" ht="15.75" thickBot="1" x14ac:dyDescent="0.3">
      <c r="A14" s="547"/>
      <c r="B14" s="3" t="s">
        <v>394</v>
      </c>
      <c r="C14" s="230" t="s">
        <v>62</v>
      </c>
      <c r="D14" s="8"/>
      <c r="E14" s="424">
        <f>(F14)</f>
        <v>7.14</v>
      </c>
      <c r="F14" s="426">
        <f t="shared" ref="F14" si="0">(714/100)</f>
        <v>7.14</v>
      </c>
      <c r="G14" s="344" t="s">
        <v>402</v>
      </c>
      <c r="H14" s="292" t="s">
        <v>412</v>
      </c>
      <c r="I14" s="468"/>
      <c r="J14" s="295"/>
      <c r="K14" s="560"/>
      <c r="L14" s="561"/>
      <c r="M14" s="561"/>
      <c r="N14" s="562"/>
      <c r="O14" s="199"/>
      <c r="P14" s="278"/>
    </row>
    <row r="15" spans="1:16" ht="15.75" thickBot="1" x14ac:dyDescent="0.3">
      <c r="A15" s="540" t="s">
        <v>249</v>
      </c>
      <c r="B15" s="524"/>
      <c r="C15" s="541"/>
      <c r="D15" s="8"/>
      <c r="E15" s="563"/>
      <c r="F15" s="564"/>
      <c r="G15" s="564"/>
      <c r="H15" s="564"/>
      <c r="I15" s="564"/>
      <c r="J15" s="564"/>
      <c r="K15" s="564"/>
      <c r="L15" s="564"/>
      <c r="M15" s="564"/>
      <c r="N15" s="564"/>
      <c r="O15" s="565"/>
      <c r="P15" s="278"/>
    </row>
    <row r="16" spans="1:16" ht="15.75" thickBot="1" x14ac:dyDescent="0.3">
      <c r="A16" s="566">
        <v>31290027</v>
      </c>
      <c r="B16" s="3" t="s">
        <v>42</v>
      </c>
      <c r="C16" s="231" t="s">
        <v>43</v>
      </c>
      <c r="D16" s="8"/>
      <c r="E16" s="429">
        <f>(F16+I16+L16)/3</f>
        <v>241.82066666666665</v>
      </c>
      <c r="F16" s="430">
        <f>(1320.31/5)</f>
        <v>264.06200000000001</v>
      </c>
      <c r="G16" s="345" t="s">
        <v>39</v>
      </c>
      <c r="H16" s="87" t="s">
        <v>134</v>
      </c>
      <c r="I16" s="469">
        <f>(1400/5)</f>
        <v>280</v>
      </c>
      <c r="J16" s="345" t="s">
        <v>39</v>
      </c>
      <c r="K16" s="87" t="s">
        <v>136</v>
      </c>
      <c r="L16" s="88">
        <f>(907/5)</f>
        <v>181.4</v>
      </c>
      <c r="M16" s="89"/>
      <c r="N16" s="90" t="s">
        <v>328</v>
      </c>
      <c r="O16" s="249" t="s">
        <v>327</v>
      </c>
      <c r="P16" s="278"/>
    </row>
    <row r="17" spans="1:16" ht="15.75" thickBot="1" x14ac:dyDescent="0.3">
      <c r="A17" s="566"/>
      <c r="B17" s="3" t="s">
        <v>40</v>
      </c>
      <c r="C17" s="231" t="s">
        <v>41</v>
      </c>
      <c r="D17" s="8"/>
      <c r="E17" s="424">
        <f>(F17+I17)/2</f>
        <v>337.62833333333333</v>
      </c>
      <c r="F17" s="431">
        <v>371.09</v>
      </c>
      <c r="G17" s="346" t="s">
        <v>39</v>
      </c>
      <c r="H17" s="91" t="s">
        <v>132</v>
      </c>
      <c r="I17" s="470">
        <f>(3650/12)</f>
        <v>304.16666666666669</v>
      </c>
      <c r="J17" s="346" t="s">
        <v>39</v>
      </c>
      <c r="K17" s="91" t="s">
        <v>133</v>
      </c>
      <c r="L17" s="92"/>
      <c r="M17" s="92"/>
      <c r="N17" s="93"/>
      <c r="O17" s="183" t="s">
        <v>285</v>
      </c>
      <c r="P17" s="278"/>
    </row>
    <row r="18" spans="1:16" ht="15.75" thickBot="1" x14ac:dyDescent="0.3">
      <c r="A18" s="540" t="s">
        <v>250</v>
      </c>
      <c r="B18" s="524"/>
      <c r="C18" s="541"/>
      <c r="D18" s="8"/>
      <c r="E18" s="542"/>
      <c r="F18" s="543"/>
      <c r="G18" s="543"/>
      <c r="H18" s="543"/>
      <c r="I18" s="543"/>
      <c r="J18" s="543"/>
      <c r="K18" s="543"/>
      <c r="L18" s="543"/>
      <c r="M18" s="543"/>
      <c r="N18" s="543"/>
      <c r="O18" s="544"/>
      <c r="P18" s="278"/>
    </row>
    <row r="19" spans="1:16" ht="15.75" thickBot="1" x14ac:dyDescent="0.3">
      <c r="A19" s="559">
        <v>32020001</v>
      </c>
      <c r="B19" s="1" t="s">
        <v>51</v>
      </c>
      <c r="C19" s="228" t="s">
        <v>52</v>
      </c>
      <c r="D19" s="8"/>
      <c r="E19" s="424">
        <f>(F19+I19+L19)/3</f>
        <v>534.70833333333337</v>
      </c>
      <c r="F19" s="425">
        <f>(6406.25/10)</f>
        <v>640.625</v>
      </c>
      <c r="G19" s="94" t="s">
        <v>0</v>
      </c>
      <c r="H19" s="285" t="s">
        <v>145</v>
      </c>
      <c r="I19" s="471">
        <f>(5625/10)</f>
        <v>562.5</v>
      </c>
      <c r="J19" s="347" t="s">
        <v>147</v>
      </c>
      <c r="K19" s="95" t="s">
        <v>146</v>
      </c>
      <c r="L19" s="88">
        <v>401</v>
      </c>
      <c r="M19" s="96" t="s">
        <v>0</v>
      </c>
      <c r="N19" s="285" t="s">
        <v>329</v>
      </c>
      <c r="O19" s="66" t="s">
        <v>286</v>
      </c>
      <c r="P19" s="278"/>
    </row>
    <row r="20" spans="1:16" ht="15.75" thickBot="1" x14ac:dyDescent="0.3">
      <c r="A20" s="559"/>
      <c r="B20" s="12" t="s">
        <v>67</v>
      </c>
      <c r="C20" s="232" t="s">
        <v>68</v>
      </c>
      <c r="D20" s="8"/>
      <c r="E20" s="424">
        <f>(F20)</f>
        <v>110</v>
      </c>
      <c r="F20" s="431">
        <f>(2750/25)</f>
        <v>110</v>
      </c>
      <c r="G20" s="346" t="s">
        <v>295</v>
      </c>
      <c r="H20" s="97" t="s">
        <v>294</v>
      </c>
      <c r="I20" s="472"/>
      <c r="J20" s="98"/>
      <c r="K20" s="98"/>
      <c r="L20" s="99"/>
      <c r="M20" s="99"/>
      <c r="N20" s="287"/>
      <c r="O20" s="183" t="s">
        <v>296</v>
      </c>
      <c r="P20" s="278"/>
    </row>
    <row r="21" spans="1:16" ht="15.75" thickBot="1" x14ac:dyDescent="0.3">
      <c r="A21" s="540" t="s">
        <v>274</v>
      </c>
      <c r="B21" s="524"/>
      <c r="C21" s="541"/>
      <c r="D21" s="8"/>
      <c r="E21" s="542"/>
      <c r="F21" s="543"/>
      <c r="G21" s="543"/>
      <c r="H21" s="543"/>
      <c r="I21" s="543"/>
      <c r="J21" s="543"/>
      <c r="K21" s="543"/>
      <c r="L21" s="543"/>
      <c r="M21" s="543"/>
      <c r="N21" s="543"/>
      <c r="O21" s="544"/>
      <c r="P21" s="278"/>
    </row>
    <row r="22" spans="1:16" ht="15.75" thickBot="1" x14ac:dyDescent="0.3">
      <c r="A22" s="566">
        <v>321000014</v>
      </c>
      <c r="B22" s="3" t="s">
        <v>93</v>
      </c>
      <c r="C22" s="231" t="s">
        <v>45</v>
      </c>
      <c r="D22" s="8"/>
      <c r="E22" s="432">
        <f>(F22+I22)/2</f>
        <v>245</v>
      </c>
      <c r="F22" s="430">
        <v>260</v>
      </c>
      <c r="G22" s="345" t="s">
        <v>3</v>
      </c>
      <c r="H22" s="100" t="s">
        <v>160</v>
      </c>
      <c r="I22" s="473">
        <f>(2300/10)</f>
        <v>230</v>
      </c>
      <c r="J22" s="350" t="s">
        <v>3</v>
      </c>
      <c r="K22" s="587" t="s">
        <v>330</v>
      </c>
      <c r="L22" s="591"/>
      <c r="M22" s="591"/>
      <c r="N22" s="591"/>
      <c r="O22" s="588"/>
      <c r="P22" s="278"/>
    </row>
    <row r="23" spans="1:16" ht="15.75" thickBot="1" x14ac:dyDescent="0.3">
      <c r="A23" s="566"/>
      <c r="B23" s="3" t="s">
        <v>94</v>
      </c>
      <c r="C23" s="231" t="s">
        <v>62</v>
      </c>
      <c r="D23" s="8"/>
      <c r="E23" s="424">
        <f>(F23+I23+L23)/3</f>
        <v>850.41666666666663</v>
      </c>
      <c r="F23" s="428">
        <v>696</v>
      </c>
      <c r="G23" s="348" t="s">
        <v>337</v>
      </c>
      <c r="H23" s="102" t="s">
        <v>217</v>
      </c>
      <c r="I23" s="474">
        <f>(5781.25/5)</f>
        <v>1156.25</v>
      </c>
      <c r="J23" s="348" t="s">
        <v>219</v>
      </c>
      <c r="K23" s="103" t="s">
        <v>218</v>
      </c>
      <c r="L23" s="34">
        <f>(6990/10)</f>
        <v>699</v>
      </c>
      <c r="M23" s="351" t="s">
        <v>337</v>
      </c>
      <c r="N23" s="592" t="s">
        <v>363</v>
      </c>
      <c r="O23" s="593"/>
      <c r="P23" s="278"/>
    </row>
    <row r="24" spans="1:16" ht="15.75" thickBot="1" x14ac:dyDescent="0.3">
      <c r="A24" s="566">
        <v>32020007</v>
      </c>
      <c r="B24" s="3" t="s">
        <v>63</v>
      </c>
      <c r="C24" s="231" t="s">
        <v>45</v>
      </c>
      <c r="D24" s="8"/>
      <c r="E24" s="424">
        <f>(F24+I24+L24)/3</f>
        <v>47.768750000000004</v>
      </c>
      <c r="F24" s="431">
        <f>(5781.25/200)</f>
        <v>28.90625</v>
      </c>
      <c r="G24" s="346" t="s">
        <v>147</v>
      </c>
      <c r="H24" s="102" t="s">
        <v>161</v>
      </c>
      <c r="I24" s="474">
        <f>(344/10)</f>
        <v>34.4</v>
      </c>
      <c r="J24" s="348" t="s">
        <v>163</v>
      </c>
      <c r="K24" s="104" t="s">
        <v>162</v>
      </c>
      <c r="L24" s="27">
        <f>(1600/20)</f>
        <v>80</v>
      </c>
      <c r="M24" s="352" t="s">
        <v>331</v>
      </c>
      <c r="N24" s="105" t="s">
        <v>332</v>
      </c>
      <c r="O24" s="183" t="s">
        <v>164</v>
      </c>
      <c r="P24" s="278"/>
    </row>
    <row r="25" spans="1:16" ht="15.75" thickBot="1" x14ac:dyDescent="0.3">
      <c r="A25" s="566"/>
      <c r="B25" s="4" t="s">
        <v>61</v>
      </c>
      <c r="C25" s="233" t="s">
        <v>62</v>
      </c>
      <c r="D25" s="8"/>
      <c r="E25" s="433">
        <f>(F25)</f>
        <v>136.71879999999999</v>
      </c>
      <c r="F25" s="434">
        <f>(13671.88/100)</f>
        <v>136.71879999999999</v>
      </c>
      <c r="G25" s="349" t="s">
        <v>364</v>
      </c>
      <c r="H25" s="106" t="s">
        <v>399</v>
      </c>
      <c r="I25" s="475"/>
      <c r="J25" s="107"/>
      <c r="K25" s="107"/>
      <c r="L25" s="108"/>
      <c r="M25" s="108"/>
      <c r="N25" s="107"/>
      <c r="O25" s="200"/>
      <c r="P25" s="278"/>
    </row>
    <row r="26" spans="1:16" ht="15.75" thickBot="1" x14ac:dyDescent="0.3">
      <c r="A26" s="540" t="s">
        <v>251</v>
      </c>
      <c r="B26" s="524"/>
      <c r="C26" s="541"/>
      <c r="D26" s="8"/>
      <c r="E26" s="542"/>
      <c r="F26" s="543"/>
      <c r="G26" s="543"/>
      <c r="H26" s="543"/>
      <c r="I26" s="543"/>
      <c r="J26" s="543"/>
      <c r="K26" s="543"/>
      <c r="L26" s="543"/>
      <c r="M26" s="543"/>
      <c r="N26" s="543"/>
      <c r="O26" s="544"/>
      <c r="P26" s="278"/>
    </row>
    <row r="27" spans="1:16" ht="15.75" thickBot="1" x14ac:dyDescent="0.3">
      <c r="A27" s="566">
        <v>32090001</v>
      </c>
      <c r="B27" s="3" t="s">
        <v>12</v>
      </c>
      <c r="C27" s="231" t="s">
        <v>84</v>
      </c>
      <c r="D27" s="8"/>
      <c r="E27" s="435">
        <f>(F27+I27+L27)/3</f>
        <v>220.19666666666669</v>
      </c>
      <c r="F27" s="430">
        <v>183.59</v>
      </c>
      <c r="G27" s="345" t="s">
        <v>37</v>
      </c>
      <c r="H27" s="87" t="s">
        <v>199</v>
      </c>
      <c r="I27" s="469">
        <v>227</v>
      </c>
      <c r="J27" s="345" t="s">
        <v>201</v>
      </c>
      <c r="K27" s="87" t="s">
        <v>200</v>
      </c>
      <c r="L27" s="88">
        <v>250</v>
      </c>
      <c r="M27" s="353" t="s">
        <v>201</v>
      </c>
      <c r="N27" s="587" t="s">
        <v>334</v>
      </c>
      <c r="O27" s="588"/>
      <c r="P27" s="278"/>
    </row>
    <row r="28" spans="1:16" ht="15.75" thickBot="1" x14ac:dyDescent="0.3">
      <c r="A28" s="566"/>
      <c r="B28" s="3" t="s">
        <v>202</v>
      </c>
      <c r="C28" s="231" t="s">
        <v>84</v>
      </c>
      <c r="D28" s="8"/>
      <c r="E28" s="414">
        <f>(F28+I28+L28)/3</f>
        <v>235.82333333333335</v>
      </c>
      <c r="F28" s="431">
        <v>230.47</v>
      </c>
      <c r="G28" s="346" t="s">
        <v>37</v>
      </c>
      <c r="H28" s="91" t="s">
        <v>11</v>
      </c>
      <c r="I28" s="470">
        <v>227</v>
      </c>
      <c r="J28" s="346" t="s">
        <v>201</v>
      </c>
      <c r="K28" s="87" t="s">
        <v>200</v>
      </c>
      <c r="L28" s="109">
        <v>250</v>
      </c>
      <c r="M28" s="354" t="s">
        <v>201</v>
      </c>
      <c r="N28" s="589" t="s">
        <v>333</v>
      </c>
      <c r="O28" s="590"/>
      <c r="P28" s="278"/>
    </row>
    <row r="29" spans="1:16" ht="15.75" thickBot="1" x14ac:dyDescent="0.3">
      <c r="A29" s="540" t="s">
        <v>275</v>
      </c>
      <c r="B29" s="524"/>
      <c r="C29" s="541"/>
      <c r="D29" s="8"/>
      <c r="E29" s="542"/>
      <c r="F29" s="543"/>
      <c r="G29" s="543"/>
      <c r="H29" s="543"/>
      <c r="I29" s="543"/>
      <c r="J29" s="543"/>
      <c r="K29" s="543"/>
      <c r="L29" s="543"/>
      <c r="M29" s="543"/>
      <c r="N29" s="543"/>
      <c r="O29" s="544"/>
      <c r="P29" s="278"/>
    </row>
    <row r="30" spans="1:16" ht="15.75" thickBot="1" x14ac:dyDescent="0.3">
      <c r="A30" s="280">
        <v>32010001</v>
      </c>
      <c r="B30" s="3" t="s">
        <v>44</v>
      </c>
      <c r="C30" s="231" t="s">
        <v>45</v>
      </c>
      <c r="D30" s="8"/>
      <c r="E30" s="436">
        <f>(F30+I30)/2</f>
        <v>28.546900000000001</v>
      </c>
      <c r="F30" s="437">
        <f>(1800/50)</f>
        <v>36</v>
      </c>
      <c r="G30" s="355" t="s">
        <v>3</v>
      </c>
      <c r="H30" s="111" t="s">
        <v>7</v>
      </c>
      <c r="I30" s="418">
        <f>(2109.38/100)</f>
        <v>21.093800000000002</v>
      </c>
      <c r="J30" s="355" t="s">
        <v>37</v>
      </c>
      <c r="K30" s="112" t="s">
        <v>138</v>
      </c>
      <c r="L30" s="113"/>
      <c r="M30" s="114"/>
      <c r="N30" s="115"/>
      <c r="O30" s="183" t="s">
        <v>139</v>
      </c>
      <c r="P30" s="278"/>
    </row>
    <row r="31" spans="1:16" ht="15.75" thickBot="1" x14ac:dyDescent="0.3">
      <c r="A31" s="540" t="s">
        <v>299</v>
      </c>
      <c r="B31" s="524"/>
      <c r="C31" s="541"/>
      <c r="D31" s="8"/>
      <c r="E31" s="542"/>
      <c r="F31" s="543"/>
      <c r="G31" s="543"/>
      <c r="H31" s="543"/>
      <c r="I31" s="543"/>
      <c r="J31" s="543"/>
      <c r="K31" s="543"/>
      <c r="L31" s="543"/>
      <c r="M31" s="543"/>
      <c r="N31" s="543"/>
      <c r="O31" s="544"/>
      <c r="P31" s="278"/>
    </row>
    <row r="32" spans="1:16" ht="15.75" thickBot="1" x14ac:dyDescent="0.3">
      <c r="A32" s="280">
        <v>320100049</v>
      </c>
      <c r="B32" s="3" t="s">
        <v>16</v>
      </c>
      <c r="C32" s="231" t="s">
        <v>45</v>
      </c>
      <c r="D32" s="8"/>
      <c r="E32" s="429">
        <f>(F32+I32)/2</f>
        <v>692.25</v>
      </c>
      <c r="F32" s="412">
        <f>(9375/10)</f>
        <v>937.5</v>
      </c>
      <c r="G32" s="345" t="s">
        <v>141</v>
      </c>
      <c r="H32" s="116" t="s">
        <v>15</v>
      </c>
      <c r="I32" s="469">
        <v>447</v>
      </c>
      <c r="J32" s="117"/>
      <c r="K32" s="87" t="s">
        <v>140</v>
      </c>
      <c r="L32" s="118"/>
      <c r="M32" s="89"/>
      <c r="N32" s="90"/>
      <c r="O32" s="183" t="s">
        <v>322</v>
      </c>
      <c r="P32" s="278"/>
    </row>
    <row r="33" spans="1:16" ht="15.75" thickBot="1" x14ac:dyDescent="0.3">
      <c r="A33" s="280">
        <v>320100053</v>
      </c>
      <c r="B33" s="7" t="s">
        <v>46</v>
      </c>
      <c r="C33" s="231" t="s">
        <v>47</v>
      </c>
      <c r="D33" s="8"/>
      <c r="E33" s="432">
        <f>(11127.27)/500</f>
        <v>22.254540000000002</v>
      </c>
      <c r="F33" s="428">
        <f>(E33)</f>
        <v>22.254540000000002</v>
      </c>
      <c r="G33" s="348" t="s">
        <v>368</v>
      </c>
      <c r="H33" s="102" t="s">
        <v>367</v>
      </c>
      <c r="I33" s="18"/>
      <c r="J33" s="119"/>
      <c r="K33" s="102"/>
      <c r="L33" s="28"/>
      <c r="M33" s="28"/>
      <c r="N33" s="105"/>
      <c r="O33" s="183" t="s">
        <v>335</v>
      </c>
      <c r="P33" s="278"/>
    </row>
    <row r="34" spans="1:16" ht="15.75" thickBot="1" x14ac:dyDescent="0.3">
      <c r="A34" s="280">
        <v>320100073</v>
      </c>
      <c r="B34" s="3" t="s">
        <v>17</v>
      </c>
      <c r="C34" s="231" t="s">
        <v>45</v>
      </c>
      <c r="D34" s="8"/>
      <c r="E34" s="427">
        <f>(F34+I34+L34)/3</f>
        <v>9.2822933333333335</v>
      </c>
      <c r="F34" s="431">
        <f>(8046.88/1000)</f>
        <v>8.0468799999999998</v>
      </c>
      <c r="G34" s="346" t="s">
        <v>141</v>
      </c>
      <c r="H34" s="120" t="s">
        <v>18</v>
      </c>
      <c r="I34" s="470">
        <f>(780/100)</f>
        <v>7.8</v>
      </c>
      <c r="J34" s="346" t="s">
        <v>365</v>
      </c>
      <c r="K34" s="91" t="s">
        <v>366</v>
      </c>
      <c r="L34" s="121">
        <f>(1200/100)</f>
        <v>12</v>
      </c>
      <c r="M34" s="92"/>
      <c r="N34" s="93" t="s">
        <v>336</v>
      </c>
      <c r="O34" s="183" t="s">
        <v>400</v>
      </c>
      <c r="P34" s="278"/>
    </row>
    <row r="35" spans="1:16" ht="15.75" thickBot="1" x14ac:dyDescent="0.3">
      <c r="A35" s="540"/>
      <c r="B35" s="524"/>
      <c r="C35" s="541"/>
      <c r="D35" s="8"/>
      <c r="E35" s="542"/>
      <c r="F35" s="543"/>
      <c r="G35" s="543"/>
      <c r="H35" s="543"/>
      <c r="I35" s="543"/>
      <c r="J35" s="543"/>
      <c r="K35" s="543"/>
      <c r="L35" s="543"/>
      <c r="M35" s="543"/>
      <c r="N35" s="543"/>
      <c r="O35" s="544"/>
      <c r="P35" s="278"/>
    </row>
    <row r="36" spans="1:16" ht="15.75" thickBot="1" x14ac:dyDescent="0.3">
      <c r="A36" s="566">
        <v>32130001</v>
      </c>
      <c r="B36" s="3" t="s">
        <v>110</v>
      </c>
      <c r="C36" s="231" t="s">
        <v>45</v>
      </c>
      <c r="D36" s="278"/>
      <c r="E36" s="436">
        <f>(F36+I36+L36)/3</f>
        <v>478.85422222222223</v>
      </c>
      <c r="F36" s="430">
        <f>(29296.88/30)</f>
        <v>976.5626666666667</v>
      </c>
      <c r="G36" s="345" t="s">
        <v>227</v>
      </c>
      <c r="H36" s="87" t="s">
        <v>226</v>
      </c>
      <c r="I36" s="469">
        <v>110</v>
      </c>
      <c r="J36" s="117"/>
      <c r="K36" s="100" t="s">
        <v>228</v>
      </c>
      <c r="L36" s="101">
        <f>(10500/30)</f>
        <v>350</v>
      </c>
      <c r="M36" s="350" t="s">
        <v>337</v>
      </c>
      <c r="N36" s="574" t="s">
        <v>338</v>
      </c>
      <c r="O36" s="575"/>
      <c r="P36" s="278"/>
    </row>
    <row r="37" spans="1:16" ht="15.75" thickBot="1" x14ac:dyDescent="0.3">
      <c r="A37" s="566"/>
      <c r="B37" s="12" t="s">
        <v>111</v>
      </c>
      <c r="C37" s="232" t="s">
        <v>45</v>
      </c>
      <c r="D37" s="8"/>
      <c r="E37" s="424"/>
      <c r="F37" s="438"/>
      <c r="G37" s="119"/>
      <c r="H37" s="122"/>
      <c r="I37" s="476"/>
      <c r="J37" s="122"/>
      <c r="K37" s="122"/>
      <c r="L37" s="29"/>
      <c r="M37" s="29"/>
      <c r="N37" s="123"/>
      <c r="O37" s="183" t="s">
        <v>289</v>
      </c>
      <c r="P37" s="278"/>
    </row>
    <row r="38" spans="1:16" x14ac:dyDescent="0.25">
      <c r="A38" s="280">
        <v>322300022</v>
      </c>
      <c r="B38" s="3" t="s">
        <v>34</v>
      </c>
      <c r="C38" s="231" t="s">
        <v>45</v>
      </c>
      <c r="D38" s="8"/>
      <c r="E38" s="427">
        <f>(F38+I38)/2</f>
        <v>283.59399999999999</v>
      </c>
      <c r="F38" s="431">
        <f>(3671.88/10)</f>
        <v>367.18799999999999</v>
      </c>
      <c r="G38" s="346" t="s">
        <v>346</v>
      </c>
      <c r="H38" s="91" t="s">
        <v>369</v>
      </c>
      <c r="I38" s="470">
        <f>(2000/10)</f>
        <v>200</v>
      </c>
      <c r="J38" s="346" t="s">
        <v>371</v>
      </c>
      <c r="K38" s="576" t="s">
        <v>370</v>
      </c>
      <c r="L38" s="577"/>
      <c r="M38" s="577"/>
      <c r="N38" s="577"/>
      <c r="O38" s="578"/>
      <c r="P38" s="278"/>
    </row>
    <row r="39" spans="1:16" x14ac:dyDescent="0.25">
      <c r="A39" s="284">
        <v>321500181</v>
      </c>
      <c r="B39" s="579" t="s">
        <v>301</v>
      </c>
      <c r="C39" s="580"/>
      <c r="D39" s="8"/>
      <c r="E39" s="584"/>
      <c r="F39" s="585"/>
      <c r="G39" s="585"/>
      <c r="H39" s="585"/>
      <c r="I39" s="585"/>
      <c r="J39" s="585"/>
      <c r="K39" s="585"/>
      <c r="L39" s="585"/>
      <c r="M39" s="585"/>
      <c r="N39" s="585"/>
      <c r="O39" s="586"/>
      <c r="P39" s="278"/>
    </row>
    <row r="40" spans="1:16" ht="15.75" thickBot="1" x14ac:dyDescent="0.3">
      <c r="A40" s="540" t="s">
        <v>276</v>
      </c>
      <c r="B40" s="524"/>
      <c r="C40" s="541"/>
      <c r="D40" s="8"/>
      <c r="E40" s="581"/>
      <c r="F40" s="582"/>
      <c r="G40" s="582"/>
      <c r="H40" s="582"/>
      <c r="I40" s="582"/>
      <c r="J40" s="582"/>
      <c r="K40" s="582"/>
      <c r="L40" s="582"/>
      <c r="M40" s="582"/>
      <c r="N40" s="582"/>
      <c r="O40" s="583"/>
      <c r="P40" s="278"/>
    </row>
    <row r="41" spans="1:16" ht="15.75" thickBot="1" x14ac:dyDescent="0.3">
      <c r="A41" s="280">
        <v>321220013</v>
      </c>
      <c r="B41" s="3" t="s">
        <v>109</v>
      </c>
      <c r="C41" s="231" t="s">
        <v>62</v>
      </c>
      <c r="D41" s="8"/>
      <c r="E41" s="414">
        <f>(F41)</f>
        <v>49.5</v>
      </c>
      <c r="F41" s="463">
        <f>(990/20)</f>
        <v>49.5</v>
      </c>
      <c r="G41" s="124"/>
      <c r="H41" s="127" t="s">
        <v>339</v>
      </c>
      <c r="J41" s="127"/>
      <c r="L41" s="128"/>
      <c r="M41" s="128"/>
      <c r="N41" s="125"/>
      <c r="O41" s="201" t="s">
        <v>340</v>
      </c>
      <c r="P41" s="278"/>
    </row>
    <row r="42" spans="1:16" ht="15.75" thickBot="1" x14ac:dyDescent="0.3">
      <c r="A42" s="597"/>
      <c r="B42" s="530"/>
      <c r="C42" s="598"/>
      <c r="D42" s="8"/>
      <c r="E42" s="542"/>
      <c r="F42" s="543"/>
      <c r="G42" s="543"/>
      <c r="H42" s="543"/>
      <c r="I42" s="543"/>
      <c r="J42" s="543"/>
      <c r="K42" s="543"/>
      <c r="L42" s="543"/>
      <c r="M42" s="543"/>
      <c r="N42" s="543"/>
      <c r="O42" s="544"/>
      <c r="P42" s="278"/>
    </row>
    <row r="43" spans="1:16" ht="15.75" thickBot="1" x14ac:dyDescent="0.3">
      <c r="A43" s="280">
        <v>322300061</v>
      </c>
      <c r="B43" s="3" t="s">
        <v>122</v>
      </c>
      <c r="C43" s="231" t="s">
        <v>45</v>
      </c>
      <c r="D43" s="8"/>
      <c r="E43" s="414">
        <f>(F43+I43)/2</f>
        <v>467.19</v>
      </c>
      <c r="F43" s="437">
        <v>334.38</v>
      </c>
      <c r="G43" s="129"/>
      <c r="H43" s="127" t="s">
        <v>247</v>
      </c>
      <c r="I43" s="463">
        <v>600</v>
      </c>
      <c r="J43" s="127"/>
      <c r="K43" s="127" t="s">
        <v>341</v>
      </c>
      <c r="L43" s="128"/>
      <c r="M43" s="128"/>
      <c r="N43" s="125"/>
      <c r="O43" s="202" t="s">
        <v>342</v>
      </c>
      <c r="P43" s="278"/>
    </row>
    <row r="44" spans="1:16" ht="15.75" thickBot="1" x14ac:dyDescent="0.3">
      <c r="A44" s="594"/>
      <c r="B44" s="531"/>
      <c r="C44" s="596"/>
      <c r="D44" s="8"/>
      <c r="E44" s="542"/>
      <c r="F44" s="543"/>
      <c r="G44" s="543"/>
      <c r="H44" s="543"/>
      <c r="I44" s="543"/>
      <c r="J44" s="543"/>
      <c r="K44" s="543"/>
      <c r="L44" s="543"/>
      <c r="M44" s="543"/>
      <c r="N44" s="543"/>
      <c r="O44" s="544"/>
      <c r="P44" s="278"/>
    </row>
    <row r="45" spans="1:16" ht="15.75" thickBot="1" x14ac:dyDescent="0.3">
      <c r="A45" s="284">
        <v>320300033</v>
      </c>
      <c r="B45" s="12" t="s">
        <v>64</v>
      </c>
      <c r="C45" s="232" t="s">
        <v>62</v>
      </c>
      <c r="D45" s="8"/>
      <c r="E45" s="439">
        <f>(F45)</f>
        <v>1039</v>
      </c>
      <c r="F45" s="440">
        <v>1039</v>
      </c>
      <c r="G45" s="129"/>
      <c r="H45" s="130" t="s">
        <v>290</v>
      </c>
      <c r="I45" s="477"/>
      <c r="J45" s="130"/>
      <c r="K45" s="130"/>
      <c r="L45" s="131"/>
      <c r="M45" s="131"/>
      <c r="N45" s="130"/>
      <c r="O45" s="203"/>
      <c r="P45" s="278"/>
    </row>
    <row r="46" spans="1:16" ht="15.75" thickBot="1" x14ac:dyDescent="0.3">
      <c r="A46" s="597" t="s">
        <v>424</v>
      </c>
      <c r="B46" s="530"/>
      <c r="C46" s="598"/>
      <c r="D46" s="8"/>
      <c r="E46" s="599"/>
      <c r="F46" s="543"/>
      <c r="G46" s="543"/>
      <c r="H46" s="543"/>
      <c r="I46" s="543"/>
      <c r="J46" s="543"/>
      <c r="K46" s="543"/>
      <c r="L46" s="543"/>
      <c r="M46" s="543"/>
      <c r="N46" s="543"/>
      <c r="O46" s="544"/>
      <c r="P46" s="278"/>
    </row>
    <row r="47" spans="1:16" s="318" customFormat="1" ht="15.75" thickBot="1" x14ac:dyDescent="0.3">
      <c r="A47" s="600">
        <v>32070005</v>
      </c>
      <c r="B47" s="36" t="s">
        <v>420</v>
      </c>
      <c r="C47" s="373" t="s">
        <v>62</v>
      </c>
      <c r="E47" s="424">
        <f>(F47+I47)/2</f>
        <v>34.5</v>
      </c>
      <c r="F47" s="430">
        <v>44</v>
      </c>
      <c r="G47" s="375" t="s">
        <v>426</v>
      </c>
      <c r="H47" s="499" t="s">
        <v>425</v>
      </c>
      <c r="I47" s="469">
        <f>(2500/100)</f>
        <v>25</v>
      </c>
      <c r="J47" s="376" t="s">
        <v>426</v>
      </c>
      <c r="K47" s="606" t="s">
        <v>428</v>
      </c>
      <c r="L47" s="607"/>
      <c r="M47" s="607"/>
      <c r="N47" s="607"/>
      <c r="O47" s="608"/>
    </row>
    <row r="48" spans="1:16" s="318" customFormat="1" ht="15.75" thickBot="1" x14ac:dyDescent="0.3">
      <c r="A48" s="601"/>
      <c r="B48" s="36" t="s">
        <v>421</v>
      </c>
      <c r="C48" s="373" t="s">
        <v>62</v>
      </c>
      <c r="E48" s="424">
        <f t="shared" ref="E48:E51" si="1">(F48+I48)/2</f>
        <v>29</v>
      </c>
      <c r="F48" s="428">
        <v>33</v>
      </c>
      <c r="G48" s="375" t="s">
        <v>426</v>
      </c>
      <c r="H48" s="499" t="s">
        <v>425</v>
      </c>
      <c r="I48" s="474">
        <f>(2500/100)</f>
        <v>25</v>
      </c>
      <c r="J48" s="376" t="s">
        <v>426</v>
      </c>
      <c r="K48" s="603" t="s">
        <v>429</v>
      </c>
      <c r="L48" s="604"/>
      <c r="M48" s="604"/>
      <c r="N48" s="604"/>
      <c r="O48" s="605"/>
    </row>
    <row r="49" spans="1:16" s="318" customFormat="1" ht="15.75" thickBot="1" x14ac:dyDescent="0.3">
      <c r="A49" s="601"/>
      <c r="B49" s="36" t="s">
        <v>422</v>
      </c>
      <c r="C49" s="373" t="s">
        <v>62</v>
      </c>
      <c r="E49" s="424">
        <f t="shared" si="1"/>
        <v>29</v>
      </c>
      <c r="F49" s="428">
        <v>33</v>
      </c>
      <c r="G49" s="375" t="s">
        <v>426</v>
      </c>
      <c r="H49" s="499" t="s">
        <v>425</v>
      </c>
      <c r="I49" s="474">
        <f>(2500/100)</f>
        <v>25</v>
      </c>
      <c r="J49" s="376" t="s">
        <v>426</v>
      </c>
      <c r="K49" s="603" t="s">
        <v>430</v>
      </c>
      <c r="L49" s="604"/>
      <c r="M49" s="604"/>
      <c r="N49" s="604"/>
      <c r="O49" s="605"/>
    </row>
    <row r="50" spans="1:16" s="318" customFormat="1" ht="15.75" thickBot="1" x14ac:dyDescent="0.3">
      <c r="A50" s="601"/>
      <c r="B50" s="36" t="s">
        <v>423</v>
      </c>
      <c r="C50" s="373" t="s">
        <v>62</v>
      </c>
      <c r="E50" s="424">
        <f t="shared" si="1"/>
        <v>30.5625</v>
      </c>
      <c r="F50" s="428">
        <v>33</v>
      </c>
      <c r="G50" s="375" t="s">
        <v>426</v>
      </c>
      <c r="H50" s="499" t="s">
        <v>425</v>
      </c>
      <c r="I50" s="474">
        <f>(2812.5/100)</f>
        <v>28.125</v>
      </c>
      <c r="J50" s="376" t="s">
        <v>426</v>
      </c>
      <c r="K50" s="603" t="s">
        <v>431</v>
      </c>
      <c r="L50" s="604"/>
      <c r="M50" s="604"/>
      <c r="N50" s="604"/>
      <c r="O50" s="605"/>
    </row>
    <row r="51" spans="1:16" s="318" customFormat="1" ht="15.75" thickBot="1" x14ac:dyDescent="0.3">
      <c r="A51" s="602"/>
      <c r="B51" s="36" t="s">
        <v>419</v>
      </c>
      <c r="C51" s="373" t="s">
        <v>62</v>
      </c>
      <c r="E51" s="424">
        <f t="shared" si="1"/>
        <v>35.5625</v>
      </c>
      <c r="F51" s="428">
        <v>43</v>
      </c>
      <c r="G51" s="375" t="s">
        <v>426</v>
      </c>
      <c r="H51" s="499" t="s">
        <v>425</v>
      </c>
      <c r="I51" s="474">
        <f>(2812.5/100)</f>
        <v>28.125</v>
      </c>
      <c r="J51" s="376" t="s">
        <v>426</v>
      </c>
      <c r="K51" s="603" t="s">
        <v>427</v>
      </c>
      <c r="L51" s="604"/>
      <c r="M51" s="604"/>
      <c r="N51" s="604"/>
      <c r="O51" s="605"/>
    </row>
    <row r="52" spans="1:16" ht="15.75" thickBot="1" x14ac:dyDescent="0.3">
      <c r="A52" s="594"/>
      <c r="B52" s="595"/>
      <c r="C52" s="596"/>
      <c r="D52" s="8"/>
      <c r="E52" s="581"/>
      <c r="F52" s="582"/>
      <c r="G52" s="582"/>
      <c r="H52" s="582"/>
      <c r="I52" s="582"/>
      <c r="J52" s="582"/>
      <c r="K52" s="582"/>
      <c r="L52" s="582"/>
      <c r="M52" s="582"/>
      <c r="N52" s="582"/>
      <c r="O52" s="583"/>
      <c r="P52" s="278"/>
    </row>
    <row r="53" spans="1:16" ht="15.75" thickBot="1" x14ac:dyDescent="0.3">
      <c r="A53" s="280">
        <v>321600012</v>
      </c>
      <c r="B53" s="3" t="s">
        <v>31</v>
      </c>
      <c r="C53" s="231" t="s">
        <v>45</v>
      </c>
      <c r="D53" s="8"/>
      <c r="E53" s="436">
        <f>(F53+I53)/2</f>
        <v>29.828150000000001</v>
      </c>
      <c r="F53" s="437">
        <f>(2265.63/100)</f>
        <v>22.656300000000002</v>
      </c>
      <c r="G53" s="132" t="s">
        <v>231</v>
      </c>
      <c r="H53" s="111" t="s">
        <v>30</v>
      </c>
      <c r="I53" s="418">
        <f>(3700/100)</f>
        <v>37</v>
      </c>
      <c r="J53" s="129" t="s">
        <v>38</v>
      </c>
      <c r="K53" s="112" t="s">
        <v>261</v>
      </c>
      <c r="L53" s="114"/>
      <c r="M53" s="114"/>
      <c r="N53" s="115"/>
      <c r="O53" s="183" t="s">
        <v>143</v>
      </c>
      <c r="P53" s="278"/>
    </row>
    <row r="54" spans="1:16" ht="15.75" thickBot="1" x14ac:dyDescent="0.3">
      <c r="A54" s="594"/>
      <c r="B54" s="531"/>
      <c r="C54" s="596"/>
      <c r="D54" s="8"/>
      <c r="E54" s="542"/>
      <c r="F54" s="543"/>
      <c r="G54" s="543"/>
      <c r="H54" s="543"/>
      <c r="I54" s="543"/>
      <c r="J54" s="543"/>
      <c r="K54" s="543"/>
      <c r="L54" s="543"/>
      <c r="M54" s="543"/>
      <c r="N54" s="543"/>
      <c r="O54" s="544"/>
      <c r="P54" s="278"/>
    </row>
    <row r="55" spans="1:16" ht="15.75" thickBot="1" x14ac:dyDescent="0.3">
      <c r="A55" s="280">
        <v>320900071</v>
      </c>
      <c r="B55" s="3" t="s">
        <v>35</v>
      </c>
      <c r="C55" s="231" t="s">
        <v>62</v>
      </c>
      <c r="D55" s="8"/>
      <c r="E55" s="414">
        <f>(F55+I55)/2</f>
        <v>561.5</v>
      </c>
      <c r="F55" s="437">
        <v>540</v>
      </c>
      <c r="G55" s="129" t="s">
        <v>207</v>
      </c>
      <c r="H55" s="111" t="s">
        <v>36</v>
      </c>
      <c r="I55" s="418">
        <v>583</v>
      </c>
      <c r="J55" s="129"/>
      <c r="K55" s="111" t="s">
        <v>208</v>
      </c>
      <c r="L55" s="133"/>
      <c r="M55" s="133"/>
      <c r="N55" s="112"/>
      <c r="O55" s="204"/>
      <c r="P55" s="278"/>
    </row>
    <row r="56" spans="1:16" ht="15.75" thickBot="1" x14ac:dyDescent="0.3">
      <c r="A56" s="540" t="s">
        <v>277</v>
      </c>
      <c r="B56" s="524"/>
      <c r="C56" s="541"/>
      <c r="D56" s="8"/>
      <c r="E56" s="542"/>
      <c r="F56" s="543"/>
      <c r="G56" s="543"/>
      <c r="H56" s="543"/>
      <c r="I56" s="543"/>
      <c r="J56" s="543"/>
      <c r="K56" s="543"/>
      <c r="L56" s="543"/>
      <c r="M56" s="543"/>
      <c r="N56" s="543"/>
      <c r="O56" s="544"/>
      <c r="P56" s="278"/>
    </row>
    <row r="57" spans="1:16" ht="15.75" thickBot="1" x14ac:dyDescent="0.3">
      <c r="A57" s="566">
        <v>32150002</v>
      </c>
      <c r="B57" s="3" t="s">
        <v>112</v>
      </c>
      <c r="C57" s="231" t="s">
        <v>58</v>
      </c>
      <c r="D57" s="8"/>
      <c r="E57" s="441">
        <f>(F57)</f>
        <v>659</v>
      </c>
      <c r="F57" s="442">
        <v>659</v>
      </c>
      <c r="G57" s="357" t="s">
        <v>319</v>
      </c>
      <c r="H57" s="134" t="s">
        <v>320</v>
      </c>
      <c r="I57" s="478"/>
      <c r="J57" s="135"/>
      <c r="K57" s="136"/>
      <c r="L57" s="137"/>
      <c r="M57" s="137"/>
      <c r="N57" s="138"/>
      <c r="O57" s="205"/>
      <c r="P57" s="278"/>
    </row>
    <row r="58" spans="1:16" ht="15.75" thickBot="1" x14ac:dyDescent="0.3">
      <c r="A58" s="566"/>
      <c r="B58" s="3" t="s">
        <v>113</v>
      </c>
      <c r="C58" s="231" t="s">
        <v>68</v>
      </c>
      <c r="D58" s="8"/>
      <c r="E58" s="443">
        <f>(F58+I58)/2</f>
        <v>548.5</v>
      </c>
      <c r="F58" s="434">
        <v>607</v>
      </c>
      <c r="G58" s="358" t="s">
        <v>319</v>
      </c>
      <c r="H58" s="139" t="s">
        <v>318</v>
      </c>
      <c r="I58" s="470">
        <v>490</v>
      </c>
      <c r="J58" s="140" t="s">
        <v>343</v>
      </c>
      <c r="K58" s="141" t="s">
        <v>344</v>
      </c>
      <c r="L58" s="142"/>
      <c r="M58" s="142"/>
      <c r="N58" s="141"/>
      <c r="O58" s="206"/>
      <c r="P58" s="278"/>
    </row>
    <row r="59" spans="1:16" ht="15.75" thickBot="1" x14ac:dyDescent="0.3">
      <c r="A59" s="594"/>
      <c r="B59" s="531"/>
      <c r="C59" s="596"/>
      <c r="D59" s="8"/>
      <c r="E59" s="542"/>
      <c r="F59" s="543"/>
      <c r="G59" s="543"/>
      <c r="H59" s="543"/>
      <c r="I59" s="543"/>
      <c r="J59" s="543"/>
      <c r="K59" s="543"/>
      <c r="L59" s="543"/>
      <c r="M59" s="543"/>
      <c r="N59" s="543"/>
      <c r="O59" s="544"/>
      <c r="P59" s="278"/>
    </row>
    <row r="60" spans="1:16" ht="15.75" thickBot="1" x14ac:dyDescent="0.3">
      <c r="A60" s="280">
        <v>3212002017</v>
      </c>
      <c r="B60" s="7" t="s">
        <v>108</v>
      </c>
      <c r="C60" s="231" t="s">
        <v>62</v>
      </c>
      <c r="D60" s="8"/>
      <c r="E60" s="414">
        <f>(F60)</f>
        <v>3750</v>
      </c>
      <c r="F60" s="437">
        <v>3750</v>
      </c>
      <c r="G60" s="355" t="s">
        <v>346</v>
      </c>
      <c r="H60" s="612" t="s">
        <v>345</v>
      </c>
      <c r="I60" s="613"/>
      <c r="J60" s="613"/>
      <c r="K60" s="613"/>
      <c r="L60" s="613"/>
      <c r="M60" s="613"/>
      <c r="N60" s="613"/>
      <c r="O60" s="614"/>
      <c r="P60" s="278"/>
    </row>
    <row r="61" spans="1:16" ht="15.75" thickBot="1" x14ac:dyDescent="0.3">
      <c r="A61" s="540" t="s">
        <v>278</v>
      </c>
      <c r="B61" s="524"/>
      <c r="C61" s="541"/>
      <c r="D61" s="9"/>
      <c r="E61" s="542"/>
      <c r="F61" s="543"/>
      <c r="G61" s="543"/>
      <c r="H61" s="543"/>
      <c r="I61" s="543"/>
      <c r="J61" s="543"/>
      <c r="K61" s="543"/>
      <c r="L61" s="543"/>
      <c r="M61" s="543"/>
      <c r="N61" s="543"/>
      <c r="O61" s="544"/>
      <c r="P61" s="278"/>
    </row>
    <row r="62" spans="1:16" ht="15.75" thickBot="1" x14ac:dyDescent="0.3">
      <c r="A62" s="281">
        <v>32220001</v>
      </c>
      <c r="B62" s="47" t="s">
        <v>287</v>
      </c>
      <c r="C62" s="228" t="s">
        <v>45</v>
      </c>
      <c r="D62" s="8"/>
      <c r="E62" s="436">
        <f>(F62+I62)/2</f>
        <v>1787.905</v>
      </c>
      <c r="F62" s="444">
        <v>2007.81</v>
      </c>
      <c r="G62" s="359" t="s">
        <v>372</v>
      </c>
      <c r="H62" s="143" t="s">
        <v>241</v>
      </c>
      <c r="I62" s="479">
        <v>1568</v>
      </c>
      <c r="J62" s="359" t="s">
        <v>243</v>
      </c>
      <c r="K62" s="144" t="s">
        <v>242</v>
      </c>
      <c r="L62" s="145"/>
      <c r="M62" s="145"/>
      <c r="N62" s="144"/>
      <c r="O62" s="207"/>
      <c r="P62" s="278"/>
    </row>
    <row r="63" spans="1:16" ht="15.75" thickBot="1" x14ac:dyDescent="0.3">
      <c r="A63" s="594"/>
      <c r="B63" s="531"/>
      <c r="C63" s="596"/>
      <c r="D63" s="8"/>
      <c r="E63" s="542"/>
      <c r="F63" s="543"/>
      <c r="G63" s="543"/>
      <c r="H63" s="543"/>
      <c r="I63" s="543"/>
      <c r="J63" s="543"/>
      <c r="K63" s="543"/>
      <c r="L63" s="543"/>
      <c r="M63" s="543"/>
      <c r="N63" s="543"/>
      <c r="O63" s="544"/>
      <c r="P63" s="278"/>
    </row>
    <row r="64" spans="1:16" ht="15.75" thickBot="1" x14ac:dyDescent="0.3">
      <c r="A64" s="280">
        <v>321500041</v>
      </c>
      <c r="B64" s="3" t="s">
        <v>116</v>
      </c>
      <c r="C64" s="231" t="s">
        <v>62</v>
      </c>
      <c r="D64" s="8"/>
      <c r="E64" s="414">
        <f>(F64)</f>
        <v>949.2188000000001</v>
      </c>
      <c r="F64" s="437">
        <f>(94921.88/100)</f>
        <v>949.2188000000001</v>
      </c>
      <c r="G64" s="355" t="s">
        <v>3</v>
      </c>
      <c r="H64" s="127" t="s">
        <v>316</v>
      </c>
      <c r="I64" s="480"/>
      <c r="J64" s="127"/>
      <c r="K64" s="127"/>
      <c r="L64" s="146"/>
      <c r="M64" s="146"/>
      <c r="N64" s="147"/>
      <c r="O64" s="204"/>
      <c r="P64" s="278"/>
    </row>
    <row r="65" spans="1:16" ht="15.75" thickBot="1" x14ac:dyDescent="0.3">
      <c r="A65" s="594"/>
      <c r="B65" s="531"/>
      <c r="C65" s="596"/>
      <c r="D65" s="8"/>
      <c r="E65" s="599"/>
      <c r="F65" s="543"/>
      <c r="G65" s="543"/>
      <c r="H65" s="543"/>
      <c r="I65" s="543"/>
      <c r="J65" s="543"/>
      <c r="K65" s="543"/>
      <c r="L65" s="543"/>
      <c r="M65" s="543"/>
      <c r="N65" s="543"/>
      <c r="O65" s="544"/>
      <c r="P65" s="278"/>
    </row>
    <row r="66" spans="1:16" ht="15.75" thickBot="1" x14ac:dyDescent="0.3">
      <c r="A66" s="235"/>
      <c r="B66" s="70" t="s">
        <v>396</v>
      </c>
      <c r="C66" s="236" t="s">
        <v>45</v>
      </c>
      <c r="D66" s="8"/>
      <c r="E66" s="445">
        <f>(F66)</f>
        <v>429</v>
      </c>
      <c r="F66" s="446">
        <v>429</v>
      </c>
      <c r="G66" s="371"/>
      <c r="H66" s="500" t="s">
        <v>433</v>
      </c>
      <c r="I66" s="481"/>
      <c r="J66" s="371"/>
      <c r="K66" s="380"/>
      <c r="L66" s="380"/>
      <c r="M66" s="380"/>
      <c r="N66" s="380"/>
      <c r="O66" s="381"/>
      <c r="P66" s="278"/>
    </row>
    <row r="67" spans="1:16" ht="15.75" thickBot="1" x14ac:dyDescent="0.3">
      <c r="A67" s="235"/>
      <c r="B67" s="70" t="s">
        <v>397</v>
      </c>
      <c r="C67" s="236" t="s">
        <v>45</v>
      </c>
      <c r="D67" s="8"/>
      <c r="E67" s="445">
        <f>(F67)</f>
        <v>580</v>
      </c>
      <c r="F67" s="447">
        <v>580</v>
      </c>
      <c r="G67" s="372"/>
      <c r="H67" s="501" t="s">
        <v>432</v>
      </c>
      <c r="I67" s="482"/>
      <c r="J67" s="372"/>
      <c r="K67" s="289"/>
      <c r="L67" s="289"/>
      <c r="M67" s="289"/>
      <c r="N67" s="289"/>
      <c r="O67" s="382"/>
      <c r="P67" s="278"/>
    </row>
    <row r="68" spans="1:16" ht="15.75" thickBot="1" x14ac:dyDescent="0.3">
      <c r="A68" s="280">
        <v>3201000612</v>
      </c>
      <c r="B68" s="3" t="s">
        <v>48</v>
      </c>
      <c r="C68" s="231" t="s">
        <v>45</v>
      </c>
      <c r="D68" s="8"/>
      <c r="E68" s="414">
        <f>(F68)</f>
        <v>217</v>
      </c>
      <c r="F68" s="448">
        <v>217</v>
      </c>
      <c r="G68" s="129"/>
      <c r="H68" s="125" t="s">
        <v>312</v>
      </c>
      <c r="I68" s="483"/>
      <c r="J68" s="148"/>
      <c r="K68" s="149"/>
      <c r="L68" s="150"/>
      <c r="M68" s="150"/>
      <c r="N68" s="151"/>
      <c r="O68" s="208"/>
      <c r="P68" s="278"/>
    </row>
    <row r="69" spans="1:16" ht="15.75" thickBot="1" x14ac:dyDescent="0.3">
      <c r="A69" s="594"/>
      <c r="B69" s="531"/>
      <c r="C69" s="596"/>
      <c r="D69" s="8"/>
      <c r="E69" s="609"/>
      <c r="F69" s="610"/>
      <c r="G69" s="610"/>
      <c r="H69" s="610"/>
      <c r="I69" s="610"/>
      <c r="J69" s="610"/>
      <c r="K69" s="610"/>
      <c r="L69" s="610"/>
      <c r="M69" s="610"/>
      <c r="N69" s="610"/>
      <c r="O69" s="611"/>
      <c r="P69" s="278"/>
    </row>
    <row r="70" spans="1:16" ht="15.75" thickBot="1" x14ac:dyDescent="0.3">
      <c r="A70" s="280">
        <v>321500036</v>
      </c>
      <c r="B70" s="3" t="s">
        <v>114</v>
      </c>
      <c r="C70" s="231" t="s">
        <v>115</v>
      </c>
      <c r="D70" s="8"/>
      <c r="E70" s="414">
        <f>(F70)</f>
        <v>1562.5</v>
      </c>
      <c r="F70" s="437">
        <v>1562.5</v>
      </c>
      <c r="G70" s="129" t="s">
        <v>230</v>
      </c>
      <c r="H70" s="125" t="s">
        <v>229</v>
      </c>
      <c r="I70" s="484"/>
      <c r="J70" s="148"/>
      <c r="K70" s="152"/>
      <c r="L70" s="114"/>
      <c r="M70" s="114"/>
      <c r="N70" s="115"/>
      <c r="O70" s="204"/>
      <c r="P70" s="278"/>
    </row>
    <row r="71" spans="1:16" ht="15.75" thickBot="1" x14ac:dyDescent="0.3">
      <c r="A71" s="540" t="s">
        <v>279</v>
      </c>
      <c r="B71" s="524"/>
      <c r="C71" s="541"/>
      <c r="D71" s="8"/>
      <c r="E71" s="542"/>
      <c r="F71" s="543"/>
      <c r="G71" s="543"/>
      <c r="H71" s="543"/>
      <c r="I71" s="543"/>
      <c r="J71" s="543"/>
      <c r="K71" s="543"/>
      <c r="L71" s="543"/>
      <c r="M71" s="543"/>
      <c r="N71" s="543"/>
      <c r="O71" s="544"/>
      <c r="P71" s="278"/>
    </row>
    <row r="72" spans="1:16" ht="15.75" thickBot="1" x14ac:dyDescent="0.3">
      <c r="A72" s="280">
        <v>32050001</v>
      </c>
      <c r="B72" s="3" t="s">
        <v>288</v>
      </c>
      <c r="C72" s="231" t="s">
        <v>45</v>
      </c>
      <c r="D72" s="8"/>
      <c r="E72" s="436">
        <v>20</v>
      </c>
      <c r="F72" s="437">
        <f>(1000/50)</f>
        <v>20</v>
      </c>
      <c r="G72" s="129"/>
      <c r="H72" s="125" t="s">
        <v>313</v>
      </c>
      <c r="I72" s="484"/>
      <c r="J72" s="148"/>
      <c r="K72" s="149"/>
      <c r="L72" s="150"/>
      <c r="M72" s="150"/>
      <c r="N72" s="115"/>
      <c r="O72" s="183" t="s">
        <v>265</v>
      </c>
      <c r="P72" s="278"/>
    </row>
    <row r="73" spans="1:16" ht="15.75" thickBot="1" x14ac:dyDescent="0.3">
      <c r="A73" s="594"/>
      <c r="B73" s="531"/>
      <c r="C73" s="596"/>
      <c r="D73" s="8"/>
      <c r="E73" s="542"/>
      <c r="F73" s="543"/>
      <c r="G73" s="543"/>
      <c r="H73" s="543"/>
      <c r="I73" s="543"/>
      <c r="J73" s="543"/>
      <c r="K73" s="543"/>
      <c r="L73" s="543"/>
      <c r="M73" s="543"/>
      <c r="N73" s="543"/>
      <c r="O73" s="544"/>
      <c r="P73" s="278"/>
    </row>
    <row r="74" spans="1:16" ht="15.75" thickBot="1" x14ac:dyDescent="0.3">
      <c r="A74" s="283">
        <v>320700121</v>
      </c>
      <c r="B74" s="279" t="s">
        <v>81</v>
      </c>
      <c r="C74" s="234" t="s">
        <v>45</v>
      </c>
      <c r="D74" s="8"/>
      <c r="E74" s="615"/>
      <c r="F74" s="616"/>
      <c r="G74" s="616"/>
      <c r="H74" s="616"/>
      <c r="I74" s="616"/>
      <c r="J74" s="616"/>
      <c r="K74" s="616"/>
      <c r="L74" s="616"/>
      <c r="M74" s="616"/>
      <c r="N74" s="616"/>
      <c r="O74" s="617"/>
      <c r="P74" s="278"/>
    </row>
    <row r="75" spans="1:16" ht="15.75" thickBot="1" x14ac:dyDescent="0.3">
      <c r="A75" s="540" t="s">
        <v>259</v>
      </c>
      <c r="B75" s="524"/>
      <c r="C75" s="541"/>
      <c r="D75" s="8"/>
      <c r="E75" s="542"/>
      <c r="F75" s="543"/>
      <c r="G75" s="543"/>
      <c r="H75" s="543"/>
      <c r="I75" s="543"/>
      <c r="J75" s="543"/>
      <c r="K75" s="543"/>
      <c r="L75" s="543"/>
      <c r="M75" s="543"/>
      <c r="N75" s="543"/>
      <c r="O75" s="544"/>
      <c r="P75" s="278"/>
    </row>
    <row r="76" spans="1:16" ht="15.75" thickBot="1" x14ac:dyDescent="0.3">
      <c r="A76" s="566">
        <v>32160002</v>
      </c>
      <c r="B76" s="3" t="s">
        <v>118</v>
      </c>
      <c r="C76" s="231" t="s">
        <v>45</v>
      </c>
      <c r="D76" s="8"/>
      <c r="E76" s="429">
        <f>(F76+I76+L76)/3</f>
        <v>85.653766666666669</v>
      </c>
      <c r="F76" s="430">
        <f>(8203.13/100)</f>
        <v>82.031299999999987</v>
      </c>
      <c r="G76" s="345" t="s">
        <v>233</v>
      </c>
      <c r="H76" s="87" t="s">
        <v>236</v>
      </c>
      <c r="I76" s="469">
        <f>(10000/100)</f>
        <v>100</v>
      </c>
      <c r="J76" s="345" t="s">
        <v>234</v>
      </c>
      <c r="K76" s="87" t="s">
        <v>237</v>
      </c>
      <c r="L76" s="88">
        <f>(7493/100)</f>
        <v>74.930000000000007</v>
      </c>
      <c r="M76" s="353" t="s">
        <v>374</v>
      </c>
      <c r="N76" s="90" t="s">
        <v>401</v>
      </c>
      <c r="O76" s="249" t="s">
        <v>347</v>
      </c>
      <c r="P76" s="278"/>
    </row>
    <row r="77" spans="1:16" ht="15.75" thickBot="1" x14ac:dyDescent="0.3">
      <c r="A77" s="566"/>
      <c r="B77" s="3" t="s">
        <v>119</v>
      </c>
      <c r="C77" s="231" t="s">
        <v>45</v>
      </c>
      <c r="D77" s="8"/>
      <c r="E77" s="424">
        <f t="shared" ref="E77" si="2">(F77+I77+L77)/3</f>
        <v>98.065433333333331</v>
      </c>
      <c r="F77" s="428">
        <f>(10078.13/100)</f>
        <v>100.78129999999999</v>
      </c>
      <c r="G77" s="348" t="s">
        <v>233</v>
      </c>
      <c r="H77" s="102" t="s">
        <v>232</v>
      </c>
      <c r="I77" s="474">
        <f>(10312.5/100)</f>
        <v>103.125</v>
      </c>
      <c r="J77" s="348" t="s">
        <v>234</v>
      </c>
      <c r="K77" s="102" t="s">
        <v>235</v>
      </c>
      <c r="L77" s="27">
        <f>(9029/100)</f>
        <v>90.29</v>
      </c>
      <c r="M77" s="352" t="s">
        <v>374</v>
      </c>
      <c r="N77" s="105" t="s">
        <v>373</v>
      </c>
      <c r="O77" s="183" t="s">
        <v>348</v>
      </c>
      <c r="P77" s="278"/>
    </row>
    <row r="78" spans="1:16" ht="15.75" thickBot="1" x14ac:dyDescent="0.3">
      <c r="A78" s="566"/>
      <c r="B78" s="3" t="s">
        <v>14</v>
      </c>
      <c r="C78" s="231" t="s">
        <v>45</v>
      </c>
      <c r="D78" s="8"/>
      <c r="E78" s="427">
        <f>(F78+I78)/2</f>
        <v>90.878900000000002</v>
      </c>
      <c r="F78" s="431">
        <f>(8644.53/100)</f>
        <v>86.445300000000003</v>
      </c>
      <c r="G78" s="153" t="s">
        <v>38</v>
      </c>
      <c r="H78" s="91" t="s">
        <v>13</v>
      </c>
      <c r="I78" s="470">
        <f>(9531.25/100)</f>
        <v>95.3125</v>
      </c>
      <c r="J78" s="346" t="s">
        <v>234</v>
      </c>
      <c r="K78" s="91" t="s">
        <v>238</v>
      </c>
      <c r="L78" s="121"/>
      <c r="M78" s="154"/>
      <c r="N78" s="93"/>
      <c r="O78" s="201" t="s">
        <v>347</v>
      </c>
      <c r="P78" s="278"/>
    </row>
    <row r="79" spans="1:16" ht="15.75" thickBot="1" x14ac:dyDescent="0.3">
      <c r="A79" s="540"/>
      <c r="B79" s="524"/>
      <c r="C79" s="541"/>
      <c r="D79" s="8"/>
      <c r="E79" s="542"/>
      <c r="F79" s="543"/>
      <c r="G79" s="543"/>
      <c r="H79" s="543"/>
      <c r="I79" s="543"/>
      <c r="J79" s="543"/>
      <c r="K79" s="543"/>
      <c r="L79" s="543"/>
      <c r="M79" s="543"/>
      <c r="N79" s="543"/>
      <c r="O79" s="544"/>
      <c r="P79" s="278"/>
    </row>
    <row r="80" spans="1:16" x14ac:dyDescent="0.25">
      <c r="A80" s="284">
        <v>321200161</v>
      </c>
      <c r="B80" s="279" t="s">
        <v>105</v>
      </c>
      <c r="C80" s="234" t="s">
        <v>62</v>
      </c>
      <c r="D80" s="8"/>
      <c r="E80" s="618"/>
      <c r="F80" s="619"/>
      <c r="G80" s="619"/>
      <c r="H80" s="619"/>
      <c r="I80" s="619"/>
      <c r="J80" s="619"/>
      <c r="K80" s="619"/>
      <c r="L80" s="619"/>
      <c r="M80" s="619"/>
      <c r="N80" s="619"/>
      <c r="O80" s="620"/>
      <c r="P80" s="278"/>
    </row>
    <row r="81" spans="1:16" x14ac:dyDescent="0.25">
      <c r="A81" s="284">
        <v>321200172</v>
      </c>
      <c r="B81" s="279" t="s">
        <v>106</v>
      </c>
      <c r="C81" s="234" t="s">
        <v>62</v>
      </c>
      <c r="D81" s="395"/>
      <c r="E81" s="621"/>
      <c r="F81" s="622"/>
      <c r="G81" s="622"/>
      <c r="H81" s="622"/>
      <c r="I81" s="622"/>
      <c r="J81" s="622"/>
      <c r="K81" s="622"/>
      <c r="L81" s="622"/>
      <c r="M81" s="622"/>
      <c r="N81" s="622"/>
      <c r="O81" s="623"/>
      <c r="P81" s="278"/>
    </row>
    <row r="82" spans="1:16" ht="15.75" thickBot="1" x14ac:dyDescent="0.3">
      <c r="A82" s="540"/>
      <c r="B82" s="524"/>
      <c r="C82" s="541"/>
      <c r="D82" s="395"/>
      <c r="E82" s="581"/>
      <c r="F82" s="582"/>
      <c r="G82" s="582"/>
      <c r="H82" s="582"/>
      <c r="I82" s="582"/>
      <c r="J82" s="582"/>
      <c r="K82" s="582"/>
      <c r="L82" s="582"/>
      <c r="M82" s="582"/>
      <c r="N82" s="582"/>
      <c r="O82" s="583"/>
      <c r="P82" s="278"/>
    </row>
    <row r="83" spans="1:16" ht="15.75" thickBot="1" x14ac:dyDescent="0.3">
      <c r="A83" s="284">
        <v>321200192</v>
      </c>
      <c r="B83" s="12" t="s">
        <v>107</v>
      </c>
      <c r="C83" s="232" t="s">
        <v>45</v>
      </c>
      <c r="D83" s="8"/>
      <c r="E83" s="424">
        <v>950</v>
      </c>
      <c r="F83" s="437">
        <v>950</v>
      </c>
      <c r="G83" s="129"/>
      <c r="H83" s="612" t="s">
        <v>291</v>
      </c>
      <c r="I83" s="613"/>
      <c r="J83" s="613"/>
      <c r="K83" s="613"/>
      <c r="L83" s="613"/>
      <c r="M83" s="613"/>
      <c r="N83" s="613"/>
      <c r="O83" s="614"/>
      <c r="P83" s="278"/>
    </row>
    <row r="84" spans="1:16" ht="15.75" thickBot="1" x14ac:dyDescent="0.3">
      <c r="A84" s="540" t="s">
        <v>258</v>
      </c>
      <c r="B84" s="524"/>
      <c r="C84" s="541"/>
      <c r="D84" s="8"/>
      <c r="E84" s="542"/>
      <c r="F84" s="543"/>
      <c r="G84" s="543"/>
      <c r="H84" s="543"/>
      <c r="I84" s="543"/>
      <c r="J84" s="543"/>
      <c r="K84" s="543"/>
      <c r="L84" s="543"/>
      <c r="M84" s="543"/>
      <c r="N84" s="543"/>
      <c r="O84" s="544"/>
      <c r="P84" s="278"/>
    </row>
    <row r="85" spans="1:16" ht="15.75" thickBot="1" x14ac:dyDescent="0.3">
      <c r="A85" s="566">
        <v>32020003</v>
      </c>
      <c r="B85" s="3" t="s">
        <v>55</v>
      </c>
      <c r="C85" s="231" t="s">
        <v>54</v>
      </c>
      <c r="D85" s="8" t="s">
        <v>410</v>
      </c>
      <c r="E85" s="429">
        <f>(F85+I85)/2</f>
        <v>2623.44</v>
      </c>
      <c r="F85" s="430">
        <v>3046.88</v>
      </c>
      <c r="G85" s="345" t="s">
        <v>147</v>
      </c>
      <c r="H85" s="87" t="s">
        <v>148</v>
      </c>
      <c r="I85" s="469">
        <v>2200</v>
      </c>
      <c r="J85" s="356" t="s">
        <v>151</v>
      </c>
      <c r="K85" s="87" t="s">
        <v>150</v>
      </c>
      <c r="L85" s="89"/>
      <c r="M85" s="89"/>
      <c r="N85" s="90"/>
      <c r="O85" s="183" t="s">
        <v>149</v>
      </c>
      <c r="P85" s="278"/>
    </row>
    <row r="86" spans="1:16" ht="15.75" thickBot="1" x14ac:dyDescent="0.3">
      <c r="A86" s="566"/>
      <c r="B86" s="3" t="s">
        <v>9</v>
      </c>
      <c r="C86" s="231" t="s">
        <v>56</v>
      </c>
      <c r="D86" s="8"/>
      <c r="E86" s="427">
        <f>(F86)</f>
        <v>13.75</v>
      </c>
      <c r="F86" s="431">
        <f>(20625/500)/3</f>
        <v>13.75</v>
      </c>
      <c r="G86" s="346" t="s">
        <v>147</v>
      </c>
      <c r="H86" s="156" t="s">
        <v>434</v>
      </c>
      <c r="I86" s="485"/>
      <c r="J86" s="157"/>
      <c r="K86" s="158"/>
      <c r="L86" s="92"/>
      <c r="M86" s="92"/>
      <c r="N86" s="93"/>
      <c r="O86" s="183" t="s">
        <v>435</v>
      </c>
      <c r="P86" s="278"/>
    </row>
    <row r="87" spans="1:16" ht="15.75" thickBot="1" x14ac:dyDescent="0.3">
      <c r="A87" s="284">
        <v>320200024</v>
      </c>
      <c r="B87" s="279" t="s">
        <v>53</v>
      </c>
      <c r="C87" s="234" t="s">
        <v>54</v>
      </c>
      <c r="D87" s="8"/>
      <c r="E87" s="449"/>
      <c r="F87" s="450"/>
      <c r="G87" s="383"/>
      <c r="H87" s="383"/>
      <c r="I87" s="450"/>
      <c r="J87" s="383"/>
      <c r="K87" s="383"/>
      <c r="L87" s="383"/>
      <c r="M87" s="383"/>
      <c r="N87" s="383"/>
      <c r="O87" s="384"/>
      <c r="P87" s="278"/>
    </row>
    <row r="88" spans="1:16" ht="15.75" thickBot="1" x14ac:dyDescent="0.3">
      <c r="A88" s="540"/>
      <c r="B88" s="524"/>
      <c r="C88" s="541"/>
      <c r="D88" s="8"/>
      <c r="E88" s="542"/>
      <c r="F88" s="543"/>
      <c r="G88" s="543"/>
      <c r="H88" s="543"/>
      <c r="I88" s="543"/>
      <c r="J88" s="543"/>
      <c r="K88" s="543"/>
      <c r="L88" s="543"/>
      <c r="M88" s="543"/>
      <c r="N88" s="543"/>
      <c r="O88" s="544"/>
      <c r="P88" s="278"/>
    </row>
    <row r="89" spans="1:16" ht="15.75" thickBot="1" x14ac:dyDescent="0.3">
      <c r="A89" s="280">
        <v>320500026</v>
      </c>
      <c r="B89" s="3" t="s">
        <v>19</v>
      </c>
      <c r="C89" s="231" t="s">
        <v>65</v>
      </c>
      <c r="D89" s="8"/>
      <c r="E89" s="436">
        <f>(F89+I89+L89)/3</f>
        <v>254</v>
      </c>
      <c r="F89" s="413">
        <v>157</v>
      </c>
      <c r="G89" s="355" t="s">
        <v>168</v>
      </c>
      <c r="H89" s="159" t="s">
        <v>20</v>
      </c>
      <c r="I89" s="418">
        <f>(720/2)</f>
        <v>360</v>
      </c>
      <c r="J89" s="129" t="s">
        <v>170</v>
      </c>
      <c r="K89" s="111" t="s">
        <v>169</v>
      </c>
      <c r="L89" s="316">
        <f>(980/2)/2</f>
        <v>245</v>
      </c>
      <c r="M89" s="160" t="s">
        <v>376</v>
      </c>
      <c r="N89" s="112" t="s">
        <v>375</v>
      </c>
      <c r="O89" s="202" t="s">
        <v>171</v>
      </c>
      <c r="P89" s="278"/>
    </row>
    <row r="90" spans="1:16" ht="15.75" thickBot="1" x14ac:dyDescent="0.3">
      <c r="A90" s="540" t="s">
        <v>280</v>
      </c>
      <c r="B90" s="524"/>
      <c r="C90" s="541"/>
      <c r="D90" s="8"/>
      <c r="E90" s="542"/>
      <c r="F90" s="543"/>
      <c r="G90" s="543"/>
      <c r="H90" s="543"/>
      <c r="I90" s="543"/>
      <c r="J90" s="543"/>
      <c r="K90" s="543"/>
      <c r="L90" s="543"/>
      <c r="M90" s="543"/>
      <c r="N90" s="543"/>
      <c r="O90" s="544"/>
      <c r="P90" s="278"/>
    </row>
    <row r="91" spans="1:16" ht="15.75" thickBot="1" x14ac:dyDescent="0.3">
      <c r="A91" s="237">
        <v>320100112</v>
      </c>
      <c r="B91" s="5" t="s">
        <v>268</v>
      </c>
      <c r="C91" s="238" t="s">
        <v>49</v>
      </c>
      <c r="D91" s="8"/>
      <c r="E91" s="451">
        <f>(F91+I91)/2</f>
        <v>1673.83</v>
      </c>
      <c r="F91" s="452">
        <v>1628.91</v>
      </c>
      <c r="G91" s="397" t="s">
        <v>438</v>
      </c>
      <c r="H91" s="503" t="s">
        <v>437</v>
      </c>
      <c r="I91" s="486">
        <v>1718.75</v>
      </c>
      <c r="J91" s="398" t="s">
        <v>402</v>
      </c>
      <c r="K91" s="500" t="s">
        <v>403</v>
      </c>
      <c r="L91" s="308"/>
      <c r="M91" s="307"/>
      <c r="N91" s="309"/>
      <c r="O91" s="315" t="s">
        <v>143</v>
      </c>
      <c r="P91" s="278"/>
    </row>
    <row r="92" spans="1:16" ht="15.75" thickBot="1" x14ac:dyDescent="0.3">
      <c r="A92" s="237">
        <v>320100123</v>
      </c>
      <c r="B92" s="5" t="s">
        <v>269</v>
      </c>
      <c r="C92" s="238" t="s">
        <v>50</v>
      </c>
      <c r="D92" s="8"/>
      <c r="E92" s="433">
        <f>(F92+I92)/2</f>
        <v>77.343800000000002</v>
      </c>
      <c r="F92" s="453">
        <f>(4218.75/50)</f>
        <v>84.375</v>
      </c>
      <c r="G92" s="368" t="s">
        <v>142</v>
      </c>
      <c r="H92" s="504" t="s">
        <v>436</v>
      </c>
      <c r="I92" s="487">
        <f>(3515.63/50)</f>
        <v>70.312600000000003</v>
      </c>
      <c r="J92" s="399" t="s">
        <v>346</v>
      </c>
      <c r="K92" s="504" t="s">
        <v>377</v>
      </c>
      <c r="L92" s="310"/>
      <c r="M92" s="310"/>
      <c r="N92" s="311"/>
      <c r="O92" s="314" t="s">
        <v>144</v>
      </c>
      <c r="P92" s="278"/>
    </row>
    <row r="93" spans="1:16" ht="15.75" thickBot="1" x14ac:dyDescent="0.3">
      <c r="A93" s="237">
        <v>3201001710</v>
      </c>
      <c r="B93" s="5" t="s">
        <v>270</v>
      </c>
      <c r="C93" s="238" t="s">
        <v>49</v>
      </c>
      <c r="D93" s="9"/>
      <c r="E93" s="451">
        <f>(F93+I93)/2</f>
        <v>1650</v>
      </c>
      <c r="F93" s="452">
        <v>2100</v>
      </c>
      <c r="G93" s="397" t="s">
        <v>331</v>
      </c>
      <c r="H93" s="503" t="s">
        <v>380</v>
      </c>
      <c r="I93" s="486">
        <v>1200</v>
      </c>
      <c r="J93" s="398" t="s">
        <v>379</v>
      </c>
      <c r="K93" s="505" t="s">
        <v>378</v>
      </c>
      <c r="L93" s="312"/>
      <c r="M93" s="312"/>
      <c r="N93" s="313"/>
      <c r="O93" s="314" t="s">
        <v>260</v>
      </c>
      <c r="P93" s="278"/>
    </row>
    <row r="94" spans="1:16" ht="15.75" thickBot="1" x14ac:dyDescent="0.3">
      <c r="A94" s="540" t="s">
        <v>252</v>
      </c>
      <c r="B94" s="524"/>
      <c r="C94" s="541"/>
      <c r="D94" s="9"/>
      <c r="E94" s="542"/>
      <c r="F94" s="543"/>
      <c r="G94" s="543"/>
      <c r="H94" s="543"/>
      <c r="I94" s="543"/>
      <c r="J94" s="543"/>
      <c r="K94" s="543"/>
      <c r="L94" s="543"/>
      <c r="M94" s="543"/>
      <c r="N94" s="543"/>
      <c r="O94" s="544"/>
      <c r="P94" s="278"/>
    </row>
    <row r="95" spans="1:16" ht="30.75" thickBot="1" x14ac:dyDescent="0.3">
      <c r="A95" s="566">
        <v>32070006</v>
      </c>
      <c r="B95" s="7" t="s">
        <v>75</v>
      </c>
      <c r="C95" s="239" t="s">
        <v>62</v>
      </c>
      <c r="D95" s="8"/>
      <c r="E95" s="429">
        <f>(F95)</f>
        <v>65</v>
      </c>
      <c r="F95" s="430">
        <v>65</v>
      </c>
      <c r="G95" s="360" t="s">
        <v>381</v>
      </c>
      <c r="H95" s="162" t="s">
        <v>439</v>
      </c>
      <c r="I95" s="488"/>
      <c r="J95" s="163"/>
      <c r="K95" s="163"/>
      <c r="L95" s="164"/>
      <c r="M95" s="164"/>
      <c r="N95" s="165"/>
      <c r="O95" s="211"/>
      <c r="P95" s="278"/>
    </row>
    <row r="96" spans="1:16" ht="15.75" thickBot="1" x14ac:dyDescent="0.3">
      <c r="A96" s="566"/>
      <c r="B96" s="3" t="s">
        <v>74</v>
      </c>
      <c r="C96" s="231" t="s">
        <v>45</v>
      </c>
      <c r="D96" s="8"/>
      <c r="E96" s="414">
        <f>(F96+I96)/2</f>
        <v>74.812600000000003</v>
      </c>
      <c r="F96" s="415">
        <v>84</v>
      </c>
      <c r="G96" s="361" t="s">
        <v>186</v>
      </c>
      <c r="H96" s="166" t="s">
        <v>6</v>
      </c>
      <c r="I96" s="418">
        <f>(1640.63/25)</f>
        <v>65.625200000000007</v>
      </c>
      <c r="J96" s="361" t="s">
        <v>37</v>
      </c>
      <c r="K96" s="167" t="s">
        <v>187</v>
      </c>
      <c r="L96" s="155"/>
      <c r="M96" s="155"/>
      <c r="N96" s="168"/>
      <c r="O96" s="212" t="s">
        <v>188</v>
      </c>
      <c r="P96" s="278"/>
    </row>
    <row r="97" spans="1:16" ht="15.75" thickBot="1" x14ac:dyDescent="0.3">
      <c r="A97" s="566"/>
      <c r="B97" s="3" t="s">
        <v>73</v>
      </c>
      <c r="C97" s="231" t="s">
        <v>45</v>
      </c>
      <c r="D97" s="8"/>
      <c r="E97" s="432">
        <f>(F97)</f>
        <v>444.53129999999999</v>
      </c>
      <c r="F97" s="428">
        <f>(44453.13/100)</f>
        <v>444.53129999999999</v>
      </c>
      <c r="G97" s="348" t="s">
        <v>191</v>
      </c>
      <c r="H97" s="123" t="s">
        <v>190</v>
      </c>
      <c r="I97" s="489"/>
      <c r="J97" s="169"/>
      <c r="K97" s="122"/>
      <c r="L97" s="28"/>
      <c r="M97" s="28"/>
      <c r="N97" s="102"/>
      <c r="O97" s="209"/>
      <c r="P97" s="278"/>
    </row>
    <row r="98" spans="1:16" ht="15.75" thickBot="1" x14ac:dyDescent="0.3">
      <c r="A98" s="566"/>
      <c r="B98" s="3" t="s">
        <v>72</v>
      </c>
      <c r="C98" s="231" t="s">
        <v>62</v>
      </c>
      <c r="D98" s="8"/>
      <c r="E98" s="454">
        <f t="shared" ref="E98" si="3">(F98)</f>
        <v>80</v>
      </c>
      <c r="F98" s="431">
        <v>80</v>
      </c>
      <c r="G98" s="346" t="s">
        <v>186</v>
      </c>
      <c r="H98" s="156" t="s">
        <v>189</v>
      </c>
      <c r="I98" s="485"/>
      <c r="J98" s="157"/>
      <c r="K98" s="158"/>
      <c r="L98" s="92"/>
      <c r="M98" s="92"/>
      <c r="N98" s="91"/>
      <c r="O98" s="210"/>
      <c r="P98" s="278"/>
    </row>
    <row r="99" spans="1:16" ht="15.75" thickBot="1" x14ac:dyDescent="0.3">
      <c r="A99" s="566"/>
      <c r="B99" s="279" t="s">
        <v>71</v>
      </c>
      <c r="C99" s="234" t="s">
        <v>45</v>
      </c>
      <c r="D99" s="8"/>
      <c r="E99" s="416"/>
      <c r="F99" s="417"/>
      <c r="G99" s="385"/>
      <c r="H99" s="385"/>
      <c r="I99" s="417"/>
      <c r="J99" s="385"/>
      <c r="K99" s="385"/>
      <c r="L99" s="385"/>
      <c r="M99" s="385"/>
      <c r="N99" s="385"/>
      <c r="O99" s="386"/>
      <c r="P99" s="278"/>
    </row>
    <row r="100" spans="1:16" ht="15.75" thickBot="1" x14ac:dyDescent="0.3">
      <c r="A100" s="240"/>
      <c r="B100" s="51"/>
      <c r="C100" s="241"/>
      <c r="D100" s="8"/>
      <c r="E100" s="627"/>
      <c r="F100" s="628"/>
      <c r="G100" s="628"/>
      <c r="H100" s="628"/>
      <c r="I100" s="628"/>
      <c r="J100" s="628"/>
      <c r="K100" s="628"/>
      <c r="L100" s="628"/>
      <c r="M100" s="628"/>
      <c r="N100" s="628"/>
      <c r="O100" s="629"/>
      <c r="P100" s="278"/>
    </row>
    <row r="101" spans="1:16" ht="15.75" thickBot="1" x14ac:dyDescent="0.3">
      <c r="A101" s="282">
        <v>321600081</v>
      </c>
      <c r="B101" s="7" t="s">
        <v>120</v>
      </c>
      <c r="C101" s="239" t="s">
        <v>45</v>
      </c>
      <c r="D101" s="8"/>
      <c r="E101" s="432">
        <f>(F101+I101)/2</f>
        <v>1772.5</v>
      </c>
      <c r="F101" s="437">
        <v>1695</v>
      </c>
      <c r="G101" s="170"/>
      <c r="H101" s="144" t="s">
        <v>239</v>
      </c>
      <c r="I101" s="418">
        <v>1850</v>
      </c>
      <c r="J101" s="343" t="s">
        <v>350</v>
      </c>
      <c r="K101" s="630" t="s">
        <v>349</v>
      </c>
      <c r="L101" s="631"/>
      <c r="M101" s="631"/>
      <c r="N101" s="631"/>
      <c r="O101" s="632"/>
      <c r="P101" s="278"/>
    </row>
    <row r="102" spans="1:16" ht="15.75" thickBot="1" x14ac:dyDescent="0.3">
      <c r="A102" s="540" t="s">
        <v>257</v>
      </c>
      <c r="B102" s="524"/>
      <c r="C102" s="541"/>
      <c r="D102" s="8"/>
      <c r="E102" s="542"/>
      <c r="F102" s="543"/>
      <c r="G102" s="543"/>
      <c r="H102" s="543"/>
      <c r="I102" s="543"/>
      <c r="J102" s="543"/>
      <c r="K102" s="543"/>
      <c r="L102" s="543"/>
      <c r="M102" s="543"/>
      <c r="N102" s="543"/>
      <c r="O102" s="544"/>
      <c r="P102" s="278"/>
    </row>
    <row r="103" spans="1:16" ht="15.75" thickBot="1" x14ac:dyDescent="0.3">
      <c r="A103" s="242">
        <v>32030001</v>
      </c>
      <c r="B103" s="3" t="s">
        <v>10</v>
      </c>
      <c r="C103" s="231" t="s">
        <v>45</v>
      </c>
      <c r="D103" s="8"/>
      <c r="E103" s="436">
        <f>(F103+I103)/2</f>
        <v>13.469999999999999</v>
      </c>
      <c r="F103" s="413">
        <f>(962/100)</f>
        <v>9.6199999999999992</v>
      </c>
      <c r="G103" s="355" t="s">
        <v>165</v>
      </c>
      <c r="H103" s="159" t="s">
        <v>166</v>
      </c>
      <c r="I103" s="418">
        <f>(1732/100)</f>
        <v>17.32</v>
      </c>
      <c r="J103" s="355"/>
      <c r="K103" s="111" t="s">
        <v>416</v>
      </c>
      <c r="L103" s="171"/>
      <c r="M103" s="171"/>
      <c r="N103" s="112"/>
      <c r="O103" s="183" t="s">
        <v>167</v>
      </c>
      <c r="P103" s="278"/>
    </row>
    <row r="104" spans="1:16" ht="15.75" thickBot="1" x14ac:dyDescent="0.3">
      <c r="A104" s="594"/>
      <c r="B104" s="531"/>
      <c r="C104" s="596"/>
      <c r="D104" s="8"/>
      <c r="E104" s="542"/>
      <c r="F104" s="543"/>
      <c r="G104" s="543"/>
      <c r="H104" s="543"/>
      <c r="I104" s="543"/>
      <c r="J104" s="543"/>
      <c r="K104" s="543"/>
      <c r="L104" s="543"/>
      <c r="M104" s="543"/>
      <c r="N104" s="543"/>
      <c r="O104" s="544"/>
      <c r="P104" s="278"/>
    </row>
    <row r="105" spans="1:16" ht="15.75" thickBot="1" x14ac:dyDescent="0.3">
      <c r="A105" s="284">
        <v>321500154</v>
      </c>
      <c r="B105" s="279" t="s">
        <v>302</v>
      </c>
      <c r="C105" s="234" t="s">
        <v>62</v>
      </c>
      <c r="D105" s="8"/>
      <c r="E105" s="624"/>
      <c r="F105" s="625"/>
      <c r="G105" s="625"/>
      <c r="H105" s="625"/>
      <c r="I105" s="625"/>
      <c r="J105" s="625"/>
      <c r="K105" s="625"/>
      <c r="L105" s="625"/>
      <c r="M105" s="625"/>
      <c r="N105" s="625"/>
      <c r="O105" s="626"/>
      <c r="P105" s="278"/>
    </row>
    <row r="106" spans="1:16" ht="15.75" thickBot="1" x14ac:dyDescent="0.3">
      <c r="A106" s="540" t="s">
        <v>281</v>
      </c>
      <c r="B106" s="524"/>
      <c r="C106" s="541"/>
      <c r="D106" s="8"/>
      <c r="E106" s="542"/>
      <c r="F106" s="543"/>
      <c r="G106" s="543"/>
      <c r="H106" s="543"/>
      <c r="I106" s="543"/>
      <c r="J106" s="543"/>
      <c r="K106" s="543"/>
      <c r="L106" s="543"/>
      <c r="M106" s="543"/>
      <c r="N106" s="543"/>
      <c r="O106" s="544"/>
      <c r="P106" s="278"/>
    </row>
    <row r="107" spans="1:16" ht="15.75" thickBot="1" x14ac:dyDescent="0.3">
      <c r="A107" s="559">
        <v>32070007</v>
      </c>
      <c r="B107" s="1" t="s">
        <v>77</v>
      </c>
      <c r="C107" s="228" t="s">
        <v>45</v>
      </c>
      <c r="D107" s="8"/>
      <c r="E107" s="455">
        <f>(F107+I107+L107)/3</f>
        <v>9.0807333333333329</v>
      </c>
      <c r="F107" s="425">
        <f>(574.22/100)</f>
        <v>5.7422000000000004</v>
      </c>
      <c r="G107" s="347" t="s">
        <v>37</v>
      </c>
      <c r="H107" s="134" t="s">
        <v>195</v>
      </c>
      <c r="I107" s="469">
        <f>(750/100)</f>
        <v>7.5</v>
      </c>
      <c r="J107" s="364" t="s">
        <v>352</v>
      </c>
      <c r="K107" s="134" t="s">
        <v>351</v>
      </c>
      <c r="L107" s="172">
        <f>(1400/100)</f>
        <v>14</v>
      </c>
      <c r="M107" s="367" t="s">
        <v>352</v>
      </c>
      <c r="N107" s="173" t="s">
        <v>353</v>
      </c>
      <c r="O107" s="66" t="s">
        <v>193</v>
      </c>
      <c r="P107" s="278"/>
    </row>
    <row r="108" spans="1:16" ht="15.75" thickBot="1" x14ac:dyDescent="0.3">
      <c r="A108" s="559"/>
      <c r="B108" s="1" t="s">
        <v>78</v>
      </c>
      <c r="C108" s="228" t="s">
        <v>45</v>
      </c>
      <c r="D108" s="8"/>
      <c r="E108" s="422">
        <f>(F108+I108)/2</f>
        <v>12.66405</v>
      </c>
      <c r="F108" s="456">
        <f>(732.81/100)</f>
        <v>7.3280999999999992</v>
      </c>
      <c r="G108" s="362" t="s">
        <v>192</v>
      </c>
      <c r="H108" s="174" t="s">
        <v>5</v>
      </c>
      <c r="I108" s="474">
        <v>18</v>
      </c>
      <c r="J108" s="365" t="s">
        <v>352</v>
      </c>
      <c r="K108" s="86" t="s">
        <v>354</v>
      </c>
      <c r="L108" s="30"/>
      <c r="M108" s="30"/>
      <c r="N108" s="286"/>
      <c r="O108" s="66" t="s">
        <v>193</v>
      </c>
      <c r="P108" s="278"/>
    </row>
    <row r="109" spans="1:16" ht="15.75" thickBot="1" x14ac:dyDescent="0.3">
      <c r="A109" s="559"/>
      <c r="B109" s="1" t="s">
        <v>79</v>
      </c>
      <c r="C109" s="228" t="s">
        <v>45</v>
      </c>
      <c r="D109" s="8"/>
      <c r="E109" s="422">
        <f t="shared" ref="E109:E110" si="4">(F109+I109)/2</f>
        <v>26.015599999999999</v>
      </c>
      <c r="F109" s="456">
        <f>(1101.56/50)</f>
        <v>22.031199999999998</v>
      </c>
      <c r="G109" s="362" t="s">
        <v>192</v>
      </c>
      <c r="H109" s="174" t="s">
        <v>196</v>
      </c>
      <c r="I109" s="438">
        <f>(1500/50)</f>
        <v>30</v>
      </c>
      <c r="J109" s="366" t="s">
        <v>352</v>
      </c>
      <c r="K109" s="175" t="s">
        <v>355</v>
      </c>
      <c r="L109" s="176"/>
      <c r="M109" s="176"/>
      <c r="N109" s="173"/>
      <c r="O109" s="66" t="s">
        <v>197</v>
      </c>
      <c r="P109" s="278"/>
    </row>
    <row r="110" spans="1:16" ht="15.75" thickBot="1" x14ac:dyDescent="0.3">
      <c r="A110" s="559"/>
      <c r="B110" s="6" t="s">
        <v>80</v>
      </c>
      <c r="C110" s="243" t="s">
        <v>45</v>
      </c>
      <c r="D110" s="8"/>
      <c r="E110" s="422">
        <f t="shared" si="4"/>
        <v>60</v>
      </c>
      <c r="F110" s="456">
        <f>(2100/25)</f>
        <v>84</v>
      </c>
      <c r="G110" s="362" t="s">
        <v>352</v>
      </c>
      <c r="H110" s="174" t="s">
        <v>356</v>
      </c>
      <c r="I110" s="474">
        <f>(900/25)</f>
        <v>36</v>
      </c>
      <c r="J110" s="365" t="s">
        <v>358</v>
      </c>
      <c r="K110" s="86" t="s">
        <v>357</v>
      </c>
      <c r="L110" s="30"/>
      <c r="M110" s="30"/>
      <c r="N110" s="286"/>
      <c r="O110" s="66"/>
      <c r="P110" s="278"/>
    </row>
    <row r="111" spans="1:16" ht="15.75" thickBot="1" x14ac:dyDescent="0.3">
      <c r="A111" s="559"/>
      <c r="B111" s="1" t="s">
        <v>76</v>
      </c>
      <c r="C111" s="228" t="s">
        <v>45</v>
      </c>
      <c r="D111" s="8"/>
      <c r="E111" s="457">
        <f t="shared" ref="E111" si="5">(F111)</f>
        <v>4.9531000000000001</v>
      </c>
      <c r="F111" s="458">
        <f>(495.31/100)</f>
        <v>4.9531000000000001</v>
      </c>
      <c r="G111" s="363" t="s">
        <v>37</v>
      </c>
      <c r="H111" s="97" t="s">
        <v>194</v>
      </c>
      <c r="I111" s="490"/>
      <c r="J111" s="177"/>
      <c r="K111" s="175"/>
      <c r="L111" s="176"/>
      <c r="M111" s="176"/>
      <c r="N111" s="173"/>
      <c r="O111" s="66" t="s">
        <v>193</v>
      </c>
      <c r="P111" s="278"/>
    </row>
    <row r="112" spans="1:16" ht="15.75" thickBot="1" x14ac:dyDescent="0.3">
      <c r="A112" s="540"/>
      <c r="B112" s="524"/>
      <c r="C112" s="541"/>
      <c r="D112" s="8"/>
      <c r="E112" s="542"/>
      <c r="F112" s="543"/>
      <c r="G112" s="543"/>
      <c r="H112" s="543"/>
      <c r="I112" s="543"/>
      <c r="J112" s="543"/>
      <c r="K112" s="543"/>
      <c r="L112" s="543"/>
      <c r="M112" s="543"/>
      <c r="N112" s="543"/>
      <c r="O112" s="544"/>
      <c r="P112" s="278"/>
    </row>
    <row r="113" spans="1:16" ht="15.75" thickBot="1" x14ac:dyDescent="0.3">
      <c r="A113" s="280">
        <v>321100011</v>
      </c>
      <c r="B113" s="3" t="s">
        <v>25</v>
      </c>
      <c r="C113" s="231" t="s">
        <v>45</v>
      </c>
      <c r="D113" s="8"/>
      <c r="E113" s="424">
        <f>(F113+I113)/2</f>
        <v>34.281300000000002</v>
      </c>
      <c r="F113" s="437">
        <v>42</v>
      </c>
      <c r="G113" s="129"/>
      <c r="H113" s="111" t="s">
        <v>220</v>
      </c>
      <c r="I113" s="418">
        <f>(1328.13/50)</f>
        <v>26.562600000000003</v>
      </c>
      <c r="J113" s="110" t="s">
        <v>222</v>
      </c>
      <c r="K113" s="612" t="s">
        <v>221</v>
      </c>
      <c r="L113" s="613"/>
      <c r="M113" s="613"/>
      <c r="N113" s="613"/>
      <c r="O113" s="614"/>
      <c r="P113" s="278"/>
    </row>
    <row r="114" spans="1:16" ht="15.75" thickBot="1" x14ac:dyDescent="0.3">
      <c r="A114" s="540" t="s">
        <v>300</v>
      </c>
      <c r="B114" s="524"/>
      <c r="C114" s="541"/>
      <c r="D114" s="8"/>
      <c r="E114" s="542"/>
      <c r="F114" s="543"/>
      <c r="G114" s="543"/>
      <c r="H114" s="543"/>
      <c r="I114" s="543"/>
      <c r="J114" s="543"/>
      <c r="K114" s="543"/>
      <c r="L114" s="543"/>
      <c r="M114" s="543"/>
      <c r="N114" s="543"/>
      <c r="O114" s="544"/>
      <c r="P114" s="278"/>
    </row>
    <row r="115" spans="1:16" ht="15.75" thickBot="1" x14ac:dyDescent="0.3">
      <c r="A115" s="636">
        <v>32090019</v>
      </c>
      <c r="B115" s="14" t="s">
        <v>92</v>
      </c>
      <c r="C115" s="244" t="s">
        <v>62</v>
      </c>
      <c r="D115" s="8"/>
      <c r="E115" s="432">
        <f>(F115+I115)/2</f>
        <v>657.32999999999993</v>
      </c>
      <c r="F115" s="430">
        <v>722.66</v>
      </c>
      <c r="G115" s="345" t="s">
        <v>214</v>
      </c>
      <c r="H115" s="178" t="s">
        <v>213</v>
      </c>
      <c r="I115" s="491">
        <v>592</v>
      </c>
      <c r="J115" s="357" t="s">
        <v>214</v>
      </c>
      <c r="K115" s="134" t="s">
        <v>317</v>
      </c>
      <c r="L115" s="137"/>
      <c r="M115" s="137"/>
      <c r="N115" s="138"/>
      <c r="O115" s="213"/>
      <c r="P115" s="278"/>
    </row>
    <row r="116" spans="1:16" ht="15.75" thickBot="1" x14ac:dyDescent="0.3">
      <c r="A116" s="636"/>
      <c r="B116" s="14" t="s">
        <v>90</v>
      </c>
      <c r="C116" s="244" t="s">
        <v>62</v>
      </c>
      <c r="D116" s="8"/>
      <c r="E116" s="432">
        <f t="shared" ref="E116:E117" si="6">(F116+I116)/2</f>
        <v>657.32999999999993</v>
      </c>
      <c r="F116" s="428">
        <v>722.66</v>
      </c>
      <c r="G116" s="348" t="s">
        <v>214</v>
      </c>
      <c r="H116" s="179" t="s">
        <v>216</v>
      </c>
      <c r="I116" s="487">
        <v>592</v>
      </c>
      <c r="J116" s="368" t="s">
        <v>214</v>
      </c>
      <c r="K116" s="86" t="s">
        <v>317</v>
      </c>
      <c r="L116" s="31"/>
      <c r="M116" s="31"/>
      <c r="N116" s="180"/>
      <c r="O116" s="214"/>
      <c r="P116" s="278"/>
    </row>
    <row r="117" spans="1:16" ht="15.75" thickBot="1" x14ac:dyDescent="0.3">
      <c r="A117" s="636"/>
      <c r="B117" s="14" t="s">
        <v>91</v>
      </c>
      <c r="C117" s="244" t="s">
        <v>62</v>
      </c>
      <c r="D117" s="8"/>
      <c r="E117" s="432">
        <f t="shared" si="6"/>
        <v>657.32999999999993</v>
      </c>
      <c r="F117" s="428">
        <v>722.66</v>
      </c>
      <c r="G117" s="348" t="s">
        <v>214</v>
      </c>
      <c r="H117" s="179" t="s">
        <v>215</v>
      </c>
      <c r="I117" s="487">
        <v>592</v>
      </c>
      <c r="J117" s="368" t="s">
        <v>214</v>
      </c>
      <c r="K117" s="86" t="s">
        <v>317</v>
      </c>
      <c r="L117" s="31"/>
      <c r="M117" s="31"/>
      <c r="N117" s="180"/>
      <c r="O117" s="215"/>
      <c r="P117" s="278"/>
    </row>
    <row r="118" spans="1:16" ht="15.75" thickBot="1" x14ac:dyDescent="0.3">
      <c r="A118" s="637">
        <v>32120004</v>
      </c>
      <c r="B118" s="14" t="s">
        <v>28</v>
      </c>
      <c r="C118" s="244" t="s">
        <v>45</v>
      </c>
      <c r="D118" s="8"/>
      <c r="E118" s="432">
        <f>(F118)</f>
        <v>175.58439999999999</v>
      </c>
      <c r="F118" s="428">
        <f>(43896.1/250)</f>
        <v>175.58439999999999</v>
      </c>
      <c r="G118" s="348" t="s">
        <v>37</v>
      </c>
      <c r="H118" s="181" t="s">
        <v>29</v>
      </c>
      <c r="I118" s="492"/>
      <c r="J118" s="181"/>
      <c r="K118" s="181"/>
      <c r="L118" s="32"/>
      <c r="M118" s="32"/>
      <c r="N118" s="182"/>
      <c r="O118" s="183" t="s">
        <v>404</v>
      </c>
      <c r="P118" s="278"/>
    </row>
    <row r="119" spans="1:16" ht="15.75" thickBot="1" x14ac:dyDescent="0.3">
      <c r="A119" s="637"/>
      <c r="B119" s="7" t="s">
        <v>98</v>
      </c>
      <c r="C119" s="239" t="s">
        <v>45</v>
      </c>
      <c r="D119" s="8"/>
      <c r="E119" s="432">
        <f>(F119)</f>
        <v>111.039</v>
      </c>
      <c r="F119" s="428">
        <f>(11103.9/100)</f>
        <v>111.039</v>
      </c>
      <c r="G119" s="348" t="s">
        <v>37</v>
      </c>
      <c r="H119" s="122" t="s">
        <v>224</v>
      </c>
      <c r="I119" s="476"/>
      <c r="J119" s="122"/>
      <c r="K119" s="122"/>
      <c r="L119" s="28"/>
      <c r="M119" s="28"/>
      <c r="N119" s="105"/>
      <c r="O119" s="183" t="s">
        <v>405</v>
      </c>
      <c r="P119" s="278"/>
    </row>
    <row r="120" spans="1:16" ht="15.75" thickBot="1" x14ac:dyDescent="0.3">
      <c r="A120" s="638">
        <v>32120005</v>
      </c>
      <c r="B120" s="4" t="s">
        <v>102</v>
      </c>
      <c r="C120" s="233" t="s">
        <v>45</v>
      </c>
      <c r="D120" s="8"/>
      <c r="E120" s="432">
        <f>(F120)</f>
        <v>280</v>
      </c>
      <c r="F120" s="428">
        <v>280</v>
      </c>
      <c r="G120" s="119"/>
      <c r="H120" s="122" t="s">
        <v>27</v>
      </c>
      <c r="I120" s="476"/>
      <c r="J120" s="122"/>
      <c r="K120" s="122"/>
      <c r="L120" s="28"/>
      <c r="M120" s="28"/>
      <c r="N120" s="102"/>
      <c r="O120" s="209"/>
      <c r="P120" s="278"/>
    </row>
    <row r="121" spans="1:16" ht="15.75" thickBot="1" x14ac:dyDescent="0.3">
      <c r="A121" s="638"/>
      <c r="B121" s="78" t="s">
        <v>99</v>
      </c>
      <c r="C121" s="233" t="s">
        <v>100</v>
      </c>
      <c r="D121" s="8"/>
      <c r="E121" s="432">
        <f t="shared" ref="E121:E122" si="7">(F121)</f>
        <v>270</v>
      </c>
      <c r="F121" s="428">
        <v>270</v>
      </c>
      <c r="G121" s="348" t="s">
        <v>264</v>
      </c>
      <c r="H121" s="122" t="s">
        <v>263</v>
      </c>
      <c r="I121" s="476"/>
      <c r="J121" s="122"/>
      <c r="K121" s="122"/>
      <c r="L121" s="28"/>
      <c r="M121" s="28"/>
      <c r="N121" s="102"/>
      <c r="O121" s="216"/>
      <c r="P121" s="278"/>
    </row>
    <row r="122" spans="1:16" ht="15.75" thickBot="1" x14ac:dyDescent="0.3">
      <c r="A122" s="638"/>
      <c r="B122" s="4" t="s">
        <v>101</v>
      </c>
      <c r="C122" s="233" t="s">
        <v>100</v>
      </c>
      <c r="D122" s="8"/>
      <c r="E122" s="432">
        <f t="shared" si="7"/>
        <v>270</v>
      </c>
      <c r="F122" s="428">
        <v>270</v>
      </c>
      <c r="G122" s="348" t="s">
        <v>264</v>
      </c>
      <c r="H122" s="122" t="s">
        <v>263</v>
      </c>
      <c r="I122" s="476"/>
      <c r="J122" s="122"/>
      <c r="K122" s="122"/>
      <c r="L122" s="28"/>
      <c r="M122" s="28"/>
      <c r="N122" s="102"/>
      <c r="O122" s="216"/>
      <c r="P122" s="278"/>
    </row>
    <row r="123" spans="1:16" ht="15.75" thickBot="1" x14ac:dyDescent="0.3">
      <c r="A123" s="638"/>
      <c r="B123" s="4" t="s">
        <v>26</v>
      </c>
      <c r="C123" s="233" t="s">
        <v>45</v>
      </c>
      <c r="D123" s="8"/>
      <c r="E123" s="432">
        <f>(F123)</f>
        <v>280</v>
      </c>
      <c r="F123" s="431">
        <v>280</v>
      </c>
      <c r="G123" s="153"/>
      <c r="H123" s="158" t="s">
        <v>27</v>
      </c>
      <c r="I123" s="493"/>
      <c r="J123" s="158"/>
      <c r="K123" s="158"/>
      <c r="L123" s="92"/>
      <c r="M123" s="92"/>
      <c r="N123" s="91"/>
      <c r="O123" s="210"/>
      <c r="P123" s="278"/>
    </row>
    <row r="124" spans="1:16" ht="15.75" thickBot="1" x14ac:dyDescent="0.3">
      <c r="A124" s="540" t="s">
        <v>253</v>
      </c>
      <c r="B124" s="524"/>
      <c r="C124" s="541"/>
      <c r="D124" s="278"/>
      <c r="E124" s="633"/>
      <c r="F124" s="634"/>
      <c r="G124" s="634"/>
      <c r="H124" s="634"/>
      <c r="I124" s="634"/>
      <c r="J124" s="634"/>
      <c r="K124" s="634"/>
      <c r="L124" s="634"/>
      <c r="M124" s="634"/>
      <c r="N124" s="634"/>
      <c r="O124" s="635"/>
      <c r="P124" s="278"/>
    </row>
    <row r="125" spans="1:16" ht="15.75" thickBot="1" x14ac:dyDescent="0.3">
      <c r="A125" s="284">
        <v>32120011</v>
      </c>
      <c r="B125" s="279" t="s">
        <v>282</v>
      </c>
      <c r="C125" s="234" t="s">
        <v>45</v>
      </c>
      <c r="D125" s="8"/>
      <c r="E125" s="459"/>
      <c r="F125" s="460"/>
      <c r="G125" s="387"/>
      <c r="H125" s="387"/>
      <c r="I125" s="460"/>
      <c r="J125" s="387"/>
      <c r="K125" s="387"/>
      <c r="L125" s="387"/>
      <c r="M125" s="387"/>
      <c r="N125" s="387"/>
      <c r="O125" s="388"/>
      <c r="P125" s="278"/>
    </row>
    <row r="126" spans="1:16" ht="15.75" thickBot="1" x14ac:dyDescent="0.3">
      <c r="A126" s="540" t="s">
        <v>256</v>
      </c>
      <c r="B126" s="524"/>
      <c r="C126" s="541"/>
      <c r="D126" s="8"/>
      <c r="E126" s="542"/>
      <c r="F126" s="543"/>
      <c r="G126" s="543"/>
      <c r="H126" s="543"/>
      <c r="I126" s="543"/>
      <c r="J126" s="543"/>
      <c r="K126" s="543"/>
      <c r="L126" s="543"/>
      <c r="M126" s="543"/>
      <c r="N126" s="543"/>
      <c r="O126" s="544"/>
      <c r="P126" s="278"/>
    </row>
    <row r="127" spans="1:16" ht="15.75" thickBot="1" x14ac:dyDescent="0.3">
      <c r="A127" s="566">
        <v>32080004</v>
      </c>
      <c r="B127" s="3" t="s">
        <v>82</v>
      </c>
      <c r="C127" s="231" t="s">
        <v>45</v>
      </c>
      <c r="D127" s="8"/>
      <c r="E127" s="432">
        <f>(F127)</f>
        <v>202</v>
      </c>
      <c r="F127" s="430">
        <v>202</v>
      </c>
      <c r="G127" s="345" t="s">
        <v>382</v>
      </c>
      <c r="H127" s="100" t="s">
        <v>198</v>
      </c>
      <c r="I127" s="494"/>
      <c r="J127" s="100"/>
      <c r="K127" s="100"/>
      <c r="L127" s="89"/>
      <c r="M127" s="89"/>
      <c r="N127" s="87"/>
      <c r="O127" s="209"/>
      <c r="P127" s="278"/>
    </row>
    <row r="128" spans="1:16" ht="15.75" thickBot="1" x14ac:dyDescent="0.3">
      <c r="A128" s="566"/>
      <c r="B128" s="3" t="s">
        <v>83</v>
      </c>
      <c r="C128" s="231" t="s">
        <v>45</v>
      </c>
      <c r="D128" s="8"/>
      <c r="E128" s="432">
        <f t="shared" ref="E128:E129" si="8">(F128)</f>
        <v>238</v>
      </c>
      <c r="F128" s="428">
        <v>238</v>
      </c>
      <c r="G128" s="345" t="s">
        <v>382</v>
      </c>
      <c r="H128" s="122" t="s">
        <v>198</v>
      </c>
      <c r="I128" s="476"/>
      <c r="J128" s="122"/>
      <c r="K128" s="122"/>
      <c r="L128" s="28"/>
      <c r="M128" s="28"/>
      <c r="N128" s="102"/>
      <c r="O128" s="216"/>
      <c r="P128" s="278"/>
    </row>
    <row r="129" spans="1:16" ht="15.75" thickBot="1" x14ac:dyDescent="0.3">
      <c r="A129" s="566"/>
      <c r="B129" s="3" t="s">
        <v>8</v>
      </c>
      <c r="C129" s="231" t="s">
        <v>45</v>
      </c>
      <c r="D129" s="8"/>
      <c r="E129" s="432">
        <f t="shared" si="8"/>
        <v>202</v>
      </c>
      <c r="F129" s="428">
        <v>202</v>
      </c>
      <c r="G129" s="345" t="s">
        <v>382</v>
      </c>
      <c r="H129" s="122" t="s">
        <v>198</v>
      </c>
      <c r="I129" s="476"/>
      <c r="J129" s="122"/>
      <c r="K129" s="122"/>
      <c r="L129" s="28"/>
      <c r="M129" s="28"/>
      <c r="N129" s="102"/>
      <c r="O129" s="216"/>
      <c r="P129" s="278"/>
    </row>
    <row r="130" spans="1:16" ht="15.75" thickBot="1" x14ac:dyDescent="0.3">
      <c r="A130" s="284">
        <v>320800057</v>
      </c>
      <c r="B130" s="12" t="s">
        <v>272</v>
      </c>
      <c r="C130" s="232" t="s">
        <v>45</v>
      </c>
      <c r="D130" s="8"/>
      <c r="E130" s="424">
        <v>503</v>
      </c>
      <c r="F130" s="431">
        <v>503</v>
      </c>
      <c r="G130" s="345" t="s">
        <v>382</v>
      </c>
      <c r="H130" s="98" t="s">
        <v>297</v>
      </c>
      <c r="I130" s="472"/>
      <c r="J130" s="98"/>
      <c r="K130" s="98"/>
      <c r="L130" s="99"/>
      <c r="M130" s="99"/>
      <c r="N130" s="161"/>
      <c r="O130" s="217"/>
      <c r="P130" s="278"/>
    </row>
    <row r="131" spans="1:16" ht="15.75" thickBot="1" x14ac:dyDescent="0.3">
      <c r="A131" s="540"/>
      <c r="B131" s="524"/>
      <c r="C131" s="541"/>
      <c r="D131" s="8"/>
      <c r="E131" s="542"/>
      <c r="F131" s="543"/>
      <c r="G131" s="543"/>
      <c r="H131" s="543"/>
      <c r="I131" s="543"/>
      <c r="J131" s="543"/>
      <c r="K131" s="543"/>
      <c r="L131" s="543"/>
      <c r="M131" s="543"/>
      <c r="N131" s="543"/>
      <c r="O131" s="544"/>
      <c r="P131" s="278"/>
    </row>
    <row r="132" spans="1:16" ht="15.75" thickBot="1" x14ac:dyDescent="0.3">
      <c r="A132" s="280">
        <v>320900102</v>
      </c>
      <c r="B132" s="3" t="s">
        <v>87</v>
      </c>
      <c r="C132" s="231" t="s">
        <v>62</v>
      </c>
      <c r="D132" s="8"/>
      <c r="E132" s="432">
        <f>(F132)</f>
        <v>304</v>
      </c>
      <c r="F132" s="437">
        <v>304</v>
      </c>
      <c r="G132" s="129"/>
      <c r="H132" s="127" t="s">
        <v>209</v>
      </c>
      <c r="I132" s="480"/>
      <c r="J132" s="127"/>
      <c r="K132" s="127"/>
      <c r="L132" s="171"/>
      <c r="M132" s="171"/>
      <c r="N132" s="111"/>
      <c r="O132" s="204"/>
      <c r="P132" s="278"/>
    </row>
    <row r="133" spans="1:16" ht="15.75" thickBot="1" x14ac:dyDescent="0.3">
      <c r="A133" s="540" t="s">
        <v>283</v>
      </c>
      <c r="B133" s="524"/>
      <c r="C133" s="541"/>
      <c r="D133" s="8"/>
      <c r="E133" s="542"/>
      <c r="F133" s="543"/>
      <c r="G133" s="543"/>
      <c r="H133" s="543"/>
      <c r="I133" s="543"/>
      <c r="J133" s="543"/>
      <c r="K133" s="543"/>
      <c r="L133" s="543"/>
      <c r="M133" s="543"/>
      <c r="N133" s="543"/>
      <c r="O133" s="544"/>
      <c r="P133" s="278"/>
    </row>
    <row r="134" spans="1:16" ht="15.75" thickBot="1" x14ac:dyDescent="0.3">
      <c r="A134" s="280">
        <v>320900135</v>
      </c>
      <c r="B134" s="3" t="s">
        <v>89</v>
      </c>
      <c r="C134" s="231" t="s">
        <v>45</v>
      </c>
      <c r="D134" s="8"/>
      <c r="E134" s="435">
        <f>(F134)</f>
        <v>57.617249999999999</v>
      </c>
      <c r="F134" s="430">
        <f>(4609.38/8)/10</f>
        <v>57.617249999999999</v>
      </c>
      <c r="G134" s="117" t="s">
        <v>1</v>
      </c>
      <c r="H134" s="100" t="s">
        <v>210</v>
      </c>
      <c r="I134" s="494"/>
      <c r="J134" s="100"/>
      <c r="K134" s="100"/>
      <c r="L134" s="89"/>
      <c r="M134" s="89"/>
      <c r="N134" s="90"/>
      <c r="O134" s="183" t="s">
        <v>212</v>
      </c>
      <c r="P134" s="278"/>
    </row>
    <row r="135" spans="1:16" ht="15.75" thickBot="1" x14ac:dyDescent="0.3">
      <c r="A135" s="280">
        <v>320900131</v>
      </c>
      <c r="B135" s="3" t="s">
        <v>88</v>
      </c>
      <c r="C135" s="231" t="s">
        <v>45</v>
      </c>
      <c r="D135" s="8"/>
      <c r="E135" s="454">
        <f>(F135)</f>
        <v>97.65625</v>
      </c>
      <c r="F135" s="431">
        <f>(3125/2)/16</f>
        <v>97.65625</v>
      </c>
      <c r="G135" s="153" t="s">
        <v>1</v>
      </c>
      <c r="H135" s="158" t="s">
        <v>211</v>
      </c>
      <c r="I135" s="493"/>
      <c r="J135" s="158"/>
      <c r="K135" s="158"/>
      <c r="L135" s="92"/>
      <c r="M135" s="92"/>
      <c r="N135" s="93"/>
      <c r="O135" s="183" t="s">
        <v>406</v>
      </c>
      <c r="P135" s="278"/>
    </row>
    <row r="136" spans="1:16" ht="15.75" thickBot="1" x14ac:dyDescent="0.3">
      <c r="A136" s="540"/>
      <c r="B136" s="524"/>
      <c r="C136" s="541"/>
      <c r="D136" s="8"/>
      <c r="E136" s="542"/>
      <c r="F136" s="543"/>
      <c r="G136" s="543"/>
      <c r="H136" s="543"/>
      <c r="I136" s="543"/>
      <c r="J136" s="543"/>
      <c r="K136" s="543"/>
      <c r="L136" s="543"/>
      <c r="M136" s="543"/>
      <c r="N136" s="543"/>
      <c r="O136" s="544"/>
      <c r="P136" s="278"/>
    </row>
    <row r="137" spans="1:16" ht="15.75" thickBot="1" x14ac:dyDescent="0.3">
      <c r="A137" s="280">
        <v>320900212</v>
      </c>
      <c r="B137" s="3" t="s">
        <v>24</v>
      </c>
      <c r="C137" s="231" t="s">
        <v>62</v>
      </c>
      <c r="D137" s="8"/>
      <c r="E137" s="451">
        <f>(F137)</f>
        <v>550</v>
      </c>
      <c r="F137" s="452">
        <v>550</v>
      </c>
      <c r="G137" s="184" t="s">
        <v>323</v>
      </c>
      <c r="H137" s="185" t="s">
        <v>262</v>
      </c>
      <c r="I137" s="495"/>
      <c r="J137" s="186"/>
      <c r="K137" s="187"/>
      <c r="L137" s="188"/>
      <c r="M137" s="188"/>
      <c r="N137" s="188"/>
      <c r="O137" s="218"/>
      <c r="P137" s="278"/>
    </row>
    <row r="138" spans="1:16" ht="15.75" thickBot="1" x14ac:dyDescent="0.3">
      <c r="A138" s="540"/>
      <c r="B138" s="524"/>
      <c r="C138" s="541"/>
      <c r="D138" s="8"/>
      <c r="E138" s="542"/>
      <c r="F138" s="543"/>
      <c r="G138" s="543"/>
      <c r="H138" s="543"/>
      <c r="I138" s="543"/>
      <c r="J138" s="543"/>
      <c r="K138" s="543"/>
      <c r="L138" s="543"/>
      <c r="M138" s="543"/>
      <c r="N138" s="543"/>
      <c r="O138" s="544"/>
      <c r="P138" s="278"/>
    </row>
    <row r="139" spans="1:16" ht="15.75" thickBot="1" x14ac:dyDescent="0.3">
      <c r="A139" s="280">
        <v>320500044</v>
      </c>
      <c r="B139" s="3" t="s">
        <v>21</v>
      </c>
      <c r="C139" s="231" t="s">
        <v>58</v>
      </c>
      <c r="D139" s="8"/>
      <c r="E139" s="436">
        <f>(F139)</f>
        <v>200</v>
      </c>
      <c r="F139" s="469">
        <f>(2000/10)</f>
        <v>200</v>
      </c>
      <c r="G139" s="117" t="s">
        <v>454</v>
      </c>
      <c r="H139" s="508" t="s">
        <v>453</v>
      </c>
      <c r="K139" s="189"/>
      <c r="L139" s="89"/>
      <c r="M139" s="89"/>
      <c r="N139" s="90"/>
      <c r="O139" s="183" t="s">
        <v>185</v>
      </c>
      <c r="P139" s="278"/>
    </row>
    <row r="140" spans="1:16" ht="15.75" thickBot="1" x14ac:dyDescent="0.3">
      <c r="A140" s="280">
        <v>320500031</v>
      </c>
      <c r="B140" s="3" t="s">
        <v>66</v>
      </c>
      <c r="C140" s="231" t="s">
        <v>58</v>
      </c>
      <c r="D140" s="8"/>
      <c r="E140" s="424">
        <f>(F140+I140)/2</f>
        <v>3528.5</v>
      </c>
      <c r="F140" s="431">
        <v>2600</v>
      </c>
      <c r="G140" s="153" t="s">
        <v>173</v>
      </c>
      <c r="H140" s="91" t="s">
        <v>172</v>
      </c>
      <c r="I140" s="470">
        <v>4457</v>
      </c>
      <c r="J140" s="153" t="s">
        <v>174</v>
      </c>
      <c r="K140" s="158" t="s">
        <v>175</v>
      </c>
      <c r="L140" s="190"/>
      <c r="M140" s="190"/>
      <c r="N140" s="158"/>
      <c r="O140" s="149"/>
      <c r="P140" s="278"/>
    </row>
    <row r="141" spans="1:16" ht="15.75" thickBot="1" x14ac:dyDescent="0.3">
      <c r="A141" s="284">
        <v>321500066</v>
      </c>
      <c r="B141" s="4" t="s">
        <v>292</v>
      </c>
      <c r="C141" s="233" t="s">
        <v>117</v>
      </c>
      <c r="D141" s="8"/>
      <c r="E141" s="424">
        <v>12300</v>
      </c>
      <c r="F141" s="431">
        <v>12300</v>
      </c>
      <c r="G141" s="107"/>
      <c r="H141" s="191" t="s">
        <v>359</v>
      </c>
      <c r="I141" s="496"/>
      <c r="J141" s="107"/>
      <c r="K141" s="107"/>
      <c r="L141" s="107"/>
      <c r="M141" s="107"/>
      <c r="N141" s="192"/>
      <c r="O141" s="65" t="s">
        <v>360</v>
      </c>
      <c r="P141" s="278"/>
    </row>
    <row r="142" spans="1:16" ht="15.75" thickBot="1" x14ac:dyDescent="0.3">
      <c r="A142" s="540"/>
      <c r="B142" s="524"/>
      <c r="C142" s="541"/>
      <c r="D142" s="8"/>
      <c r="E142" s="639"/>
      <c r="F142" s="640"/>
      <c r="G142" s="640"/>
      <c r="H142" s="640"/>
      <c r="I142" s="640"/>
      <c r="J142" s="640"/>
      <c r="K142" s="640"/>
      <c r="L142" s="640"/>
      <c r="M142" s="640"/>
      <c r="N142" s="640"/>
      <c r="O142" s="641"/>
      <c r="P142" s="278"/>
    </row>
    <row r="143" spans="1:16" ht="15.75" thickBot="1" x14ac:dyDescent="0.3">
      <c r="A143" s="280">
        <v>321600051</v>
      </c>
      <c r="B143" s="3" t="s">
        <v>33</v>
      </c>
      <c r="C143" s="231" t="s">
        <v>45</v>
      </c>
      <c r="D143" s="8"/>
      <c r="E143" s="429">
        <f>(F143+I143+L143)/3</f>
        <v>86.233333333333334</v>
      </c>
      <c r="F143" s="430">
        <f>(767/10)</f>
        <v>76.7</v>
      </c>
      <c r="G143" s="117" t="s">
        <v>38</v>
      </c>
      <c r="H143" s="87" t="s">
        <v>240</v>
      </c>
      <c r="I143" s="469">
        <v>74</v>
      </c>
      <c r="J143" s="117"/>
      <c r="K143" s="100" t="s">
        <v>32</v>
      </c>
      <c r="L143" s="101">
        <f>(540/5)</f>
        <v>108</v>
      </c>
      <c r="M143" s="350" t="s">
        <v>374</v>
      </c>
      <c r="N143" s="642" t="s">
        <v>361</v>
      </c>
      <c r="O143" s="643"/>
      <c r="P143" s="278"/>
    </row>
    <row r="144" spans="1:16" ht="15.75" thickBot="1" x14ac:dyDescent="0.3">
      <c r="A144" s="280">
        <v>320900041</v>
      </c>
      <c r="B144" s="3" t="s">
        <v>85</v>
      </c>
      <c r="C144" s="231" t="s">
        <v>62</v>
      </c>
      <c r="D144" s="8"/>
      <c r="E144" s="427">
        <f>(F144)</f>
        <v>51</v>
      </c>
      <c r="F144" s="431">
        <f>(5100/100)</f>
        <v>51</v>
      </c>
      <c r="G144" s="346" t="s">
        <v>203</v>
      </c>
      <c r="H144" s="91" t="s">
        <v>455</v>
      </c>
      <c r="I144" s="470"/>
      <c r="J144" s="153"/>
      <c r="K144" s="158"/>
      <c r="L144" s="190"/>
      <c r="M144" s="190"/>
      <c r="N144" s="158"/>
      <c r="O144" s="219"/>
      <c r="P144" s="278"/>
    </row>
    <row r="145" spans="1:16" ht="15.75" thickBot="1" x14ac:dyDescent="0.3">
      <c r="A145" s="540"/>
      <c r="B145" s="524"/>
      <c r="C145" s="541"/>
      <c r="D145" s="8"/>
      <c r="E145" s="639"/>
      <c r="F145" s="640"/>
      <c r="G145" s="640"/>
      <c r="H145" s="640"/>
      <c r="I145" s="640"/>
      <c r="J145" s="640"/>
      <c r="K145" s="640"/>
      <c r="L145" s="640"/>
      <c r="M145" s="640"/>
      <c r="N145" s="640"/>
      <c r="O145" s="641"/>
      <c r="P145" s="278"/>
    </row>
    <row r="146" spans="1:16" ht="15.75" thickBot="1" x14ac:dyDescent="0.3">
      <c r="A146" s="242">
        <v>321500062</v>
      </c>
      <c r="B146" s="2" t="s">
        <v>271</v>
      </c>
      <c r="C146" s="229" t="s">
        <v>58</v>
      </c>
      <c r="D146" s="8"/>
      <c r="E146" s="461">
        <f>(F146)</f>
        <v>14687.49</v>
      </c>
      <c r="F146" s="444">
        <v>14687.49</v>
      </c>
      <c r="G146" s="359" t="s">
        <v>3</v>
      </c>
      <c r="H146" s="644" t="s">
        <v>321</v>
      </c>
      <c r="I146" s="645"/>
      <c r="J146" s="645"/>
      <c r="K146" s="645"/>
      <c r="L146" s="645"/>
      <c r="M146" s="645"/>
      <c r="N146" s="645"/>
      <c r="O146" s="646"/>
      <c r="P146" s="278"/>
    </row>
    <row r="147" spans="1:16" ht="15.75" thickBot="1" x14ac:dyDescent="0.3">
      <c r="A147" s="540" t="s">
        <v>298</v>
      </c>
      <c r="B147" s="524"/>
      <c r="C147" s="541"/>
      <c r="D147" s="8"/>
      <c r="E147" s="639"/>
      <c r="F147" s="640"/>
      <c r="G147" s="640"/>
      <c r="H147" s="640"/>
      <c r="I147" s="640"/>
      <c r="J147" s="640"/>
      <c r="K147" s="640"/>
      <c r="L147" s="640"/>
      <c r="M147" s="640"/>
      <c r="N147" s="640"/>
      <c r="O147" s="641"/>
      <c r="P147" s="278"/>
    </row>
    <row r="148" spans="1:16" ht="15.75" thickBot="1" x14ac:dyDescent="0.3">
      <c r="A148" s="283">
        <v>3211000211</v>
      </c>
      <c r="B148" s="279" t="s">
        <v>95</v>
      </c>
      <c r="C148" s="234" t="s">
        <v>45</v>
      </c>
      <c r="D148" s="8"/>
      <c r="E148" s="416"/>
      <c r="F148" s="417"/>
      <c r="G148" s="389"/>
      <c r="H148" s="389"/>
      <c r="I148" s="417"/>
      <c r="J148" s="389"/>
      <c r="K148" s="389"/>
      <c r="L148" s="389"/>
      <c r="M148" s="389"/>
      <c r="N148" s="389"/>
      <c r="O148" s="390"/>
      <c r="P148" s="278"/>
    </row>
    <row r="149" spans="1:16" ht="15.75" thickBot="1" x14ac:dyDescent="0.3">
      <c r="A149" s="283">
        <v>3211000212</v>
      </c>
      <c r="B149" s="279" t="s">
        <v>96</v>
      </c>
      <c r="C149" s="234" t="s">
        <v>62</v>
      </c>
      <c r="D149" s="8"/>
      <c r="E149" s="416"/>
      <c r="F149" s="417"/>
      <c r="G149" s="389"/>
      <c r="H149" s="389"/>
      <c r="I149" s="417"/>
      <c r="J149" s="389"/>
      <c r="K149" s="389"/>
      <c r="L149" s="389"/>
      <c r="M149" s="389"/>
      <c r="N149" s="389"/>
      <c r="O149" s="390"/>
      <c r="P149" s="278"/>
    </row>
    <row r="150" spans="1:16" ht="15.75" thickBot="1" x14ac:dyDescent="0.3">
      <c r="A150" s="540" t="s">
        <v>254</v>
      </c>
      <c r="B150" s="524"/>
      <c r="C150" s="541"/>
      <c r="D150" s="8"/>
      <c r="E150" s="639"/>
      <c r="F150" s="640"/>
      <c r="G150" s="640"/>
      <c r="H150" s="640"/>
      <c r="I150" s="640"/>
      <c r="J150" s="640"/>
      <c r="K150" s="640"/>
      <c r="L150" s="640"/>
      <c r="M150" s="640"/>
      <c r="N150" s="640"/>
      <c r="O150" s="641"/>
      <c r="P150" s="278"/>
    </row>
    <row r="151" spans="1:16" x14ac:dyDescent="0.25">
      <c r="A151" s="649">
        <v>32130006</v>
      </c>
      <c r="B151" s="12" t="s">
        <v>273</v>
      </c>
      <c r="C151" s="232" t="s">
        <v>62</v>
      </c>
      <c r="D151" s="8"/>
      <c r="E151" s="650">
        <f>F151</f>
        <v>51</v>
      </c>
      <c r="F151" s="652">
        <v>51</v>
      </c>
      <c r="G151" s="654"/>
      <c r="H151" s="193" t="s">
        <v>314</v>
      </c>
      <c r="I151" s="419"/>
      <c r="J151" s="193"/>
      <c r="K151" s="193"/>
      <c r="L151" s="164"/>
      <c r="M151" s="164"/>
      <c r="N151" s="165"/>
      <c r="O151" s="209"/>
      <c r="P151" s="278"/>
    </row>
    <row r="152" spans="1:16" ht="15.75" thickBot="1" x14ac:dyDescent="0.3">
      <c r="A152" s="649"/>
      <c r="B152" s="12" t="s">
        <v>103</v>
      </c>
      <c r="C152" s="232" t="s">
        <v>45</v>
      </c>
      <c r="D152" s="8"/>
      <c r="E152" s="651"/>
      <c r="F152" s="653"/>
      <c r="G152" s="655"/>
      <c r="H152" s="193" t="s">
        <v>314</v>
      </c>
      <c r="I152" s="420"/>
      <c r="J152" s="194"/>
      <c r="K152" s="194"/>
      <c r="L152" s="33"/>
      <c r="M152" s="33"/>
      <c r="N152" s="195"/>
      <c r="O152" s="216"/>
      <c r="P152" s="278"/>
    </row>
    <row r="153" spans="1:16" x14ac:dyDescent="0.25">
      <c r="A153" s="545">
        <v>322300033</v>
      </c>
      <c r="B153" s="2" t="s">
        <v>441</v>
      </c>
      <c r="C153" s="229" t="s">
        <v>62</v>
      </c>
      <c r="D153" s="8"/>
      <c r="E153" s="650">
        <f>(F153)</f>
        <v>292.18799999999999</v>
      </c>
      <c r="F153" s="663">
        <f>(2921.88/10)</f>
        <v>292.18799999999999</v>
      </c>
      <c r="G153" s="666" t="s">
        <v>446</v>
      </c>
      <c r="H153" s="669" t="s">
        <v>447</v>
      </c>
      <c r="I153" s="426"/>
      <c r="J153" s="196"/>
      <c r="K153" s="86"/>
      <c r="L153" s="26"/>
      <c r="M153" s="26"/>
      <c r="N153" s="86"/>
      <c r="O153" s="220"/>
      <c r="P153" s="278"/>
    </row>
    <row r="154" spans="1:16" s="394" customFormat="1" x14ac:dyDescent="0.25">
      <c r="A154" s="546"/>
      <c r="B154" s="2" t="s">
        <v>442</v>
      </c>
      <c r="C154" s="229" t="s">
        <v>62</v>
      </c>
      <c r="D154" s="8"/>
      <c r="E154" s="662"/>
      <c r="F154" s="664"/>
      <c r="G154" s="667"/>
      <c r="H154" s="670"/>
      <c r="I154" s="465"/>
      <c r="J154" s="401"/>
      <c r="K154" s="98"/>
      <c r="L154" s="402"/>
      <c r="M154" s="402"/>
      <c r="N154" s="98"/>
      <c r="O154" s="403"/>
    </row>
    <row r="155" spans="1:16" s="394" customFormat="1" ht="15.75" thickBot="1" x14ac:dyDescent="0.3">
      <c r="A155" s="546"/>
      <c r="B155" s="2" t="s">
        <v>443</v>
      </c>
      <c r="C155" s="229" t="s">
        <v>62</v>
      </c>
      <c r="D155" s="8"/>
      <c r="E155" s="651"/>
      <c r="F155" s="665"/>
      <c r="G155" s="668"/>
      <c r="H155" s="671"/>
      <c r="I155" s="465"/>
      <c r="J155" s="401"/>
      <c r="K155" s="98"/>
      <c r="L155" s="402"/>
      <c r="M155" s="402"/>
      <c r="N155" s="98"/>
      <c r="O155" s="403"/>
    </row>
    <row r="156" spans="1:16" s="394" customFormat="1" ht="15.75" thickBot="1" x14ac:dyDescent="0.3">
      <c r="A156" s="546"/>
      <c r="B156" s="2" t="s">
        <v>444</v>
      </c>
      <c r="C156" s="229" t="s">
        <v>62</v>
      </c>
      <c r="D156" s="8"/>
      <c r="E156" s="427">
        <v>292.18799999999999</v>
      </c>
      <c r="F156" s="453">
        <f>(2921.88/10)</f>
        <v>292.18799999999999</v>
      </c>
      <c r="G156" s="400" t="s">
        <v>446</v>
      </c>
      <c r="H156" s="506" t="s">
        <v>448</v>
      </c>
      <c r="I156" s="468"/>
      <c r="J156" s="401"/>
      <c r="K156" s="98"/>
      <c r="L156" s="402"/>
      <c r="M156" s="402"/>
      <c r="N156" s="98"/>
      <c r="O156" s="403"/>
    </row>
    <row r="157" spans="1:16" s="394" customFormat="1" ht="15.75" thickBot="1" x14ac:dyDescent="0.3">
      <c r="A157" s="547"/>
      <c r="B157" s="2" t="s">
        <v>440</v>
      </c>
      <c r="C157" s="229" t="s">
        <v>62</v>
      </c>
      <c r="D157" s="8"/>
      <c r="E157" s="427">
        <f>(F157)</f>
        <v>388.67199999999997</v>
      </c>
      <c r="F157" s="434">
        <f>(3886.72/10)</f>
        <v>388.67199999999997</v>
      </c>
      <c r="G157" s="400" t="s">
        <v>446</v>
      </c>
      <c r="H157" s="506" t="s">
        <v>445</v>
      </c>
      <c r="I157" s="468"/>
      <c r="J157" s="401"/>
      <c r="K157" s="98"/>
      <c r="L157" s="402"/>
      <c r="M157" s="402"/>
      <c r="N157" s="98"/>
      <c r="O157" s="403"/>
    </row>
    <row r="158" spans="1:16" ht="15.75" thickBot="1" x14ac:dyDescent="0.3">
      <c r="A158" s="280">
        <v>322300054</v>
      </c>
      <c r="B158" s="3" t="s">
        <v>121</v>
      </c>
      <c r="C158" s="231" t="s">
        <v>45</v>
      </c>
      <c r="D158" s="8"/>
      <c r="E158" s="427">
        <f>(F158+I158)/2</f>
        <v>37.5</v>
      </c>
      <c r="F158" s="431">
        <f>(2000/50)</f>
        <v>40</v>
      </c>
      <c r="G158" s="346" t="s">
        <v>37</v>
      </c>
      <c r="H158" s="91" t="s">
        <v>245</v>
      </c>
      <c r="I158" s="470">
        <v>35</v>
      </c>
      <c r="J158" s="153"/>
      <c r="K158" s="158" t="s">
        <v>246</v>
      </c>
      <c r="L158" s="190"/>
      <c r="M158" s="190"/>
      <c r="N158" s="158"/>
      <c r="O158" s="219"/>
      <c r="P158" s="278"/>
    </row>
    <row r="159" spans="1:16" ht="15.75" thickBot="1" x14ac:dyDescent="0.3">
      <c r="A159" s="656" t="s">
        <v>388</v>
      </c>
      <c r="B159" s="657"/>
      <c r="C159" s="658"/>
      <c r="D159" s="8"/>
      <c r="E159" s="659"/>
      <c r="F159" s="660"/>
      <c r="G159" s="660"/>
      <c r="H159" s="660"/>
      <c r="I159" s="660"/>
      <c r="J159" s="660"/>
      <c r="K159" s="660"/>
      <c r="L159" s="660"/>
      <c r="M159" s="660"/>
      <c r="N159" s="660"/>
      <c r="O159" s="661"/>
      <c r="P159" s="278"/>
    </row>
    <row r="160" spans="1:16" ht="15.75" thickBot="1" x14ac:dyDescent="0.3">
      <c r="A160" s="566">
        <v>32020006</v>
      </c>
      <c r="B160" s="3" t="s">
        <v>395</v>
      </c>
      <c r="C160" s="231" t="s">
        <v>58</v>
      </c>
      <c r="D160" s="8"/>
      <c r="E160" s="435">
        <v>275</v>
      </c>
      <c r="F160" s="507">
        <v>275</v>
      </c>
      <c r="G160" s="345" t="s">
        <v>451</v>
      </c>
      <c r="H160" s="100" t="s">
        <v>450</v>
      </c>
      <c r="I160" s="494"/>
      <c r="J160" s="100"/>
      <c r="K160" s="100"/>
      <c r="L160" s="89"/>
      <c r="M160" s="89"/>
      <c r="N160" s="90"/>
      <c r="O160" s="183" t="s">
        <v>452</v>
      </c>
      <c r="P160" s="278"/>
    </row>
    <row r="161" spans="1:16" ht="15.75" thickBot="1" x14ac:dyDescent="0.3">
      <c r="A161" s="566"/>
      <c r="B161" s="3" t="s">
        <v>2</v>
      </c>
      <c r="C161" s="231" t="s">
        <v>58</v>
      </c>
      <c r="D161" s="8"/>
      <c r="E161" s="432">
        <f>(F161)</f>
        <v>186</v>
      </c>
      <c r="F161" s="428">
        <v>186</v>
      </c>
      <c r="G161" s="348" t="s">
        <v>159</v>
      </c>
      <c r="H161" s="122" t="s">
        <v>158</v>
      </c>
      <c r="I161" s="476"/>
      <c r="J161" s="122"/>
      <c r="K161" s="122"/>
      <c r="L161" s="28"/>
      <c r="M161" s="28"/>
      <c r="N161" s="102"/>
      <c r="O161" s="221"/>
      <c r="P161" s="278"/>
    </row>
    <row r="162" spans="1:16" ht="15.75" thickBot="1" x14ac:dyDescent="0.3">
      <c r="A162" s="566"/>
      <c r="B162" s="3" t="s">
        <v>60</v>
      </c>
      <c r="C162" s="231" t="s">
        <v>58</v>
      </c>
      <c r="D162" s="8"/>
      <c r="E162" s="454">
        <f>(F162)</f>
        <v>273</v>
      </c>
      <c r="F162" s="431">
        <v>273</v>
      </c>
      <c r="G162" s="346" t="s">
        <v>3</v>
      </c>
      <c r="H162" s="158" t="s">
        <v>456</v>
      </c>
      <c r="I162" s="493"/>
      <c r="J162" s="158"/>
      <c r="K162" s="158"/>
      <c r="L162" s="92"/>
      <c r="M162" s="92"/>
      <c r="N162" s="93"/>
      <c r="O162" s="183" t="s">
        <v>157</v>
      </c>
      <c r="P162" s="278"/>
    </row>
    <row r="163" spans="1:16" ht="15.75" thickBot="1" x14ac:dyDescent="0.3">
      <c r="A163" s="673"/>
      <c r="B163" s="674"/>
      <c r="C163" s="675"/>
      <c r="D163" s="8"/>
      <c r="E163" s="633"/>
      <c r="F163" s="634"/>
      <c r="G163" s="634"/>
      <c r="H163" s="634"/>
      <c r="I163" s="634"/>
      <c r="J163" s="634"/>
      <c r="K163" s="634"/>
      <c r="L163" s="634"/>
      <c r="M163" s="634"/>
      <c r="N163" s="634"/>
      <c r="O163" s="635"/>
      <c r="P163" s="278"/>
    </row>
    <row r="164" spans="1:16" ht="15.75" thickBot="1" x14ac:dyDescent="0.3">
      <c r="A164" s="280">
        <v>320900052</v>
      </c>
      <c r="B164" s="3" t="s">
        <v>86</v>
      </c>
      <c r="C164" s="231" t="s">
        <v>45</v>
      </c>
      <c r="D164" s="8"/>
      <c r="E164" s="436">
        <f>(F164+I164+L164)/3</f>
        <v>1691.5</v>
      </c>
      <c r="F164" s="437">
        <v>837</v>
      </c>
      <c r="G164" s="355" t="s">
        <v>4</v>
      </c>
      <c r="H164" s="111" t="s">
        <v>204</v>
      </c>
      <c r="I164" s="418">
        <v>3437.5</v>
      </c>
      <c r="J164" s="355" t="s">
        <v>417</v>
      </c>
      <c r="K164" s="127" t="s">
        <v>205</v>
      </c>
      <c r="L164" s="126">
        <v>800</v>
      </c>
      <c r="M164" s="369" t="s">
        <v>206</v>
      </c>
      <c r="N164" s="647" t="s">
        <v>362</v>
      </c>
      <c r="O164" s="648"/>
      <c r="P164" s="278"/>
    </row>
    <row r="165" spans="1:16" ht="15.75" thickBot="1" x14ac:dyDescent="0.3">
      <c r="A165" s="656"/>
      <c r="B165" s="657"/>
      <c r="C165" s="658"/>
      <c r="D165" s="8"/>
      <c r="E165" s="639"/>
      <c r="F165" s="640"/>
      <c r="G165" s="640"/>
      <c r="H165" s="640"/>
      <c r="I165" s="640"/>
      <c r="J165" s="640"/>
      <c r="K165" s="640"/>
      <c r="L165" s="640"/>
      <c r="M165" s="640"/>
      <c r="N165" s="640"/>
      <c r="O165" s="641"/>
      <c r="P165" s="278"/>
    </row>
    <row r="166" spans="1:16" ht="15.75" thickBot="1" x14ac:dyDescent="0.3">
      <c r="A166" s="281">
        <v>3212000815</v>
      </c>
      <c r="B166" s="1" t="s">
        <v>104</v>
      </c>
      <c r="C166" s="228" t="s">
        <v>45</v>
      </c>
      <c r="D166" s="8"/>
      <c r="E166" s="461">
        <v>1015.63</v>
      </c>
      <c r="F166" s="444">
        <v>1015.63</v>
      </c>
      <c r="G166" s="359" t="s">
        <v>244</v>
      </c>
      <c r="H166" s="144" t="s">
        <v>225</v>
      </c>
      <c r="I166" s="497"/>
      <c r="J166" s="144"/>
      <c r="K166" s="144"/>
      <c r="L166" s="145"/>
      <c r="M166" s="145"/>
      <c r="N166" s="144"/>
      <c r="O166" s="207"/>
      <c r="P166" s="278"/>
    </row>
    <row r="167" spans="1:16" ht="15.75" thickBot="1" x14ac:dyDescent="0.3">
      <c r="A167" s="283">
        <v>321200332</v>
      </c>
      <c r="B167" s="279" t="s">
        <v>293</v>
      </c>
      <c r="C167" s="234"/>
      <c r="D167" s="278"/>
      <c r="E167" s="416"/>
      <c r="F167" s="417"/>
      <c r="G167" s="385"/>
      <c r="H167" s="385"/>
      <c r="I167" s="417"/>
      <c r="J167" s="385"/>
      <c r="K167" s="385"/>
      <c r="L167" s="385"/>
      <c r="M167" s="385"/>
      <c r="N167" s="385"/>
      <c r="O167" s="386"/>
      <c r="P167" s="278"/>
    </row>
    <row r="168" spans="1:16" ht="15.75" thickBot="1" x14ac:dyDescent="0.3">
      <c r="A168" s="656" t="s">
        <v>255</v>
      </c>
      <c r="B168" s="657"/>
      <c r="C168" s="658"/>
      <c r="D168" s="10"/>
      <c r="E168" s="639"/>
      <c r="F168" s="640"/>
      <c r="G168" s="640"/>
      <c r="H168" s="640"/>
      <c r="I168" s="640"/>
      <c r="J168" s="640"/>
      <c r="K168" s="640"/>
      <c r="L168" s="640"/>
      <c r="M168" s="640"/>
      <c r="N168" s="640"/>
      <c r="O168" s="641"/>
      <c r="P168" s="278"/>
    </row>
    <row r="169" spans="1:16" ht="15.75" thickBot="1" x14ac:dyDescent="0.3">
      <c r="A169" s="566">
        <v>32060005</v>
      </c>
      <c r="B169" s="3" t="s">
        <v>69</v>
      </c>
      <c r="C169" s="231" t="s">
        <v>68</v>
      </c>
      <c r="D169" s="10"/>
      <c r="E169" s="429">
        <f>((F169+I169)/2)</f>
        <v>342.5</v>
      </c>
      <c r="F169" s="430">
        <v>290</v>
      </c>
      <c r="G169" s="345" t="s">
        <v>177</v>
      </c>
      <c r="H169" s="87" t="s">
        <v>179</v>
      </c>
      <c r="I169" s="469">
        <v>395</v>
      </c>
      <c r="J169" s="345" t="s">
        <v>177</v>
      </c>
      <c r="K169" s="87" t="s">
        <v>180</v>
      </c>
      <c r="L169" s="89"/>
      <c r="M169" s="89"/>
      <c r="N169" s="90"/>
      <c r="O169" s="183" t="s">
        <v>182</v>
      </c>
      <c r="P169" s="278"/>
    </row>
    <row r="170" spans="1:16" ht="15.75" thickBot="1" x14ac:dyDescent="0.3">
      <c r="A170" s="566"/>
      <c r="B170" s="3" t="s">
        <v>23</v>
      </c>
      <c r="C170" s="231" t="s">
        <v>68</v>
      </c>
      <c r="D170" s="10"/>
      <c r="E170" s="424">
        <f t="shared" ref="E170:E173" si="9">((F170+I170)/2)</f>
        <v>464</v>
      </c>
      <c r="F170" s="428">
        <v>538</v>
      </c>
      <c r="G170" s="348" t="s">
        <v>177</v>
      </c>
      <c r="H170" s="102" t="s">
        <v>22</v>
      </c>
      <c r="I170" s="474">
        <v>390</v>
      </c>
      <c r="J170" s="348" t="s">
        <v>177</v>
      </c>
      <c r="K170" s="102" t="s">
        <v>181</v>
      </c>
      <c r="L170" s="28"/>
      <c r="M170" s="28"/>
      <c r="N170" s="105"/>
      <c r="O170" s="183" t="s">
        <v>183</v>
      </c>
      <c r="P170" s="278"/>
    </row>
    <row r="171" spans="1:16" ht="16.5" thickBot="1" x14ac:dyDescent="0.3">
      <c r="A171" s="566"/>
      <c r="B171" s="3" t="s">
        <v>70</v>
      </c>
      <c r="C171" s="231" t="s">
        <v>68</v>
      </c>
      <c r="D171" s="25"/>
      <c r="E171" s="424">
        <f t="shared" si="9"/>
        <v>607.5</v>
      </c>
      <c r="F171" s="428">
        <v>705</v>
      </c>
      <c r="G171" s="348" t="s">
        <v>177</v>
      </c>
      <c r="H171" s="102" t="s">
        <v>176</v>
      </c>
      <c r="I171" s="474">
        <v>510</v>
      </c>
      <c r="J171" s="348" t="s">
        <v>177</v>
      </c>
      <c r="K171" s="102" t="s">
        <v>178</v>
      </c>
      <c r="L171" s="28"/>
      <c r="M171" s="28"/>
      <c r="N171" s="105"/>
      <c r="O171" s="183" t="s">
        <v>184</v>
      </c>
      <c r="P171" s="278"/>
    </row>
    <row r="172" spans="1:16" ht="16.5" thickBot="1" x14ac:dyDescent="0.3">
      <c r="A172" s="566">
        <v>32020004</v>
      </c>
      <c r="B172" s="3" t="s">
        <v>57</v>
      </c>
      <c r="C172" s="231" t="s">
        <v>58</v>
      </c>
      <c r="D172" s="25"/>
      <c r="E172" s="424">
        <f t="shared" si="9"/>
        <v>52.5</v>
      </c>
      <c r="F172" s="428">
        <v>43</v>
      </c>
      <c r="G172" s="197" t="s">
        <v>153</v>
      </c>
      <c r="H172" s="102" t="s">
        <v>152</v>
      </c>
      <c r="I172" s="474">
        <v>62</v>
      </c>
      <c r="J172" s="348" t="s">
        <v>383</v>
      </c>
      <c r="K172" s="122" t="s">
        <v>155</v>
      </c>
      <c r="L172" s="29"/>
      <c r="M172" s="29"/>
      <c r="N172" s="122"/>
      <c r="O172" s="222"/>
      <c r="P172" s="278"/>
    </row>
    <row r="173" spans="1:16" ht="15.75" thickBot="1" x14ac:dyDescent="0.3">
      <c r="A173" s="672"/>
      <c r="B173" s="245" t="s">
        <v>59</v>
      </c>
      <c r="C173" s="246" t="s">
        <v>58</v>
      </c>
      <c r="D173" s="10"/>
      <c r="E173" s="424">
        <f t="shared" si="9"/>
        <v>74</v>
      </c>
      <c r="F173" s="462">
        <v>60</v>
      </c>
      <c r="G173" s="223" t="s">
        <v>153</v>
      </c>
      <c r="H173" s="224" t="s">
        <v>154</v>
      </c>
      <c r="I173" s="498">
        <v>88</v>
      </c>
      <c r="J173" s="370" t="s">
        <v>383</v>
      </c>
      <c r="K173" s="225" t="s">
        <v>156</v>
      </c>
      <c r="L173" s="226"/>
      <c r="M173" s="226"/>
      <c r="N173" s="225"/>
      <c r="O173" s="227"/>
      <c r="P173" s="278"/>
    </row>
  </sheetData>
  <mergeCells count="164">
    <mergeCell ref="A169:A171"/>
    <mergeCell ref="A172:A173"/>
    <mergeCell ref="A160:A162"/>
    <mergeCell ref="A163:C163"/>
    <mergeCell ref="E163:O163"/>
    <mergeCell ref="A165:C165"/>
    <mergeCell ref="E165:O165"/>
    <mergeCell ref="A168:C168"/>
    <mergeCell ref="E168:O168"/>
    <mergeCell ref="H146:O146"/>
    <mergeCell ref="A147:C147"/>
    <mergeCell ref="E147:O147"/>
    <mergeCell ref="A150:C150"/>
    <mergeCell ref="E150:O150"/>
    <mergeCell ref="N164:O164"/>
    <mergeCell ref="A151:A152"/>
    <mergeCell ref="E151:E152"/>
    <mergeCell ref="F151:F152"/>
    <mergeCell ref="G151:G152"/>
    <mergeCell ref="A159:C159"/>
    <mergeCell ref="E159:O159"/>
    <mergeCell ref="A153:A157"/>
    <mergeCell ref="E153:E155"/>
    <mergeCell ref="F153:F155"/>
    <mergeCell ref="G153:G155"/>
    <mergeCell ref="H153:H155"/>
    <mergeCell ref="A138:C138"/>
    <mergeCell ref="E138:O138"/>
    <mergeCell ref="A142:C142"/>
    <mergeCell ref="E142:O142"/>
    <mergeCell ref="A145:C145"/>
    <mergeCell ref="E145:O145"/>
    <mergeCell ref="A131:C131"/>
    <mergeCell ref="E131:O131"/>
    <mergeCell ref="A133:C133"/>
    <mergeCell ref="E133:O133"/>
    <mergeCell ref="A136:C136"/>
    <mergeCell ref="E136:O136"/>
    <mergeCell ref="N143:O143"/>
    <mergeCell ref="A124:C124"/>
    <mergeCell ref="E124:O124"/>
    <mergeCell ref="A126:C126"/>
    <mergeCell ref="E126:O126"/>
    <mergeCell ref="A127:A129"/>
    <mergeCell ref="K113:O113"/>
    <mergeCell ref="A114:C114"/>
    <mergeCell ref="E114:O114"/>
    <mergeCell ref="A115:A117"/>
    <mergeCell ref="A118:A119"/>
    <mergeCell ref="A120:A123"/>
    <mergeCell ref="E105:O105"/>
    <mergeCell ref="A106:C106"/>
    <mergeCell ref="E106:O106"/>
    <mergeCell ref="A107:A111"/>
    <mergeCell ref="A112:C112"/>
    <mergeCell ref="E112:O112"/>
    <mergeCell ref="E100:O100"/>
    <mergeCell ref="A102:C102"/>
    <mergeCell ref="E102:O102"/>
    <mergeCell ref="A104:C104"/>
    <mergeCell ref="E104:O104"/>
    <mergeCell ref="K101:O101"/>
    <mergeCell ref="A90:C90"/>
    <mergeCell ref="E90:O90"/>
    <mergeCell ref="A94:C94"/>
    <mergeCell ref="E94:O94"/>
    <mergeCell ref="A95:A99"/>
    <mergeCell ref="A84:C84"/>
    <mergeCell ref="E84:O84"/>
    <mergeCell ref="A85:A86"/>
    <mergeCell ref="A88:C88"/>
    <mergeCell ref="E88:O88"/>
    <mergeCell ref="A76:A78"/>
    <mergeCell ref="A79:C79"/>
    <mergeCell ref="E79:O79"/>
    <mergeCell ref="A82:C82"/>
    <mergeCell ref="E82:O82"/>
    <mergeCell ref="H83:O83"/>
    <mergeCell ref="A71:C71"/>
    <mergeCell ref="E71:O71"/>
    <mergeCell ref="A73:C73"/>
    <mergeCell ref="E73:O73"/>
    <mergeCell ref="E74:O74"/>
    <mergeCell ref="A75:C75"/>
    <mergeCell ref="E75:O75"/>
    <mergeCell ref="E80:O80"/>
    <mergeCell ref="E81:O81"/>
    <mergeCell ref="A63:C63"/>
    <mergeCell ref="E63:O63"/>
    <mergeCell ref="A65:C65"/>
    <mergeCell ref="E65:O65"/>
    <mergeCell ref="A69:C69"/>
    <mergeCell ref="E69:O69"/>
    <mergeCell ref="A57:A58"/>
    <mergeCell ref="A59:C59"/>
    <mergeCell ref="E59:O59"/>
    <mergeCell ref="H60:O60"/>
    <mergeCell ref="A61:C61"/>
    <mergeCell ref="E61:O61"/>
    <mergeCell ref="A52:C52"/>
    <mergeCell ref="E52:O52"/>
    <mergeCell ref="A54:C54"/>
    <mergeCell ref="E54:O54"/>
    <mergeCell ref="A56:C56"/>
    <mergeCell ref="E56:O56"/>
    <mergeCell ref="A42:C42"/>
    <mergeCell ref="E42:O42"/>
    <mergeCell ref="A44:C44"/>
    <mergeCell ref="E44:O44"/>
    <mergeCell ref="A46:C46"/>
    <mergeCell ref="E46:O46"/>
    <mergeCell ref="A47:A51"/>
    <mergeCell ref="K51:O51"/>
    <mergeCell ref="K50:O50"/>
    <mergeCell ref="K49:O49"/>
    <mergeCell ref="K48:O48"/>
    <mergeCell ref="K47:O47"/>
    <mergeCell ref="A24:A25"/>
    <mergeCell ref="A26:C26"/>
    <mergeCell ref="E26:O26"/>
    <mergeCell ref="A27:A28"/>
    <mergeCell ref="N27:O27"/>
    <mergeCell ref="N28:O28"/>
    <mergeCell ref="A22:A23"/>
    <mergeCell ref="K22:O22"/>
    <mergeCell ref="N23:O23"/>
    <mergeCell ref="A36:A37"/>
    <mergeCell ref="N36:O36"/>
    <mergeCell ref="K38:O38"/>
    <mergeCell ref="B39:C39"/>
    <mergeCell ref="A40:C40"/>
    <mergeCell ref="E40:O40"/>
    <mergeCell ref="A29:C29"/>
    <mergeCell ref="E29:O29"/>
    <mergeCell ref="A31:C31"/>
    <mergeCell ref="E31:O31"/>
    <mergeCell ref="A35:C35"/>
    <mergeCell ref="E35:O35"/>
    <mergeCell ref="E39:O39"/>
    <mergeCell ref="B1:P1"/>
    <mergeCell ref="A3:B3"/>
    <mergeCell ref="C3:D3"/>
    <mergeCell ref="E3:F3"/>
    <mergeCell ref="G3:H3"/>
    <mergeCell ref="I3:J3"/>
    <mergeCell ref="K3:L3"/>
    <mergeCell ref="M3:N3"/>
    <mergeCell ref="O3:P3"/>
    <mergeCell ref="A21:C21"/>
    <mergeCell ref="E21:O21"/>
    <mergeCell ref="A9:A14"/>
    <mergeCell ref="A6:C6"/>
    <mergeCell ref="E6:O6"/>
    <mergeCell ref="A7:C7"/>
    <mergeCell ref="E7:O7"/>
    <mergeCell ref="H9:N9"/>
    <mergeCell ref="K13:N13"/>
    <mergeCell ref="A19:A20"/>
    <mergeCell ref="K14:N14"/>
    <mergeCell ref="A15:C15"/>
    <mergeCell ref="E15:O15"/>
    <mergeCell ref="A16:A17"/>
    <mergeCell ref="A18:C18"/>
    <mergeCell ref="E18:O18"/>
  </mergeCells>
  <hyperlinks>
    <hyperlink ref="H8" r:id="rId1"/>
    <hyperlink ref="H62" r:id="rId2"/>
    <hyperlink ref="K62" r:id="rId3"/>
    <hyperlink ref="H32" r:id="rId4"/>
    <hyperlink ref="H34" r:id="rId5"/>
    <hyperlink ref="H19" r:id="rId6"/>
    <hyperlink ref="K19" r:id="rId7"/>
    <hyperlink ref="H20" r:id="rId8"/>
    <hyperlink ref="H89" r:id="rId9"/>
    <hyperlink ref="H107" r:id="rId10"/>
    <hyperlink ref="H109" r:id="rId11"/>
    <hyperlink ref="H108" r:id="rId12"/>
    <hyperlink ref="H111" r:id="rId13"/>
    <hyperlink ref="H166" r:id="rId14"/>
    <hyperlink ref="H96" r:id="rId15"/>
    <hyperlink ref="H103" r:id="rId16"/>
    <hyperlink ref="H120" r:id="rId17"/>
    <hyperlink ref="K101" r:id="rId18" location="position=2&amp;search_layout=stack&amp;type=item&amp;tracking_id=b079918a-0923-4ef0-a7bc-cd168f966715"/>
  </hyperlinks>
  <pageMargins left="0.7" right="0.7" top="0.75" bottom="0.75" header="0.3" footer="0.3"/>
  <pageSetup orientation="portrait" r:id="rId1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68"/>
  <sheetViews>
    <sheetView zoomScaleNormal="100" workbookViewId="0">
      <selection activeCell="G157" sqref="G157"/>
    </sheetView>
  </sheetViews>
  <sheetFormatPr baseColWidth="10" defaultRowHeight="15" x14ac:dyDescent="0.25"/>
  <cols>
    <col min="1" max="1" width="11.42578125" style="318"/>
    <col min="2" max="2" width="11.42578125" style="278"/>
    <col min="3" max="3" width="41.140625" customWidth="1"/>
    <col min="5" max="5" width="16.28515625" customWidth="1"/>
    <col min="6" max="6" width="15.28515625" customWidth="1"/>
    <col min="7" max="7" width="15.28515625" style="13" customWidth="1"/>
  </cols>
  <sheetData>
    <row r="1" spans="2:8" ht="15.75" thickBot="1" x14ac:dyDescent="0.3"/>
    <row r="2" spans="2:8" ht="30.75" thickBot="1" x14ac:dyDescent="0.3">
      <c r="B2" s="676" t="s">
        <v>248</v>
      </c>
      <c r="C2" s="677"/>
      <c r="D2" s="678"/>
      <c r="E2" s="334" t="s">
        <v>418</v>
      </c>
      <c r="F2" s="404" t="s">
        <v>411</v>
      </c>
      <c r="G2" s="304" t="s">
        <v>449</v>
      </c>
      <c r="H2" s="410"/>
    </row>
    <row r="3" spans="2:8" x14ac:dyDescent="0.25">
      <c r="B3" s="331">
        <v>321200019</v>
      </c>
      <c r="C3" s="332" t="s">
        <v>97</v>
      </c>
      <c r="D3" s="335" t="s">
        <v>62</v>
      </c>
      <c r="E3" s="336">
        <v>185.87</v>
      </c>
      <c r="F3" s="301">
        <f>('PRECIO REFERENCIA JULIO 2022'!E8)</f>
        <v>361.04</v>
      </c>
      <c r="G3" s="333">
        <f>(F3-E3)/E3</f>
        <v>0.94243288319793406</v>
      </c>
    </row>
    <row r="4" spans="2:8" x14ac:dyDescent="0.25">
      <c r="B4" s="545">
        <v>320700022</v>
      </c>
      <c r="C4" s="3" t="s">
        <v>389</v>
      </c>
      <c r="D4" s="230" t="s">
        <v>62</v>
      </c>
      <c r="E4" s="337">
        <v>1.9779500000000001</v>
      </c>
      <c r="F4" s="302">
        <f>('PRECIO REFERENCIA JULIO 2022'!E9)</f>
        <v>2.3359000000000001</v>
      </c>
      <c r="G4" s="325">
        <f>(F4-E4)/E4</f>
        <v>0.18097019641548065</v>
      </c>
    </row>
    <row r="5" spans="2:8" x14ac:dyDescent="0.25">
      <c r="B5" s="546"/>
      <c r="C5" s="3" t="s">
        <v>390</v>
      </c>
      <c r="D5" s="230" t="s">
        <v>62</v>
      </c>
      <c r="E5" s="337">
        <v>1.74</v>
      </c>
      <c r="F5" s="302">
        <f>('PRECIO REFERENCIA JULIO 2022'!E10)</f>
        <v>7.14</v>
      </c>
      <c r="G5" s="327">
        <f>(F5-E5)/E5</f>
        <v>3.1034482758620685</v>
      </c>
    </row>
    <row r="6" spans="2:8" x14ac:dyDescent="0.25">
      <c r="B6" s="546"/>
      <c r="C6" s="3" t="s">
        <v>391</v>
      </c>
      <c r="D6" s="230" t="s">
        <v>62</v>
      </c>
      <c r="E6" s="337">
        <v>1.58</v>
      </c>
      <c r="F6" s="302">
        <f>('PRECIO REFERENCIA JULIO 2022'!E11)</f>
        <v>2.7929499999999998</v>
      </c>
      <c r="G6" s="325">
        <f>(F6-E6)/E6</f>
        <v>0.76768987341772132</v>
      </c>
    </row>
    <row r="7" spans="2:8" x14ac:dyDescent="0.25">
      <c r="B7" s="546"/>
      <c r="C7" s="289" t="s">
        <v>392</v>
      </c>
      <c r="D7" s="317" t="s">
        <v>62</v>
      </c>
      <c r="E7" s="338">
        <v>1.84</v>
      </c>
      <c r="F7" s="306">
        <f>('PRECIO REFERENCIA JULIO 2022'!E12)</f>
        <v>7.14</v>
      </c>
      <c r="G7" s="327"/>
    </row>
    <row r="8" spans="2:8" x14ac:dyDescent="0.25">
      <c r="B8" s="546"/>
      <c r="C8" s="3" t="s">
        <v>393</v>
      </c>
      <c r="D8" s="230" t="s">
        <v>62</v>
      </c>
      <c r="E8" s="337">
        <v>1.6</v>
      </c>
      <c r="F8" s="302">
        <f>('PRECIO REFERENCIA JULIO 2022'!E13)</f>
        <v>3.0077999999999996</v>
      </c>
      <c r="G8" s="325">
        <f>(F8-E8)/E8</f>
        <v>0.87987499999999963</v>
      </c>
    </row>
    <row r="9" spans="2:8" x14ac:dyDescent="0.25">
      <c r="B9" s="547"/>
      <c r="C9" s="3" t="s">
        <v>394</v>
      </c>
      <c r="D9" s="230" t="s">
        <v>62</v>
      </c>
      <c r="E9" s="337">
        <v>2.0499999999999998</v>
      </c>
      <c r="F9" s="302">
        <f>('PRECIO REFERENCIA JULIO 2022'!E14)</f>
        <v>7.14</v>
      </c>
      <c r="G9" s="327">
        <f>(F9-E9)/E9</f>
        <v>2.4829268292682927</v>
      </c>
    </row>
    <row r="10" spans="2:8" x14ac:dyDescent="0.25">
      <c r="B10" s="540" t="s">
        <v>249</v>
      </c>
      <c r="C10" s="524"/>
      <c r="D10" s="541"/>
      <c r="E10" s="391"/>
      <c r="F10" s="392"/>
      <c r="G10" s="393"/>
    </row>
    <row r="11" spans="2:8" x14ac:dyDescent="0.25">
      <c r="B11" s="566">
        <v>31290027</v>
      </c>
      <c r="C11" s="3" t="s">
        <v>42</v>
      </c>
      <c r="D11" s="231" t="s">
        <v>43</v>
      </c>
      <c r="E11" s="337">
        <v>223.68733333333333</v>
      </c>
      <c r="F11" s="302">
        <f>('PRECIO REFERENCIA JULIO 2022'!E16)</f>
        <v>241.82066666666665</v>
      </c>
      <c r="G11" s="325">
        <f t="shared" ref="G11:G67" si="0">(F11-E11)/E11</f>
        <v>8.1065534928218219E-2</v>
      </c>
    </row>
    <row r="12" spans="2:8" x14ac:dyDescent="0.25">
      <c r="B12" s="566"/>
      <c r="C12" s="3" t="s">
        <v>40</v>
      </c>
      <c r="D12" s="231" t="s">
        <v>41</v>
      </c>
      <c r="E12" s="337">
        <v>312.62833333333333</v>
      </c>
      <c r="F12" s="302">
        <f>('PRECIO REFERENCIA JULIO 2022'!E17)</f>
        <v>337.62833333333333</v>
      </c>
      <c r="G12" s="325">
        <f t="shared" si="0"/>
        <v>7.9967160152897204E-2</v>
      </c>
    </row>
    <row r="13" spans="2:8" x14ac:dyDescent="0.25">
      <c r="B13" s="540" t="s">
        <v>250</v>
      </c>
      <c r="C13" s="524"/>
      <c r="D13" s="541"/>
      <c r="E13" s="391"/>
      <c r="F13" s="392"/>
      <c r="G13" s="393"/>
    </row>
    <row r="14" spans="2:8" x14ac:dyDescent="0.25">
      <c r="B14" s="559">
        <v>32020001</v>
      </c>
      <c r="C14" s="1" t="s">
        <v>51</v>
      </c>
      <c r="D14" s="228" t="s">
        <v>52</v>
      </c>
      <c r="E14" s="337">
        <v>518.04166666666663</v>
      </c>
      <c r="F14" s="302">
        <f>('PRECIO REFERENCIA JULIO 2022'!E19)</f>
        <v>534.70833333333337</v>
      </c>
      <c r="G14" s="325">
        <f t="shared" si="0"/>
        <v>3.2172444301455952E-2</v>
      </c>
    </row>
    <row r="15" spans="2:8" x14ac:dyDescent="0.25">
      <c r="B15" s="559"/>
      <c r="C15" s="12" t="s">
        <v>67</v>
      </c>
      <c r="D15" s="232" t="s">
        <v>68</v>
      </c>
      <c r="E15" s="337">
        <v>100</v>
      </c>
      <c r="F15" s="302">
        <f>('PRECIO REFERENCIA JULIO 2022'!E20)</f>
        <v>110</v>
      </c>
      <c r="G15" s="409">
        <f t="shared" si="0"/>
        <v>0.1</v>
      </c>
    </row>
    <row r="16" spans="2:8" x14ac:dyDescent="0.25">
      <c r="B16" s="540" t="s">
        <v>274</v>
      </c>
      <c r="C16" s="524"/>
      <c r="D16" s="541"/>
      <c r="E16" s="391"/>
      <c r="F16" s="392"/>
      <c r="G16" s="393"/>
    </row>
    <row r="17" spans="2:7" x14ac:dyDescent="0.25">
      <c r="B17" s="566">
        <v>321000014</v>
      </c>
      <c r="C17" s="3" t="s">
        <v>93</v>
      </c>
      <c r="D17" s="231" t="s">
        <v>45</v>
      </c>
      <c r="E17" s="337">
        <v>225</v>
      </c>
      <c r="F17" s="302">
        <f>('PRECIO REFERENCIA JULIO 2022'!E22)</f>
        <v>245</v>
      </c>
      <c r="G17" s="325">
        <f t="shared" si="0"/>
        <v>8.8888888888888892E-2</v>
      </c>
    </row>
    <row r="18" spans="2:7" x14ac:dyDescent="0.25">
      <c r="B18" s="566"/>
      <c r="C18" s="3" t="s">
        <v>94</v>
      </c>
      <c r="D18" s="231" t="s">
        <v>62</v>
      </c>
      <c r="E18" s="337">
        <v>756.66666666666663</v>
      </c>
      <c r="F18" s="302">
        <f>('PRECIO REFERENCIA JULIO 2022'!E23)</f>
        <v>850.41666666666663</v>
      </c>
      <c r="G18" s="325">
        <f t="shared" si="0"/>
        <v>0.12389867841409692</v>
      </c>
    </row>
    <row r="19" spans="2:7" x14ac:dyDescent="0.25">
      <c r="B19" s="566">
        <v>32020007</v>
      </c>
      <c r="C19" s="3" t="s">
        <v>63</v>
      </c>
      <c r="D19" s="231" t="s">
        <v>45</v>
      </c>
      <c r="E19" s="337">
        <v>35.768750000000004</v>
      </c>
      <c r="F19" s="302">
        <f>('PRECIO REFERENCIA JULIO 2022'!E24)</f>
        <v>47.768750000000004</v>
      </c>
      <c r="G19" s="325">
        <f t="shared" si="0"/>
        <v>0.3354883802201642</v>
      </c>
    </row>
    <row r="20" spans="2:7" x14ac:dyDescent="0.25">
      <c r="B20" s="566"/>
      <c r="C20" s="4" t="s">
        <v>61</v>
      </c>
      <c r="D20" s="233" t="s">
        <v>62</v>
      </c>
      <c r="E20" s="337">
        <v>136.71879999999999</v>
      </c>
      <c r="F20" s="302">
        <f>('PRECIO REFERENCIA JULIO 2022'!E25)</f>
        <v>136.71879999999999</v>
      </c>
      <c r="G20" s="328">
        <f t="shared" si="0"/>
        <v>0</v>
      </c>
    </row>
    <row r="21" spans="2:7" x14ac:dyDescent="0.25">
      <c r="B21" s="540" t="s">
        <v>251</v>
      </c>
      <c r="C21" s="524"/>
      <c r="D21" s="541"/>
      <c r="E21" s="391"/>
      <c r="F21" s="392"/>
      <c r="G21" s="393"/>
    </row>
    <row r="22" spans="2:7" x14ac:dyDescent="0.25">
      <c r="B22" s="566">
        <v>32090001</v>
      </c>
      <c r="C22" s="3" t="s">
        <v>12</v>
      </c>
      <c r="D22" s="231" t="s">
        <v>84</v>
      </c>
      <c r="E22" s="337">
        <v>175.69666666666669</v>
      </c>
      <c r="F22" s="302">
        <f>('PRECIO REFERENCIA JULIO 2022'!E27)</f>
        <v>220.19666666666669</v>
      </c>
      <c r="G22" s="325">
        <f t="shared" si="0"/>
        <v>0.25327742890208499</v>
      </c>
    </row>
    <row r="23" spans="2:7" x14ac:dyDescent="0.25">
      <c r="B23" s="566"/>
      <c r="C23" s="3" t="s">
        <v>202</v>
      </c>
      <c r="D23" s="231" t="s">
        <v>84</v>
      </c>
      <c r="E23" s="337">
        <v>203.82333333333335</v>
      </c>
      <c r="F23" s="302">
        <f>('PRECIO REFERENCIA JULIO 2022'!E28)</f>
        <v>235.82333333333335</v>
      </c>
      <c r="G23" s="325">
        <f t="shared" si="0"/>
        <v>0.15699870803146515</v>
      </c>
    </row>
    <row r="24" spans="2:7" x14ac:dyDescent="0.25">
      <c r="B24" s="540" t="s">
        <v>275</v>
      </c>
      <c r="C24" s="524"/>
      <c r="D24" s="541"/>
      <c r="E24" s="391"/>
      <c r="F24" s="392"/>
      <c r="G24" s="393"/>
    </row>
    <row r="25" spans="2:7" x14ac:dyDescent="0.25">
      <c r="B25" s="320">
        <v>32010001</v>
      </c>
      <c r="C25" s="3" t="s">
        <v>44</v>
      </c>
      <c r="D25" s="231" t="s">
        <v>45</v>
      </c>
      <c r="E25" s="337">
        <v>28.546900000000001</v>
      </c>
      <c r="F25" s="302">
        <f>('PRECIO REFERENCIA JULIO 2022'!E30)</f>
        <v>28.546900000000001</v>
      </c>
      <c r="G25" s="328">
        <f t="shared" si="0"/>
        <v>0</v>
      </c>
    </row>
    <row r="26" spans="2:7" x14ac:dyDescent="0.25">
      <c r="B26" s="540" t="s">
        <v>299</v>
      </c>
      <c r="C26" s="524"/>
      <c r="D26" s="541"/>
      <c r="E26" s="391"/>
      <c r="F26" s="392"/>
      <c r="G26" s="393"/>
    </row>
    <row r="27" spans="2:7" x14ac:dyDescent="0.25">
      <c r="B27" s="320">
        <v>320100049</v>
      </c>
      <c r="C27" s="3" t="s">
        <v>16</v>
      </c>
      <c r="D27" s="231" t="s">
        <v>45</v>
      </c>
      <c r="E27" s="337">
        <v>692.25</v>
      </c>
      <c r="F27" s="302">
        <f>('PRECIO REFERENCIA JULIO 2022'!E32)</f>
        <v>692.25</v>
      </c>
      <c r="G27" s="328">
        <f t="shared" si="0"/>
        <v>0</v>
      </c>
    </row>
    <row r="28" spans="2:7" x14ac:dyDescent="0.25">
      <c r="B28" s="320">
        <v>320100053</v>
      </c>
      <c r="C28" s="7" t="s">
        <v>46</v>
      </c>
      <c r="D28" s="231" t="s">
        <v>47</v>
      </c>
      <c r="E28" s="337">
        <v>13.387499999999999</v>
      </c>
      <c r="F28" s="302">
        <f>('PRECIO REFERENCIA JULIO 2022'!E33)</f>
        <v>22.254540000000002</v>
      </c>
      <c r="G28" s="325">
        <f t="shared" si="0"/>
        <v>0.66233725490196105</v>
      </c>
    </row>
    <row r="29" spans="2:7" x14ac:dyDescent="0.25">
      <c r="B29" s="320">
        <v>320100073</v>
      </c>
      <c r="C29" s="3" t="s">
        <v>17</v>
      </c>
      <c r="D29" s="231" t="s">
        <v>45</v>
      </c>
      <c r="E29" s="337">
        <v>9.1822933333333339</v>
      </c>
      <c r="F29" s="302">
        <f>('PRECIO REFERENCIA JULIO 2022'!E34)</f>
        <v>9.2822933333333335</v>
      </c>
      <c r="G29" s="409">
        <f t="shared" si="0"/>
        <v>1.0890525533200092E-2</v>
      </c>
    </row>
    <row r="30" spans="2:7" x14ac:dyDescent="0.25">
      <c r="B30" s="540"/>
      <c r="C30" s="524"/>
      <c r="D30" s="541"/>
      <c r="E30" s="391"/>
      <c r="F30" s="392"/>
      <c r="G30" s="393"/>
    </row>
    <row r="31" spans="2:7" x14ac:dyDescent="0.25">
      <c r="B31" s="566">
        <v>32130001</v>
      </c>
      <c r="C31" s="3" t="s">
        <v>110</v>
      </c>
      <c r="D31" s="231" t="s">
        <v>45</v>
      </c>
      <c r="E31" s="337">
        <v>403.33333333333331</v>
      </c>
      <c r="F31" s="302">
        <f>('PRECIO REFERENCIA JULIO 2022'!E36)</f>
        <v>478.85422222222223</v>
      </c>
      <c r="G31" s="325">
        <f t="shared" si="0"/>
        <v>0.18724187327823699</v>
      </c>
    </row>
    <row r="32" spans="2:7" x14ac:dyDescent="0.25">
      <c r="B32" s="566"/>
      <c r="C32" s="12" t="s">
        <v>111</v>
      </c>
      <c r="D32" s="232" t="s">
        <v>45</v>
      </c>
      <c r="E32" s="337">
        <v>9.5749999999999993</v>
      </c>
      <c r="F32" s="302">
        <f>('PRECIO REFERENCIA JULIO 2022'!E37)</f>
        <v>0</v>
      </c>
      <c r="G32" s="325">
        <f t="shared" si="0"/>
        <v>-1</v>
      </c>
    </row>
    <row r="33" spans="2:7" x14ac:dyDescent="0.25">
      <c r="B33" s="320">
        <v>322300022</v>
      </c>
      <c r="C33" s="3" t="s">
        <v>34</v>
      </c>
      <c r="D33" s="231" t="s">
        <v>45</v>
      </c>
      <c r="E33" s="337">
        <v>273.59399999999999</v>
      </c>
      <c r="F33" s="302">
        <f>('PRECIO REFERENCIA JULIO 2022'!E38)</f>
        <v>283.59399999999999</v>
      </c>
      <c r="G33" s="325">
        <f t="shared" si="0"/>
        <v>3.6550509148592439E-2</v>
      </c>
    </row>
    <row r="34" spans="2:7" x14ac:dyDescent="0.25">
      <c r="B34" s="291">
        <v>321500181</v>
      </c>
      <c r="C34" s="579" t="s">
        <v>301</v>
      </c>
      <c r="D34" s="580"/>
      <c r="E34" s="339">
        <v>0</v>
      </c>
      <c r="F34" s="290"/>
      <c r="G34" s="327"/>
    </row>
    <row r="35" spans="2:7" x14ac:dyDescent="0.25">
      <c r="B35" s="540" t="s">
        <v>276</v>
      </c>
      <c r="C35" s="524"/>
      <c r="D35" s="541"/>
      <c r="E35" s="391"/>
      <c r="F35" s="392"/>
      <c r="G35" s="393"/>
    </row>
    <row r="36" spans="2:7" x14ac:dyDescent="0.25">
      <c r="B36" s="320">
        <v>321220013</v>
      </c>
      <c r="C36" s="3" t="s">
        <v>109</v>
      </c>
      <c r="D36" s="231" t="s">
        <v>62</v>
      </c>
      <c r="E36" s="337">
        <v>24.197499999999998</v>
      </c>
      <c r="F36" s="302">
        <f>('PRECIO REFERENCIA JULIO 2022'!E41)</f>
        <v>49.5</v>
      </c>
      <c r="G36" s="325">
        <f t="shared" si="0"/>
        <v>1.0456658745738199</v>
      </c>
    </row>
    <row r="37" spans="2:7" x14ac:dyDescent="0.25">
      <c r="B37" s="597"/>
      <c r="C37" s="530"/>
      <c r="D37" s="598"/>
      <c r="E37" s="391"/>
      <c r="F37" s="392"/>
      <c r="G37" s="393"/>
    </row>
    <row r="38" spans="2:7" x14ac:dyDescent="0.25">
      <c r="B38" s="320">
        <v>322300061</v>
      </c>
      <c r="C38" s="3" t="s">
        <v>122</v>
      </c>
      <c r="D38" s="231" t="s">
        <v>45</v>
      </c>
      <c r="E38" s="337">
        <v>417.19</v>
      </c>
      <c r="F38" s="302">
        <f>('PRECIO REFERENCIA JULIO 2022'!E43)</f>
        <v>467.19</v>
      </c>
      <c r="G38" s="325">
        <f t="shared" si="0"/>
        <v>0.11984946906685204</v>
      </c>
    </row>
    <row r="39" spans="2:7" x14ac:dyDescent="0.25">
      <c r="B39" s="594"/>
      <c r="C39" s="531"/>
      <c r="D39" s="596"/>
      <c r="E39" s="391"/>
      <c r="F39" s="392"/>
      <c r="G39" s="393"/>
    </row>
    <row r="40" spans="2:7" x14ac:dyDescent="0.25">
      <c r="B40" s="324">
        <v>320300033</v>
      </c>
      <c r="C40" s="12" t="s">
        <v>64</v>
      </c>
      <c r="D40" s="232" t="s">
        <v>62</v>
      </c>
      <c r="E40" s="337">
        <v>885</v>
      </c>
      <c r="F40" s="302">
        <f>('PRECIO REFERENCIA JULIO 2022'!E45)</f>
        <v>1039</v>
      </c>
      <c r="G40" s="325">
        <f t="shared" si="0"/>
        <v>0.17401129943502824</v>
      </c>
    </row>
    <row r="41" spans="2:7" x14ac:dyDescent="0.25">
      <c r="B41" s="679"/>
      <c r="C41" s="531"/>
      <c r="D41" s="596"/>
      <c r="E41" s="391"/>
      <c r="F41" s="392"/>
      <c r="G41" s="393"/>
    </row>
    <row r="42" spans="2:7" x14ac:dyDescent="0.25">
      <c r="B42" s="559">
        <v>32070005</v>
      </c>
      <c r="C42" s="374" t="s">
        <v>420</v>
      </c>
      <c r="D42" s="373" t="s">
        <v>62</v>
      </c>
      <c r="E42" s="377">
        <v>149</v>
      </c>
      <c r="F42" s="378">
        <f>('PRECIO REFERENCIA JULIO 2022'!E47)</f>
        <v>34.5</v>
      </c>
      <c r="G42" s="379"/>
    </row>
    <row r="43" spans="2:7" x14ac:dyDescent="0.25">
      <c r="B43" s="559"/>
      <c r="C43" s="374" t="s">
        <v>421</v>
      </c>
      <c r="D43" s="373" t="s">
        <v>62</v>
      </c>
      <c r="E43" s="377">
        <v>149</v>
      </c>
      <c r="F43" s="378">
        <f>('PRECIO REFERENCIA JULIO 2022'!E48)</f>
        <v>29</v>
      </c>
      <c r="G43" s="379"/>
    </row>
    <row r="44" spans="2:7" x14ac:dyDescent="0.25">
      <c r="B44" s="559"/>
      <c r="C44" s="374" t="s">
        <v>422</v>
      </c>
      <c r="D44" s="373" t="s">
        <v>62</v>
      </c>
      <c r="E44" s="377">
        <v>149</v>
      </c>
      <c r="F44" s="378">
        <f>('PRECIO REFERENCIA JULIO 2022'!E49)</f>
        <v>29</v>
      </c>
      <c r="G44" s="379"/>
    </row>
    <row r="45" spans="2:7" x14ac:dyDescent="0.25">
      <c r="B45" s="559"/>
      <c r="C45" s="374" t="s">
        <v>423</v>
      </c>
      <c r="D45" s="373" t="s">
        <v>62</v>
      </c>
      <c r="E45" s="377">
        <v>149</v>
      </c>
      <c r="F45" s="378">
        <f>('PRECIO REFERENCIA JULIO 2022'!E50)</f>
        <v>30.5625</v>
      </c>
      <c r="G45" s="379"/>
    </row>
    <row r="46" spans="2:7" x14ac:dyDescent="0.25">
      <c r="B46" s="559"/>
      <c r="C46" s="374" t="s">
        <v>419</v>
      </c>
      <c r="D46" s="373" t="s">
        <v>62</v>
      </c>
      <c r="E46" s="377">
        <v>149</v>
      </c>
      <c r="F46" s="378">
        <f>('PRECIO REFERENCIA JULIO 2022'!E51)</f>
        <v>35.5625</v>
      </c>
      <c r="G46" s="379"/>
    </row>
    <row r="47" spans="2:7" x14ac:dyDescent="0.25">
      <c r="B47" s="680"/>
      <c r="C47" s="531"/>
      <c r="D47" s="596"/>
      <c r="E47" s="391"/>
      <c r="F47" s="392"/>
      <c r="G47" s="393"/>
    </row>
    <row r="48" spans="2:7" x14ac:dyDescent="0.25">
      <c r="B48" s="320">
        <v>321600012</v>
      </c>
      <c r="C48" s="3" t="s">
        <v>31</v>
      </c>
      <c r="D48" s="231" t="s">
        <v>45</v>
      </c>
      <c r="E48" s="337">
        <v>27.828150000000001</v>
      </c>
      <c r="F48" s="302">
        <f>('PRECIO REFERENCIA JULIO 2022'!E53)</f>
        <v>29.828150000000001</v>
      </c>
      <c r="G48" s="325">
        <f t="shared" si="0"/>
        <v>7.1869671537633656E-2</v>
      </c>
    </row>
    <row r="49" spans="2:7" x14ac:dyDescent="0.25">
      <c r="B49" s="594"/>
      <c r="C49" s="531"/>
      <c r="D49" s="596"/>
      <c r="E49" s="391"/>
      <c r="F49" s="392"/>
      <c r="G49" s="393"/>
    </row>
    <row r="50" spans="2:7" x14ac:dyDescent="0.25">
      <c r="B50" s="320">
        <v>320900071</v>
      </c>
      <c r="C50" s="3" t="s">
        <v>35</v>
      </c>
      <c r="D50" s="231" t="s">
        <v>62</v>
      </c>
      <c r="E50" s="337">
        <v>510</v>
      </c>
      <c r="F50" s="302">
        <f>('PRECIO REFERENCIA JULIO 2022'!E55)</f>
        <v>561.5</v>
      </c>
      <c r="G50" s="325">
        <f t="shared" si="0"/>
        <v>0.10098039215686275</v>
      </c>
    </row>
    <row r="51" spans="2:7" x14ac:dyDescent="0.25">
      <c r="B51" s="540" t="s">
        <v>277</v>
      </c>
      <c r="C51" s="524"/>
      <c r="D51" s="541"/>
      <c r="E51" s="391"/>
      <c r="F51" s="392"/>
      <c r="G51" s="393"/>
    </row>
    <row r="52" spans="2:7" x14ac:dyDescent="0.25">
      <c r="B52" s="566">
        <v>32150002</v>
      </c>
      <c r="C52" s="3" t="s">
        <v>112</v>
      </c>
      <c r="D52" s="231" t="s">
        <v>58</v>
      </c>
      <c r="E52" s="337">
        <v>450</v>
      </c>
      <c r="F52" s="302">
        <f>('PRECIO REFERENCIA JULIO 2022'!E57)</f>
        <v>659</v>
      </c>
      <c r="G52" s="325">
        <f t="shared" si="0"/>
        <v>0.46444444444444444</v>
      </c>
    </row>
    <row r="53" spans="2:7" x14ac:dyDescent="0.25">
      <c r="B53" s="566"/>
      <c r="C53" s="3" t="s">
        <v>113</v>
      </c>
      <c r="D53" s="231" t="s">
        <v>68</v>
      </c>
      <c r="E53" s="337">
        <v>440</v>
      </c>
      <c r="F53" s="302">
        <f>('PRECIO REFERENCIA JULIO 2022'!E58)</f>
        <v>548.5</v>
      </c>
      <c r="G53" s="325">
        <f t="shared" si="0"/>
        <v>0.24659090909090908</v>
      </c>
    </row>
    <row r="54" spans="2:7" x14ac:dyDescent="0.25">
      <c r="B54" s="594"/>
      <c r="C54" s="531"/>
      <c r="D54" s="596"/>
      <c r="E54" s="391"/>
      <c r="F54" s="392"/>
      <c r="G54" s="393"/>
    </row>
    <row r="55" spans="2:7" x14ac:dyDescent="0.25">
      <c r="B55" s="320">
        <v>3212002017</v>
      </c>
      <c r="C55" s="7" t="s">
        <v>108</v>
      </c>
      <c r="D55" s="231" t="s">
        <v>62</v>
      </c>
      <c r="E55" s="337">
        <v>3750</v>
      </c>
      <c r="F55" s="302">
        <f>('PRECIO REFERENCIA JULIO 2022'!E60)</f>
        <v>3750</v>
      </c>
      <c r="G55" s="328">
        <f t="shared" si="0"/>
        <v>0</v>
      </c>
    </row>
    <row r="56" spans="2:7" x14ac:dyDescent="0.25">
      <c r="B56" s="540" t="s">
        <v>278</v>
      </c>
      <c r="C56" s="524"/>
      <c r="D56" s="541"/>
      <c r="E56" s="391"/>
      <c r="F56" s="392"/>
      <c r="G56" s="393"/>
    </row>
    <row r="57" spans="2:7" x14ac:dyDescent="0.25">
      <c r="B57" s="319">
        <v>32220001</v>
      </c>
      <c r="C57" s="47" t="s">
        <v>287</v>
      </c>
      <c r="D57" s="228" t="s">
        <v>45</v>
      </c>
      <c r="E57" s="337">
        <v>1729.405</v>
      </c>
      <c r="F57" s="302">
        <f>('PRECIO REFERENCIA JULIO 2022'!E62)</f>
        <v>1787.905</v>
      </c>
      <c r="G57" s="325">
        <f t="shared" si="0"/>
        <v>3.3826662927423014E-2</v>
      </c>
    </row>
    <row r="58" spans="2:7" x14ac:dyDescent="0.25">
      <c r="B58" s="594"/>
      <c r="C58" s="531"/>
      <c r="D58" s="596"/>
      <c r="E58" s="391"/>
      <c r="F58" s="392"/>
      <c r="G58" s="393"/>
    </row>
    <row r="59" spans="2:7" x14ac:dyDescent="0.25">
      <c r="B59" s="320">
        <v>321500041</v>
      </c>
      <c r="C59" s="3" t="s">
        <v>116</v>
      </c>
      <c r="D59" s="231" t="s">
        <v>62</v>
      </c>
      <c r="E59" s="337">
        <v>949.2188000000001</v>
      </c>
      <c r="F59" s="302">
        <f>('PRECIO REFERENCIA JULIO 2022'!E64)</f>
        <v>949.2188000000001</v>
      </c>
      <c r="G59" s="328">
        <f t="shared" si="0"/>
        <v>0</v>
      </c>
    </row>
    <row r="60" spans="2:7" x14ac:dyDescent="0.25">
      <c r="B60" s="594"/>
      <c r="C60" s="531"/>
      <c r="D60" s="596"/>
      <c r="E60" s="391"/>
      <c r="F60" s="392"/>
      <c r="G60" s="393"/>
    </row>
    <row r="61" spans="2:7" x14ac:dyDescent="0.25">
      <c r="B61" s="681">
        <v>3201000612</v>
      </c>
      <c r="C61" s="70" t="s">
        <v>396</v>
      </c>
      <c r="D61" s="236" t="s">
        <v>45</v>
      </c>
      <c r="E61" s="337">
        <v>0</v>
      </c>
      <c r="F61" s="302">
        <f>('PRECIO REFERENCIA JULIO 2022'!E66)</f>
        <v>429</v>
      </c>
      <c r="G61" s="325"/>
    </row>
    <row r="62" spans="2:7" x14ac:dyDescent="0.25">
      <c r="B62" s="682"/>
      <c r="C62" s="70" t="s">
        <v>397</v>
      </c>
      <c r="D62" s="236" t="s">
        <v>45</v>
      </c>
      <c r="E62" s="337">
        <v>0</v>
      </c>
      <c r="F62" s="302">
        <f>('PRECIO REFERENCIA JULIO 2022'!E67)</f>
        <v>580</v>
      </c>
      <c r="G62" s="325"/>
    </row>
    <row r="63" spans="2:7" x14ac:dyDescent="0.25">
      <c r="B63" s="683"/>
      <c r="C63" s="3" t="s">
        <v>48</v>
      </c>
      <c r="D63" s="231" t="s">
        <v>45</v>
      </c>
      <c r="E63" s="337">
        <v>192</v>
      </c>
      <c r="F63" s="302">
        <f>('PRECIO REFERENCIA JULIO 2022'!E68)</f>
        <v>217</v>
      </c>
      <c r="G63" s="325">
        <f t="shared" si="0"/>
        <v>0.13020833333333334</v>
      </c>
    </row>
    <row r="64" spans="2:7" x14ac:dyDescent="0.25">
      <c r="B64" s="594"/>
      <c r="C64" s="531"/>
      <c r="D64" s="596"/>
      <c r="E64" s="391"/>
      <c r="F64" s="392"/>
      <c r="G64" s="393"/>
    </row>
    <row r="65" spans="2:7" x14ac:dyDescent="0.25">
      <c r="B65" s="320">
        <v>321500036</v>
      </c>
      <c r="C65" s="3" t="s">
        <v>114</v>
      </c>
      <c r="D65" s="231" t="s">
        <v>115</v>
      </c>
      <c r="E65" s="337">
        <v>1562.5</v>
      </c>
      <c r="F65" s="302">
        <f>('PRECIO REFERENCIA JULIO 2022'!E70)</f>
        <v>1562.5</v>
      </c>
      <c r="G65" s="328">
        <f t="shared" si="0"/>
        <v>0</v>
      </c>
    </row>
    <row r="66" spans="2:7" x14ac:dyDescent="0.25">
      <c r="B66" s="540" t="s">
        <v>279</v>
      </c>
      <c r="C66" s="524"/>
      <c r="D66" s="541"/>
      <c r="E66" s="391"/>
      <c r="F66" s="392"/>
      <c r="G66" s="393"/>
    </row>
    <row r="67" spans="2:7" x14ac:dyDescent="0.25">
      <c r="B67" s="320">
        <v>32050001</v>
      </c>
      <c r="C67" s="3" t="s">
        <v>288</v>
      </c>
      <c r="D67" s="231" t="s">
        <v>45</v>
      </c>
      <c r="E67" s="337">
        <v>14.74</v>
      </c>
      <c r="F67" s="302">
        <f>('PRECIO REFERENCIA JULIO 2022'!E72)</f>
        <v>20</v>
      </c>
      <c r="G67" s="325">
        <f t="shared" si="0"/>
        <v>0.35685210312075982</v>
      </c>
    </row>
    <row r="68" spans="2:7" x14ac:dyDescent="0.25">
      <c r="B68" s="594"/>
      <c r="C68" s="531"/>
      <c r="D68" s="596"/>
      <c r="E68" s="391"/>
      <c r="F68" s="392"/>
      <c r="G68" s="393"/>
    </row>
    <row r="69" spans="2:7" x14ac:dyDescent="0.25">
      <c r="B69" s="323">
        <v>320700121</v>
      </c>
      <c r="C69" s="321" t="s">
        <v>81</v>
      </c>
      <c r="D69" s="234" t="s">
        <v>45</v>
      </c>
      <c r="E69" s="339">
        <v>0</v>
      </c>
      <c r="F69" s="290"/>
      <c r="G69" s="327"/>
    </row>
    <row r="70" spans="2:7" x14ac:dyDescent="0.25">
      <c r="B70" s="540" t="s">
        <v>259</v>
      </c>
      <c r="C70" s="524"/>
      <c r="D70" s="541"/>
      <c r="E70" s="391"/>
      <c r="F70" s="392"/>
      <c r="G70" s="393"/>
    </row>
    <row r="71" spans="2:7" x14ac:dyDescent="0.25">
      <c r="B71" s="566">
        <v>32160002</v>
      </c>
      <c r="C71" s="3" t="s">
        <v>118</v>
      </c>
      <c r="D71" s="231" t="s">
        <v>45</v>
      </c>
      <c r="E71" s="337">
        <v>68.408333333333331</v>
      </c>
      <c r="F71" s="302">
        <f>('PRECIO REFERENCIA JULIO 2022'!E76)</f>
        <v>85.653766666666669</v>
      </c>
      <c r="G71" s="325">
        <f t="shared" ref="G71:G134" si="1">(F71-E71)/E71</f>
        <v>0.25209550493360955</v>
      </c>
    </row>
    <row r="72" spans="2:7" x14ac:dyDescent="0.25">
      <c r="B72" s="566"/>
      <c r="C72" s="3" t="s">
        <v>119</v>
      </c>
      <c r="D72" s="231" t="s">
        <v>45</v>
      </c>
      <c r="E72" s="337">
        <v>79.852933333333326</v>
      </c>
      <c r="F72" s="302">
        <f>('PRECIO REFERENCIA JULIO 2022'!E77)</f>
        <v>98.065433333333331</v>
      </c>
      <c r="G72" s="325">
        <f t="shared" si="1"/>
        <v>0.22807552884719753</v>
      </c>
    </row>
    <row r="73" spans="2:7" x14ac:dyDescent="0.25">
      <c r="B73" s="566"/>
      <c r="C73" s="3" t="s">
        <v>14</v>
      </c>
      <c r="D73" s="231" t="s">
        <v>45</v>
      </c>
      <c r="E73" s="337">
        <v>83.45705000000001</v>
      </c>
      <c r="F73" s="302">
        <f>('PRECIO REFERENCIA JULIO 2022'!E78)</f>
        <v>90.878900000000002</v>
      </c>
      <c r="G73" s="325">
        <f t="shared" si="1"/>
        <v>8.8930174263288614E-2</v>
      </c>
    </row>
    <row r="74" spans="2:7" x14ac:dyDescent="0.25">
      <c r="B74" s="540"/>
      <c r="C74" s="524"/>
      <c r="D74" s="541"/>
      <c r="E74" s="391"/>
      <c r="F74" s="392"/>
      <c r="G74" s="393"/>
    </row>
    <row r="75" spans="2:7" x14ac:dyDescent="0.25">
      <c r="B75" s="324">
        <v>321200161</v>
      </c>
      <c r="C75" s="321" t="s">
        <v>105</v>
      </c>
      <c r="D75" s="234" t="s">
        <v>62</v>
      </c>
      <c r="E75" s="339">
        <v>0</v>
      </c>
      <c r="F75" s="290"/>
      <c r="G75" s="327"/>
    </row>
    <row r="76" spans="2:7" x14ac:dyDescent="0.25">
      <c r="B76" s="324">
        <v>321200172</v>
      </c>
      <c r="C76" s="321" t="s">
        <v>106</v>
      </c>
      <c r="D76" s="234" t="s">
        <v>62</v>
      </c>
      <c r="E76" s="339">
        <v>0</v>
      </c>
      <c r="F76" s="290"/>
      <c r="G76" s="327"/>
    </row>
    <row r="77" spans="2:7" x14ac:dyDescent="0.25">
      <c r="B77" s="540"/>
      <c r="C77" s="524"/>
      <c r="D77" s="541"/>
      <c r="E77" s="391"/>
      <c r="F77" s="392"/>
      <c r="G77" s="393"/>
    </row>
    <row r="78" spans="2:7" x14ac:dyDescent="0.25">
      <c r="B78" s="324">
        <v>321200192</v>
      </c>
      <c r="C78" s="12" t="s">
        <v>107</v>
      </c>
      <c r="D78" s="232" t="s">
        <v>45</v>
      </c>
      <c r="E78" s="340">
        <v>950</v>
      </c>
      <c r="F78" s="303">
        <f>('PRECIO REFERENCIA JULIO 2022'!E83)</f>
        <v>950</v>
      </c>
      <c r="G78" s="328">
        <f t="shared" si="1"/>
        <v>0</v>
      </c>
    </row>
    <row r="79" spans="2:7" x14ac:dyDescent="0.25">
      <c r="B79" s="540" t="s">
        <v>258</v>
      </c>
      <c r="C79" s="524"/>
      <c r="D79" s="541"/>
      <c r="E79" s="391"/>
      <c r="F79" s="392"/>
      <c r="G79" s="393"/>
    </row>
    <row r="80" spans="2:7" x14ac:dyDescent="0.25">
      <c r="B80" s="566">
        <v>32020003</v>
      </c>
      <c r="C80" s="3" t="s">
        <v>55</v>
      </c>
      <c r="D80" s="231" t="s">
        <v>54</v>
      </c>
      <c r="E80" s="337">
        <v>2161.875</v>
      </c>
      <c r="F80" s="302">
        <f>('PRECIO REFERENCIA JULIO 2022'!E85)</f>
        <v>2623.44</v>
      </c>
      <c r="G80" s="325">
        <f t="shared" si="1"/>
        <v>0.21350216825672161</v>
      </c>
    </row>
    <row r="81" spans="2:7" x14ac:dyDescent="0.25">
      <c r="B81" s="566"/>
      <c r="C81" s="3" t="s">
        <v>9</v>
      </c>
      <c r="D81" s="231" t="s">
        <v>56</v>
      </c>
      <c r="E81" s="337">
        <v>7.96875</v>
      </c>
      <c r="F81" s="302">
        <f>('PRECIO REFERENCIA JULIO 2022'!E86)</f>
        <v>13.75</v>
      </c>
      <c r="G81" s="325">
        <f t="shared" si="1"/>
        <v>0.72549019607843135</v>
      </c>
    </row>
    <row r="82" spans="2:7" x14ac:dyDescent="0.25">
      <c r="B82" s="324">
        <v>320200024</v>
      </c>
      <c r="C82" s="321" t="s">
        <v>53</v>
      </c>
      <c r="D82" s="234" t="s">
        <v>54</v>
      </c>
      <c r="E82" s="342"/>
      <c r="F82" s="302"/>
      <c r="G82" s="325"/>
    </row>
    <row r="83" spans="2:7" x14ac:dyDescent="0.25">
      <c r="B83" s="540"/>
      <c r="C83" s="524"/>
      <c r="D83" s="541"/>
      <c r="E83" s="391"/>
      <c r="F83" s="392"/>
      <c r="G83" s="393"/>
    </row>
    <row r="84" spans="2:7" x14ac:dyDescent="0.25">
      <c r="B84" s="320">
        <v>320500026</v>
      </c>
      <c r="C84" s="3" t="s">
        <v>19</v>
      </c>
      <c r="D84" s="231" t="s">
        <v>65</v>
      </c>
      <c r="E84" s="337">
        <v>234</v>
      </c>
      <c r="F84" s="302">
        <f>('PRECIO REFERENCIA JULIO 2022'!E89)</f>
        <v>254</v>
      </c>
      <c r="G84" s="325">
        <f t="shared" si="1"/>
        <v>8.5470085470085472E-2</v>
      </c>
    </row>
    <row r="85" spans="2:7" x14ac:dyDescent="0.25">
      <c r="B85" s="540" t="s">
        <v>280</v>
      </c>
      <c r="C85" s="524"/>
      <c r="D85" s="541"/>
      <c r="E85" s="391"/>
      <c r="F85" s="392"/>
      <c r="G85" s="393"/>
    </row>
    <row r="86" spans="2:7" x14ac:dyDescent="0.25">
      <c r="B86" s="237">
        <v>320100112</v>
      </c>
      <c r="C86" s="5" t="s">
        <v>268</v>
      </c>
      <c r="D86" s="238" t="s">
        <v>49</v>
      </c>
      <c r="E86" s="337">
        <v>1534.375</v>
      </c>
      <c r="F86" s="302">
        <f>('PRECIO REFERENCIA JULIO 2022'!E91)</f>
        <v>1673.83</v>
      </c>
      <c r="G86" s="325">
        <f t="shared" si="1"/>
        <v>9.0887169042769805E-2</v>
      </c>
    </row>
    <row r="87" spans="2:7" x14ac:dyDescent="0.25">
      <c r="B87" s="237">
        <v>320100123</v>
      </c>
      <c r="C87" s="5" t="s">
        <v>269</v>
      </c>
      <c r="D87" s="238" t="s">
        <v>50</v>
      </c>
      <c r="E87" s="337">
        <v>64.843800000000002</v>
      </c>
      <c r="F87" s="302">
        <f>('PRECIO REFERENCIA JULIO 2022'!E92)</f>
        <v>77.343800000000002</v>
      </c>
      <c r="G87" s="325">
        <f t="shared" si="1"/>
        <v>0.19277093569470019</v>
      </c>
    </row>
    <row r="88" spans="2:7" x14ac:dyDescent="0.25">
      <c r="B88" s="237">
        <v>3201001710</v>
      </c>
      <c r="C88" s="5" t="s">
        <v>270</v>
      </c>
      <c r="D88" s="238" t="s">
        <v>49</v>
      </c>
      <c r="E88" s="337">
        <v>1650</v>
      </c>
      <c r="F88" s="302">
        <f>('PRECIO REFERENCIA JULIO 2022'!E93)</f>
        <v>1650</v>
      </c>
      <c r="G88" s="328">
        <f t="shared" si="1"/>
        <v>0</v>
      </c>
    </row>
    <row r="89" spans="2:7" x14ac:dyDescent="0.25">
      <c r="B89" s="540" t="s">
        <v>252</v>
      </c>
      <c r="C89" s="524"/>
      <c r="D89" s="541"/>
      <c r="E89" s="391"/>
      <c r="F89" s="392"/>
      <c r="G89" s="393"/>
    </row>
    <row r="90" spans="2:7" x14ac:dyDescent="0.25">
      <c r="B90" s="566">
        <v>32070006</v>
      </c>
      <c r="C90" s="7" t="s">
        <v>75</v>
      </c>
      <c r="D90" s="239" t="s">
        <v>62</v>
      </c>
      <c r="E90" s="337">
        <v>40</v>
      </c>
      <c r="F90" s="306">
        <f>('PRECIO REFERENCIA JULIO 2022'!E95)</f>
        <v>65</v>
      </c>
      <c r="G90" s="325">
        <f>(F90-E90)/E90</f>
        <v>0.625</v>
      </c>
    </row>
    <row r="91" spans="2:7" x14ac:dyDescent="0.25">
      <c r="B91" s="566"/>
      <c r="C91" s="3" t="s">
        <v>74</v>
      </c>
      <c r="D91" s="231" t="s">
        <v>45</v>
      </c>
      <c r="E91" s="340">
        <v>74.812600000000003</v>
      </c>
      <c r="F91" s="300">
        <f>('PRECIO REFERENCIA JULIO 2022'!E96)</f>
        <v>74.812600000000003</v>
      </c>
      <c r="G91" s="328">
        <f t="shared" si="1"/>
        <v>0</v>
      </c>
    </row>
    <row r="92" spans="2:7" x14ac:dyDescent="0.25">
      <c r="B92" s="566"/>
      <c r="C92" s="3" t="s">
        <v>73</v>
      </c>
      <c r="D92" s="231" t="s">
        <v>45</v>
      </c>
      <c r="E92" s="337">
        <v>350</v>
      </c>
      <c r="F92" s="306">
        <f>('PRECIO REFERENCIA JULIO 2022'!E97)</f>
        <v>444.53129999999999</v>
      </c>
      <c r="G92" s="325">
        <f t="shared" si="1"/>
        <v>0.27008942857142854</v>
      </c>
    </row>
    <row r="93" spans="2:7" x14ac:dyDescent="0.25">
      <c r="B93" s="566"/>
      <c r="C93" s="3" t="s">
        <v>72</v>
      </c>
      <c r="D93" s="231" t="s">
        <v>62</v>
      </c>
      <c r="E93" s="338">
        <v>80</v>
      </c>
      <c r="F93" s="306">
        <f>('PRECIO REFERENCIA JULIO 2022'!E98)</f>
        <v>80</v>
      </c>
      <c r="G93" s="328">
        <f t="shared" si="1"/>
        <v>0</v>
      </c>
    </row>
    <row r="94" spans="2:7" x14ac:dyDescent="0.25">
      <c r="B94" s="566"/>
      <c r="C94" s="321" t="s">
        <v>71</v>
      </c>
      <c r="D94" s="234" t="s">
        <v>45</v>
      </c>
      <c r="E94" s="339">
        <v>0</v>
      </c>
      <c r="F94" s="290">
        <f>('PRECIO REFERENCIA JULIO 2022'!E99)</f>
        <v>0</v>
      </c>
      <c r="G94" s="327"/>
    </row>
    <row r="95" spans="2:7" x14ac:dyDescent="0.25">
      <c r="B95" s="240"/>
      <c r="C95" s="51"/>
      <c r="D95" s="241"/>
      <c r="E95" s="391"/>
      <c r="F95" s="392"/>
      <c r="G95" s="393"/>
    </row>
    <row r="96" spans="2:7" x14ac:dyDescent="0.25">
      <c r="B96" s="322">
        <v>321600081</v>
      </c>
      <c r="C96" s="7" t="s">
        <v>120</v>
      </c>
      <c r="D96" s="239" t="s">
        <v>45</v>
      </c>
      <c r="E96" s="337">
        <v>1570.5</v>
      </c>
      <c r="F96" s="302">
        <f>('PRECIO REFERENCIA JULIO 2022'!E101)</f>
        <v>1772.5</v>
      </c>
      <c r="G96" s="325">
        <f t="shared" si="1"/>
        <v>0.12862145813435211</v>
      </c>
    </row>
    <row r="97" spans="2:7" x14ac:dyDescent="0.25">
      <c r="B97" s="540" t="s">
        <v>257</v>
      </c>
      <c r="C97" s="524"/>
      <c r="D97" s="541"/>
      <c r="E97" s="391"/>
      <c r="F97" s="392"/>
      <c r="G97" s="393"/>
    </row>
    <row r="98" spans="2:7" x14ac:dyDescent="0.25">
      <c r="B98" s="326">
        <v>32030001</v>
      </c>
      <c r="C98" s="3" t="s">
        <v>10</v>
      </c>
      <c r="D98" s="231" t="s">
        <v>45</v>
      </c>
      <c r="E98" s="337">
        <v>8.8949999999999996</v>
      </c>
      <c r="F98" s="302">
        <f>('PRECIO REFERENCIA JULIO 2022'!E103)</f>
        <v>13.469999999999999</v>
      </c>
      <c r="G98" s="325">
        <f t="shared" si="1"/>
        <v>0.51433389544688024</v>
      </c>
    </row>
    <row r="99" spans="2:7" x14ac:dyDescent="0.25">
      <c r="B99" s="594"/>
      <c r="C99" s="531"/>
      <c r="D99" s="596"/>
      <c r="E99" s="391"/>
      <c r="F99" s="392"/>
      <c r="G99" s="393"/>
    </row>
    <row r="100" spans="2:7" x14ac:dyDescent="0.25">
      <c r="B100" s="324">
        <v>321500154</v>
      </c>
      <c r="C100" s="321" t="s">
        <v>302</v>
      </c>
      <c r="D100" s="234" t="s">
        <v>62</v>
      </c>
      <c r="E100" s="339">
        <v>0</v>
      </c>
      <c r="F100" s="290">
        <f>('PRECIO REFERENCIA JULIO 2022'!E105)</f>
        <v>0</v>
      </c>
      <c r="G100" s="327"/>
    </row>
    <row r="101" spans="2:7" x14ac:dyDescent="0.25">
      <c r="B101" s="540" t="s">
        <v>281</v>
      </c>
      <c r="C101" s="524"/>
      <c r="D101" s="541"/>
      <c r="E101" s="391"/>
      <c r="F101" s="392"/>
      <c r="G101" s="393"/>
    </row>
    <row r="102" spans="2:7" x14ac:dyDescent="0.25">
      <c r="B102" s="559">
        <v>32070007</v>
      </c>
      <c r="C102" s="1" t="s">
        <v>77</v>
      </c>
      <c r="D102" s="228" t="s">
        <v>45</v>
      </c>
      <c r="E102" s="337">
        <v>8.9140666666666668</v>
      </c>
      <c r="F102" s="302">
        <f>('PRECIO REFERENCIA JULIO 2022'!E107)</f>
        <v>9.0807333333333329</v>
      </c>
      <c r="G102" s="325">
        <f t="shared" si="1"/>
        <v>1.8697040632408634E-2</v>
      </c>
    </row>
    <row r="103" spans="2:7" x14ac:dyDescent="0.25">
      <c r="B103" s="559"/>
      <c r="C103" s="1" t="s">
        <v>78</v>
      </c>
      <c r="D103" s="228" t="s">
        <v>45</v>
      </c>
      <c r="E103" s="337">
        <v>12.66405</v>
      </c>
      <c r="F103" s="302">
        <f>('PRECIO REFERENCIA JULIO 2022'!E108)</f>
        <v>12.66405</v>
      </c>
      <c r="G103" s="328">
        <f t="shared" si="1"/>
        <v>0</v>
      </c>
    </row>
    <row r="104" spans="2:7" x14ac:dyDescent="0.25">
      <c r="B104" s="559"/>
      <c r="C104" s="1" t="s">
        <v>79</v>
      </c>
      <c r="D104" s="228" t="s">
        <v>45</v>
      </c>
      <c r="E104" s="337">
        <v>26.015599999999999</v>
      </c>
      <c r="F104" s="302">
        <f>('PRECIO REFERENCIA JULIO 2022'!E109)</f>
        <v>26.015599999999999</v>
      </c>
      <c r="G104" s="328">
        <f t="shared" si="1"/>
        <v>0</v>
      </c>
    </row>
    <row r="105" spans="2:7" x14ac:dyDescent="0.25">
      <c r="B105" s="559"/>
      <c r="C105" s="6" t="s">
        <v>80</v>
      </c>
      <c r="D105" s="243" t="s">
        <v>45</v>
      </c>
      <c r="E105" s="337">
        <v>60</v>
      </c>
      <c r="F105" s="302">
        <f>('PRECIO REFERENCIA JULIO 2022'!E110)</f>
        <v>60</v>
      </c>
      <c r="G105" s="328">
        <f t="shared" si="1"/>
        <v>0</v>
      </c>
    </row>
    <row r="106" spans="2:7" x14ac:dyDescent="0.25">
      <c r="B106" s="559"/>
      <c r="C106" s="1" t="s">
        <v>76</v>
      </c>
      <c r="D106" s="228" t="s">
        <v>45</v>
      </c>
      <c r="E106" s="337">
        <v>4.9531000000000001</v>
      </c>
      <c r="F106" s="302">
        <f>('PRECIO REFERENCIA JULIO 2022'!E111)</f>
        <v>4.9531000000000001</v>
      </c>
      <c r="G106" s="328">
        <f t="shared" si="1"/>
        <v>0</v>
      </c>
    </row>
    <row r="107" spans="2:7" x14ac:dyDescent="0.25">
      <c r="B107" s="540"/>
      <c r="C107" s="524"/>
      <c r="D107" s="541"/>
      <c r="E107" s="391"/>
      <c r="F107" s="392"/>
      <c r="G107" s="393"/>
    </row>
    <row r="108" spans="2:7" x14ac:dyDescent="0.25">
      <c r="B108" s="320">
        <v>321100011</v>
      </c>
      <c r="C108" s="3" t="s">
        <v>25</v>
      </c>
      <c r="D108" s="231" t="s">
        <v>45</v>
      </c>
      <c r="E108" s="337">
        <v>30.781300000000002</v>
      </c>
      <c r="F108" s="302">
        <f>('PRECIO REFERENCIA JULIO 2022'!E113)</f>
        <v>34.281300000000002</v>
      </c>
      <c r="G108" s="325">
        <f t="shared" si="1"/>
        <v>0.1137053990572198</v>
      </c>
    </row>
    <row r="109" spans="2:7" x14ac:dyDescent="0.25">
      <c r="B109" s="540" t="s">
        <v>300</v>
      </c>
      <c r="C109" s="524"/>
      <c r="D109" s="541"/>
      <c r="E109" s="391"/>
      <c r="F109" s="392"/>
      <c r="G109" s="393"/>
    </row>
    <row r="110" spans="2:7" x14ac:dyDescent="0.25">
      <c r="B110" s="636">
        <v>32090019</v>
      </c>
      <c r="C110" s="14" t="s">
        <v>92</v>
      </c>
      <c r="D110" s="244" t="s">
        <v>62</v>
      </c>
      <c r="E110" s="337">
        <v>637.32999999999993</v>
      </c>
      <c r="F110" s="302">
        <f>('PRECIO REFERENCIA JULIO 2022'!E115)</f>
        <v>657.32999999999993</v>
      </c>
      <c r="G110" s="325">
        <f t="shared" si="1"/>
        <v>3.138091726421164E-2</v>
      </c>
    </row>
    <row r="111" spans="2:7" x14ac:dyDescent="0.25">
      <c r="B111" s="636"/>
      <c r="C111" s="14" t="s">
        <v>90</v>
      </c>
      <c r="D111" s="244" t="s">
        <v>62</v>
      </c>
      <c r="E111" s="337">
        <v>637.32999999999993</v>
      </c>
      <c r="F111" s="302">
        <f>('PRECIO REFERENCIA JULIO 2022'!E116)</f>
        <v>657.32999999999993</v>
      </c>
      <c r="G111" s="325">
        <f t="shared" si="1"/>
        <v>3.138091726421164E-2</v>
      </c>
    </row>
    <row r="112" spans="2:7" x14ac:dyDescent="0.25">
      <c r="B112" s="636"/>
      <c r="C112" s="14" t="s">
        <v>91</v>
      </c>
      <c r="D112" s="244" t="s">
        <v>62</v>
      </c>
      <c r="E112" s="337">
        <v>637.32999999999993</v>
      </c>
      <c r="F112" s="302">
        <f>('PRECIO REFERENCIA JULIO 2022'!E117)</f>
        <v>657.32999999999993</v>
      </c>
      <c r="G112" s="325">
        <f t="shared" si="1"/>
        <v>3.138091726421164E-2</v>
      </c>
    </row>
    <row r="113" spans="2:7" x14ac:dyDescent="0.25">
      <c r="B113" s="637">
        <v>32120004</v>
      </c>
      <c r="C113" s="14" t="s">
        <v>28</v>
      </c>
      <c r="D113" s="244" t="s">
        <v>45</v>
      </c>
      <c r="E113" s="337">
        <v>105.625</v>
      </c>
      <c r="F113" s="302">
        <f>('PRECIO REFERENCIA JULIO 2022'!E118)</f>
        <v>175.58439999999999</v>
      </c>
      <c r="G113" s="328">
        <f t="shared" si="1"/>
        <v>0.66233751479289926</v>
      </c>
    </row>
    <row r="114" spans="2:7" x14ac:dyDescent="0.25">
      <c r="B114" s="637"/>
      <c r="C114" s="7" t="s">
        <v>98</v>
      </c>
      <c r="D114" s="239" t="s">
        <v>45</v>
      </c>
      <c r="E114" s="337">
        <v>66.796899999999994</v>
      </c>
      <c r="F114" s="302">
        <f>('PRECIO REFERENCIA JULIO 2022'!E119)</f>
        <v>111.039</v>
      </c>
      <c r="G114" s="328">
        <f t="shared" si="1"/>
        <v>0.66233762345258551</v>
      </c>
    </row>
    <row r="115" spans="2:7" x14ac:dyDescent="0.25">
      <c r="B115" s="638">
        <v>32120005</v>
      </c>
      <c r="C115" s="4" t="s">
        <v>102</v>
      </c>
      <c r="D115" s="233" t="s">
        <v>45</v>
      </c>
      <c r="E115" s="340">
        <v>280</v>
      </c>
      <c r="F115" s="306">
        <f>('PRECIO REFERENCIA JULIO 2022'!E120)</f>
        <v>280</v>
      </c>
      <c r="G115" s="328">
        <f>(F115-E115)/E115</f>
        <v>0</v>
      </c>
    </row>
    <row r="116" spans="2:7" x14ac:dyDescent="0.25">
      <c r="B116" s="638"/>
      <c r="C116" s="78" t="s">
        <v>99</v>
      </c>
      <c r="D116" s="233" t="s">
        <v>100</v>
      </c>
      <c r="E116" s="337">
        <v>270</v>
      </c>
      <c r="F116" s="302">
        <f>('PRECIO REFERENCIA JULIO 2022'!E121)</f>
        <v>270</v>
      </c>
      <c r="G116" s="328">
        <f t="shared" si="1"/>
        <v>0</v>
      </c>
    </row>
    <row r="117" spans="2:7" x14ac:dyDescent="0.25">
      <c r="B117" s="638"/>
      <c r="C117" s="4" t="s">
        <v>101</v>
      </c>
      <c r="D117" s="233" t="s">
        <v>100</v>
      </c>
      <c r="E117" s="337">
        <v>270</v>
      </c>
      <c r="F117" s="302">
        <f>('PRECIO REFERENCIA JULIO 2022'!E122)</f>
        <v>270</v>
      </c>
      <c r="G117" s="328">
        <f t="shared" si="1"/>
        <v>0</v>
      </c>
    </row>
    <row r="118" spans="2:7" x14ac:dyDescent="0.25">
      <c r="B118" s="638"/>
      <c r="C118" s="4" t="s">
        <v>26</v>
      </c>
      <c r="D118" s="233" t="s">
        <v>45</v>
      </c>
      <c r="E118" s="340">
        <v>280</v>
      </c>
      <c r="F118" s="306">
        <f>('PRECIO REFERENCIA JULIO 2022'!E123)</f>
        <v>280</v>
      </c>
      <c r="G118" s="328">
        <f t="shared" si="1"/>
        <v>0</v>
      </c>
    </row>
    <row r="119" spans="2:7" x14ac:dyDescent="0.25">
      <c r="B119" s="540" t="s">
        <v>253</v>
      </c>
      <c r="C119" s="524"/>
      <c r="D119" s="541"/>
      <c r="E119" s="391"/>
      <c r="F119" s="392"/>
      <c r="G119" s="393"/>
    </row>
    <row r="120" spans="2:7" x14ac:dyDescent="0.25">
      <c r="B120" s="324">
        <v>32120011</v>
      </c>
      <c r="C120" s="321" t="s">
        <v>282</v>
      </c>
      <c r="D120" s="234" t="s">
        <v>45</v>
      </c>
      <c r="E120" s="339">
        <v>0</v>
      </c>
      <c r="F120" s="290">
        <f>('PRECIO REFERENCIA JULIO 2022'!E125)</f>
        <v>0</v>
      </c>
      <c r="G120" s="327"/>
    </row>
    <row r="121" spans="2:7" x14ac:dyDescent="0.25">
      <c r="B121" s="540" t="s">
        <v>256</v>
      </c>
      <c r="C121" s="524"/>
      <c r="D121" s="541"/>
      <c r="E121" s="391"/>
      <c r="F121" s="392"/>
      <c r="G121" s="393"/>
    </row>
    <row r="122" spans="2:7" x14ac:dyDescent="0.25">
      <c r="B122" s="566">
        <v>32080004</v>
      </c>
      <c r="C122" s="3" t="s">
        <v>82</v>
      </c>
      <c r="D122" s="231" t="s">
        <v>45</v>
      </c>
      <c r="E122" s="337">
        <v>190</v>
      </c>
      <c r="F122" s="302">
        <f>('PRECIO REFERENCIA JULIO 2022'!E127)</f>
        <v>202</v>
      </c>
      <c r="G122" s="325">
        <f t="shared" si="1"/>
        <v>6.3157894736842107E-2</v>
      </c>
    </row>
    <row r="123" spans="2:7" x14ac:dyDescent="0.25">
      <c r="B123" s="566"/>
      <c r="C123" s="3" t="s">
        <v>83</v>
      </c>
      <c r="D123" s="231" t="s">
        <v>45</v>
      </c>
      <c r="E123" s="337">
        <v>223</v>
      </c>
      <c r="F123" s="302">
        <f>('PRECIO REFERENCIA JULIO 2022'!E128)</f>
        <v>238</v>
      </c>
      <c r="G123" s="325">
        <f t="shared" si="1"/>
        <v>6.726457399103139E-2</v>
      </c>
    </row>
    <row r="124" spans="2:7" x14ac:dyDescent="0.25">
      <c r="B124" s="566"/>
      <c r="C124" s="3" t="s">
        <v>8</v>
      </c>
      <c r="D124" s="231" t="s">
        <v>45</v>
      </c>
      <c r="E124" s="337">
        <v>190</v>
      </c>
      <c r="F124" s="302">
        <f>('PRECIO REFERENCIA JULIO 2022'!E129)</f>
        <v>202</v>
      </c>
      <c r="G124" s="325">
        <f t="shared" si="1"/>
        <v>6.3157894736842107E-2</v>
      </c>
    </row>
    <row r="125" spans="2:7" x14ac:dyDescent="0.25">
      <c r="B125" s="324">
        <v>320800057</v>
      </c>
      <c r="C125" s="12" t="s">
        <v>272</v>
      </c>
      <c r="D125" s="232" t="s">
        <v>45</v>
      </c>
      <c r="E125" s="337">
        <v>503</v>
      </c>
      <c r="F125" s="302">
        <f>('PRECIO REFERENCIA JULIO 2022'!E130)</f>
        <v>503</v>
      </c>
      <c r="G125" s="328">
        <f t="shared" si="1"/>
        <v>0</v>
      </c>
    </row>
    <row r="126" spans="2:7" x14ac:dyDescent="0.25">
      <c r="B126" s="540"/>
      <c r="C126" s="524"/>
      <c r="D126" s="541"/>
      <c r="E126" s="391"/>
      <c r="F126" s="392"/>
      <c r="G126" s="393"/>
    </row>
    <row r="127" spans="2:7" x14ac:dyDescent="0.25">
      <c r="B127" s="320">
        <v>320900102</v>
      </c>
      <c r="C127" s="3" t="s">
        <v>87</v>
      </c>
      <c r="D127" s="231" t="s">
        <v>62</v>
      </c>
      <c r="E127" s="337">
        <v>276</v>
      </c>
      <c r="F127" s="302">
        <f>('PRECIO REFERENCIA JULIO 2022'!E132)</f>
        <v>304</v>
      </c>
      <c r="G127" s="325">
        <f t="shared" si="1"/>
        <v>0.10144927536231885</v>
      </c>
    </row>
    <row r="128" spans="2:7" x14ac:dyDescent="0.25">
      <c r="B128" s="540" t="s">
        <v>283</v>
      </c>
      <c r="C128" s="524"/>
      <c r="D128" s="541"/>
      <c r="E128" s="391"/>
      <c r="F128" s="392"/>
      <c r="G128" s="393"/>
    </row>
    <row r="129" spans="2:7" x14ac:dyDescent="0.25">
      <c r="B129" s="320">
        <v>320900135</v>
      </c>
      <c r="C129" s="3" t="s">
        <v>89</v>
      </c>
      <c r="D129" s="231" t="s">
        <v>45</v>
      </c>
      <c r="E129" s="337">
        <v>57.617249999999999</v>
      </c>
      <c r="F129" s="302">
        <f>('PRECIO REFERENCIA JULIO 2022'!E134)</f>
        <v>57.617249999999999</v>
      </c>
      <c r="G129" s="328">
        <f t="shared" si="1"/>
        <v>0</v>
      </c>
    </row>
    <row r="130" spans="2:7" x14ac:dyDescent="0.25">
      <c r="B130" s="320">
        <v>320900131</v>
      </c>
      <c r="C130" s="3" t="s">
        <v>88</v>
      </c>
      <c r="D130" s="231" t="s">
        <v>45</v>
      </c>
      <c r="E130" s="337">
        <v>97.65625</v>
      </c>
      <c r="F130" s="302">
        <f>('PRECIO REFERENCIA JULIO 2022'!E135)</f>
        <v>97.65625</v>
      </c>
      <c r="G130" s="328">
        <f t="shared" si="1"/>
        <v>0</v>
      </c>
    </row>
    <row r="131" spans="2:7" x14ac:dyDescent="0.25">
      <c r="B131" s="540"/>
      <c r="C131" s="524"/>
      <c r="D131" s="541"/>
      <c r="E131" s="391"/>
      <c r="F131" s="392"/>
      <c r="G131" s="393"/>
    </row>
    <row r="132" spans="2:7" x14ac:dyDescent="0.25">
      <c r="B132" s="320">
        <v>320900212</v>
      </c>
      <c r="C132" s="3" t="s">
        <v>24</v>
      </c>
      <c r="D132" s="231" t="s">
        <v>62</v>
      </c>
      <c r="E132" s="337">
        <v>380</v>
      </c>
      <c r="F132" s="302">
        <f>('PRECIO REFERENCIA JULIO 2022'!E137)</f>
        <v>550</v>
      </c>
      <c r="G132" s="409">
        <f>(F132-E132)/E132</f>
        <v>0.44736842105263158</v>
      </c>
    </row>
    <row r="133" spans="2:7" x14ac:dyDescent="0.25">
      <c r="B133" s="540"/>
      <c r="C133" s="524"/>
      <c r="D133" s="541"/>
      <c r="E133" s="391"/>
      <c r="F133" s="392"/>
      <c r="G133" s="393"/>
    </row>
    <row r="134" spans="2:7" x14ac:dyDescent="0.25">
      <c r="B134" s="320">
        <v>320500044</v>
      </c>
      <c r="C134" s="3" t="s">
        <v>21</v>
      </c>
      <c r="D134" s="231" t="s">
        <v>58</v>
      </c>
      <c r="E134" s="337">
        <v>92.284500000000008</v>
      </c>
      <c r="F134" s="302">
        <f>('PRECIO REFERENCIA JULIO 2022'!E139)</f>
        <v>200</v>
      </c>
      <c r="G134" s="409">
        <f t="shared" si="1"/>
        <v>1.1672111784752583</v>
      </c>
    </row>
    <row r="135" spans="2:7" x14ac:dyDescent="0.25">
      <c r="B135" s="320">
        <v>320500031</v>
      </c>
      <c r="C135" s="3" t="s">
        <v>66</v>
      </c>
      <c r="D135" s="231" t="s">
        <v>58</v>
      </c>
      <c r="E135" s="337">
        <v>3328.5</v>
      </c>
      <c r="F135" s="302">
        <f>('PRECIO REFERENCIA JULIO 2022'!E140)</f>
        <v>3528.5</v>
      </c>
      <c r="G135" s="325">
        <f t="shared" ref="G135:G168" si="2">(F135-E135)/E135</f>
        <v>6.0087126333183118E-2</v>
      </c>
    </row>
    <row r="136" spans="2:7" x14ac:dyDescent="0.25">
      <c r="B136" s="324">
        <v>321500066</v>
      </c>
      <c r="C136" s="4" t="s">
        <v>292</v>
      </c>
      <c r="D136" s="233" t="s">
        <v>117</v>
      </c>
      <c r="E136" s="337">
        <v>12300</v>
      </c>
      <c r="F136" s="302">
        <f>('PRECIO REFERENCIA JULIO 2022'!E141)</f>
        <v>12300</v>
      </c>
      <c r="G136" s="328">
        <f t="shared" si="2"/>
        <v>0</v>
      </c>
    </row>
    <row r="137" spans="2:7" x14ac:dyDescent="0.25">
      <c r="B137" s="540"/>
      <c r="C137" s="524"/>
      <c r="D137" s="541"/>
      <c r="E137" s="391"/>
      <c r="F137" s="392"/>
      <c r="G137" s="393"/>
    </row>
    <row r="138" spans="2:7" x14ac:dyDescent="0.25">
      <c r="B138" s="320">
        <v>321600051</v>
      </c>
      <c r="C138" s="3" t="s">
        <v>33</v>
      </c>
      <c r="D138" s="231" t="s">
        <v>45</v>
      </c>
      <c r="E138" s="337">
        <v>63.666666666666664</v>
      </c>
      <c r="F138" s="302">
        <f>('PRECIO REFERENCIA JULIO 2022'!E143)</f>
        <v>86.233333333333334</v>
      </c>
      <c r="G138" s="325">
        <f t="shared" si="2"/>
        <v>0.3544502617801048</v>
      </c>
    </row>
    <row r="139" spans="2:7" x14ac:dyDescent="0.25">
      <c r="B139" s="320">
        <v>320900041</v>
      </c>
      <c r="C139" s="3" t="s">
        <v>85</v>
      </c>
      <c r="D139" s="231" t="s">
        <v>62</v>
      </c>
      <c r="E139" s="337">
        <v>22.43</v>
      </c>
      <c r="F139" s="302">
        <f>('PRECIO REFERENCIA JULIO 2022'!E144)</f>
        <v>51</v>
      </c>
      <c r="G139" s="325">
        <f t="shared" si="2"/>
        <v>1.2737405260811414</v>
      </c>
    </row>
    <row r="140" spans="2:7" x14ac:dyDescent="0.25">
      <c r="B140" s="540"/>
      <c r="C140" s="524"/>
      <c r="D140" s="541"/>
      <c r="E140" s="391"/>
      <c r="F140" s="392"/>
      <c r="G140" s="393"/>
    </row>
    <row r="141" spans="2:7" x14ac:dyDescent="0.25">
      <c r="B141" s="326">
        <v>321500062</v>
      </c>
      <c r="C141" s="2" t="s">
        <v>271</v>
      </c>
      <c r="D141" s="229" t="s">
        <v>58</v>
      </c>
      <c r="E141" s="337">
        <v>14687.49</v>
      </c>
      <c r="F141" s="302">
        <f>('PRECIO REFERENCIA JULIO 2022'!E146)</f>
        <v>14687.49</v>
      </c>
      <c r="G141" s="328">
        <f t="shared" si="2"/>
        <v>0</v>
      </c>
    </row>
    <row r="142" spans="2:7" x14ac:dyDescent="0.25">
      <c r="B142" s="540" t="s">
        <v>298</v>
      </c>
      <c r="C142" s="524"/>
      <c r="D142" s="541"/>
      <c r="E142" s="391"/>
      <c r="F142" s="392"/>
      <c r="G142" s="393"/>
    </row>
    <row r="143" spans="2:7" x14ac:dyDescent="0.25">
      <c r="B143" s="323">
        <v>3211000211</v>
      </c>
      <c r="C143" s="321" t="s">
        <v>95</v>
      </c>
      <c r="D143" s="234" t="s">
        <v>45</v>
      </c>
      <c r="E143" s="339">
        <v>0</v>
      </c>
      <c r="F143" s="290">
        <f>('PRECIO REFERENCIA JULIO 2022'!E148)</f>
        <v>0</v>
      </c>
      <c r="G143" s="327"/>
    </row>
    <row r="144" spans="2:7" x14ac:dyDescent="0.25">
      <c r="B144" s="323">
        <v>3211000212</v>
      </c>
      <c r="C144" s="321" t="s">
        <v>96</v>
      </c>
      <c r="D144" s="234" t="s">
        <v>62</v>
      </c>
      <c r="E144" s="339">
        <v>0</v>
      </c>
      <c r="F144" s="290">
        <f>('PRECIO REFERENCIA JULIO 2022'!E149)</f>
        <v>0</v>
      </c>
      <c r="G144" s="327"/>
    </row>
    <row r="145" spans="2:7" x14ac:dyDescent="0.25">
      <c r="B145" s="540" t="s">
        <v>254</v>
      </c>
      <c r="C145" s="524"/>
      <c r="D145" s="541"/>
      <c r="E145" s="391"/>
      <c r="F145" s="392"/>
      <c r="G145" s="393"/>
    </row>
    <row r="146" spans="2:7" x14ac:dyDescent="0.25">
      <c r="B146" s="649">
        <v>32130006</v>
      </c>
      <c r="C146" s="12" t="s">
        <v>273</v>
      </c>
      <c r="D146" s="232" t="s">
        <v>62</v>
      </c>
      <c r="E146" s="337">
        <v>46</v>
      </c>
      <c r="F146" s="302">
        <f>('PRECIO REFERENCIA JULIO 2022'!E151)</f>
        <v>51</v>
      </c>
      <c r="G146" s="325">
        <f t="shared" si="2"/>
        <v>0.10869565217391304</v>
      </c>
    </row>
    <row r="147" spans="2:7" x14ac:dyDescent="0.25">
      <c r="B147" s="649"/>
      <c r="C147" s="12" t="s">
        <v>103</v>
      </c>
      <c r="D147" s="232" t="s">
        <v>45</v>
      </c>
      <c r="E147" s="337">
        <v>46</v>
      </c>
      <c r="F147" s="302">
        <f>('PRECIO REFERENCIA JULIO 2022'!E152)</f>
        <v>0</v>
      </c>
      <c r="G147" s="325"/>
    </row>
    <row r="148" spans="2:7" x14ac:dyDescent="0.25">
      <c r="B148" s="545">
        <v>322300033</v>
      </c>
      <c r="C148" s="2" t="s">
        <v>441</v>
      </c>
      <c r="D148" s="229" t="s">
        <v>62</v>
      </c>
      <c r="E148" s="337">
        <v>87</v>
      </c>
      <c r="F148" s="302">
        <f>('PRECIO REFERENCIA JULIO 2022'!E153)</f>
        <v>292.18799999999999</v>
      </c>
      <c r="G148" s="327">
        <f>(F148-E148)/E148</f>
        <v>2.3584827586206893</v>
      </c>
    </row>
    <row r="149" spans="2:7" x14ac:dyDescent="0.25">
      <c r="B149" s="546"/>
      <c r="C149" s="2" t="s">
        <v>442</v>
      </c>
      <c r="D149" s="229" t="s">
        <v>62</v>
      </c>
      <c r="E149" s="337">
        <v>87</v>
      </c>
      <c r="F149" s="302">
        <v>292.18799999999999</v>
      </c>
      <c r="G149" s="327">
        <f t="shared" ref="G149:G152" si="3">(F149-E149)/E149</f>
        <v>2.3584827586206893</v>
      </c>
    </row>
    <row r="150" spans="2:7" x14ac:dyDescent="0.25">
      <c r="B150" s="546"/>
      <c r="C150" s="2" t="s">
        <v>443</v>
      </c>
      <c r="D150" s="229" t="s">
        <v>62</v>
      </c>
      <c r="E150" s="337">
        <v>87</v>
      </c>
      <c r="F150" s="302">
        <v>292.18799999999999</v>
      </c>
      <c r="G150" s="327">
        <f t="shared" si="3"/>
        <v>2.3584827586206893</v>
      </c>
    </row>
    <row r="151" spans="2:7" x14ac:dyDescent="0.25">
      <c r="B151" s="546"/>
      <c r="C151" s="2" t="s">
        <v>444</v>
      </c>
      <c r="D151" s="229" t="s">
        <v>62</v>
      </c>
      <c r="E151" s="337">
        <v>87</v>
      </c>
      <c r="F151" s="302">
        <f>('PRECIO REFERENCIA JULIO 2022'!E156)</f>
        <v>292.18799999999999</v>
      </c>
      <c r="G151" s="327">
        <f t="shared" si="3"/>
        <v>2.3584827586206893</v>
      </c>
    </row>
    <row r="152" spans="2:7" x14ac:dyDescent="0.25">
      <c r="B152" s="547"/>
      <c r="C152" s="2" t="s">
        <v>440</v>
      </c>
      <c r="D152" s="229" t="s">
        <v>62</v>
      </c>
      <c r="E152" s="337">
        <v>87</v>
      </c>
      <c r="F152" s="302">
        <f>('PRECIO REFERENCIA JULIO 2022'!E157)</f>
        <v>388.67199999999997</v>
      </c>
      <c r="G152" s="327">
        <f t="shared" si="3"/>
        <v>3.4674942528735628</v>
      </c>
    </row>
    <row r="153" spans="2:7" x14ac:dyDescent="0.25">
      <c r="B153" s="320">
        <v>322300054</v>
      </c>
      <c r="C153" s="3" t="s">
        <v>121</v>
      </c>
      <c r="D153" s="231" t="s">
        <v>45</v>
      </c>
      <c r="E153" s="337">
        <v>32.5</v>
      </c>
      <c r="F153" s="302">
        <f>('PRECIO REFERENCIA JULIO 2022'!E158)</f>
        <v>37.5</v>
      </c>
      <c r="G153" s="325">
        <f t="shared" si="2"/>
        <v>0.15384615384615385</v>
      </c>
    </row>
    <row r="154" spans="2:7" x14ac:dyDescent="0.25">
      <c r="B154" s="540" t="s">
        <v>388</v>
      </c>
      <c r="C154" s="524"/>
      <c r="D154" s="541"/>
      <c r="E154" s="391"/>
      <c r="F154" s="392"/>
      <c r="G154" s="393"/>
    </row>
    <row r="155" spans="2:7" x14ac:dyDescent="0.25">
      <c r="B155" s="566">
        <v>32020006</v>
      </c>
      <c r="C155" s="3" t="s">
        <v>395</v>
      </c>
      <c r="D155" s="231" t="s">
        <v>58</v>
      </c>
      <c r="E155" s="337">
        <v>183.33</v>
      </c>
      <c r="F155" s="300">
        <f>('PRECIO REFERENCIA JULIO 2022'!E160)</f>
        <v>275</v>
      </c>
      <c r="G155" s="325">
        <f t="shared" si="2"/>
        <v>0.50002727322314944</v>
      </c>
    </row>
    <row r="156" spans="2:7" x14ac:dyDescent="0.25">
      <c r="B156" s="566"/>
      <c r="C156" s="3" t="s">
        <v>2</v>
      </c>
      <c r="D156" s="231" t="s">
        <v>58</v>
      </c>
      <c r="E156" s="337">
        <v>170</v>
      </c>
      <c r="F156" s="300">
        <f>('PRECIO REFERENCIA JULIO 2022'!E161)</f>
        <v>186</v>
      </c>
      <c r="G156" s="325">
        <f t="shared" si="2"/>
        <v>9.4117647058823528E-2</v>
      </c>
    </row>
    <row r="157" spans="2:7" x14ac:dyDescent="0.25">
      <c r="B157" s="566"/>
      <c r="C157" s="3" t="s">
        <v>60</v>
      </c>
      <c r="D157" s="231" t="s">
        <v>58</v>
      </c>
      <c r="E157" s="337">
        <v>100.25</v>
      </c>
      <c r="F157" s="300">
        <f>('PRECIO REFERENCIA JULIO 2022'!E162)</f>
        <v>273</v>
      </c>
      <c r="G157" s="409">
        <f t="shared" si="2"/>
        <v>1.7231920199501247</v>
      </c>
    </row>
    <row r="158" spans="2:7" x14ac:dyDescent="0.25">
      <c r="B158" s="684"/>
      <c r="C158" s="536"/>
      <c r="D158" s="685"/>
      <c r="E158" s="391"/>
      <c r="F158" s="392"/>
      <c r="G158" s="393"/>
    </row>
    <row r="159" spans="2:7" x14ac:dyDescent="0.25">
      <c r="B159" s="320">
        <v>320900052</v>
      </c>
      <c r="C159" s="3" t="s">
        <v>86</v>
      </c>
      <c r="D159" s="231" t="s">
        <v>45</v>
      </c>
      <c r="E159" s="337">
        <v>773.5</v>
      </c>
      <c r="F159" s="302">
        <f>('PRECIO REFERENCIA JULIO 2022'!E164)</f>
        <v>1691.5</v>
      </c>
      <c r="G159" s="327">
        <f t="shared" si="2"/>
        <v>1.1868131868131868</v>
      </c>
    </row>
    <row r="160" spans="2:7" x14ac:dyDescent="0.25">
      <c r="B160" s="540"/>
      <c r="C160" s="524"/>
      <c r="D160" s="541"/>
      <c r="E160" s="391"/>
      <c r="F160" s="392"/>
      <c r="G160" s="393"/>
    </row>
    <row r="161" spans="2:7" x14ac:dyDescent="0.25">
      <c r="B161" s="319">
        <v>3212000815</v>
      </c>
      <c r="C161" s="1" t="s">
        <v>104</v>
      </c>
      <c r="D161" s="228" t="s">
        <v>45</v>
      </c>
      <c r="E161" s="337">
        <v>1015.63</v>
      </c>
      <c r="F161" s="302">
        <f>('PRECIO REFERENCIA JULIO 2022'!E166)</f>
        <v>1015.63</v>
      </c>
      <c r="G161" s="328">
        <f t="shared" si="2"/>
        <v>0</v>
      </c>
    </row>
    <row r="162" spans="2:7" x14ac:dyDescent="0.25">
      <c r="B162" s="323">
        <v>321200332</v>
      </c>
      <c r="C162" s="321" t="s">
        <v>293</v>
      </c>
      <c r="D162" s="234"/>
      <c r="E162" s="339">
        <v>0</v>
      </c>
      <c r="F162" s="290">
        <f>('PRECIO REFERENCIA JULIO 2022'!E167)</f>
        <v>0</v>
      </c>
      <c r="G162" s="327"/>
    </row>
    <row r="163" spans="2:7" x14ac:dyDescent="0.25">
      <c r="B163" s="540" t="s">
        <v>255</v>
      </c>
      <c r="C163" s="524"/>
      <c r="D163" s="541"/>
      <c r="E163" s="391"/>
      <c r="F163" s="392"/>
      <c r="G163" s="393"/>
    </row>
    <row r="164" spans="2:7" x14ac:dyDescent="0.25">
      <c r="B164" s="566">
        <v>32060005</v>
      </c>
      <c r="C164" s="289" t="s">
        <v>69</v>
      </c>
      <c r="D164" s="305" t="s">
        <v>68</v>
      </c>
      <c r="E164" s="338">
        <v>272.5</v>
      </c>
      <c r="F164" s="306">
        <f>('PRECIO REFERENCIA JULIO 2022'!E169)</f>
        <v>342.5</v>
      </c>
      <c r="G164" s="325">
        <f t="shared" si="2"/>
        <v>0.25688073394495414</v>
      </c>
    </row>
    <row r="165" spans="2:7" x14ac:dyDescent="0.25">
      <c r="B165" s="566"/>
      <c r="C165" s="289" t="s">
        <v>23</v>
      </c>
      <c r="D165" s="305" t="s">
        <v>68</v>
      </c>
      <c r="E165" s="338">
        <v>376.5</v>
      </c>
      <c r="F165" s="306">
        <f>('PRECIO REFERENCIA JULIO 2022'!E170)</f>
        <v>464</v>
      </c>
      <c r="G165" s="325">
        <f t="shared" si="2"/>
        <v>0.23240371845949534</v>
      </c>
    </row>
    <row r="166" spans="2:7" x14ac:dyDescent="0.25">
      <c r="B166" s="566"/>
      <c r="C166" s="289" t="s">
        <v>70</v>
      </c>
      <c r="D166" s="305" t="s">
        <v>68</v>
      </c>
      <c r="E166" s="338">
        <v>493.5</v>
      </c>
      <c r="F166" s="306">
        <f>('PRECIO REFERENCIA JULIO 2022'!E171)</f>
        <v>607.5</v>
      </c>
      <c r="G166" s="325">
        <f t="shared" si="2"/>
        <v>0.23100303951367782</v>
      </c>
    </row>
    <row r="167" spans="2:7" x14ac:dyDescent="0.25">
      <c r="B167" s="566">
        <v>32020004</v>
      </c>
      <c r="C167" s="3" t="s">
        <v>57</v>
      </c>
      <c r="D167" s="231" t="s">
        <v>58</v>
      </c>
      <c r="E167" s="337">
        <v>49</v>
      </c>
      <c r="F167" s="302">
        <f>('PRECIO REFERENCIA JULIO 2022'!E172)</f>
        <v>52.5</v>
      </c>
      <c r="G167" s="325">
        <f t="shared" si="2"/>
        <v>7.1428571428571425E-2</v>
      </c>
    </row>
    <row r="168" spans="2:7" ht="15.75" thickBot="1" x14ac:dyDescent="0.3">
      <c r="B168" s="672"/>
      <c r="C168" s="245" t="s">
        <v>59</v>
      </c>
      <c r="D168" s="246" t="s">
        <v>58</v>
      </c>
      <c r="E168" s="341">
        <v>67</v>
      </c>
      <c r="F168" s="329">
        <f>('PRECIO REFERENCIA JULIO 2022'!E173)</f>
        <v>74</v>
      </c>
      <c r="G168" s="330">
        <f t="shared" si="2"/>
        <v>0.1044776119402985</v>
      </c>
    </row>
  </sheetData>
  <mergeCells count="72">
    <mergeCell ref="B163:D163"/>
    <mergeCell ref="B164:B166"/>
    <mergeCell ref="B167:B168"/>
    <mergeCell ref="B145:D145"/>
    <mergeCell ref="B146:B147"/>
    <mergeCell ref="B154:D154"/>
    <mergeCell ref="B155:B157"/>
    <mergeCell ref="B158:D158"/>
    <mergeCell ref="B160:D160"/>
    <mergeCell ref="B148:B152"/>
    <mergeCell ref="B142:D142"/>
    <mergeCell ref="B113:B114"/>
    <mergeCell ref="B115:B118"/>
    <mergeCell ref="B119:D119"/>
    <mergeCell ref="B121:D121"/>
    <mergeCell ref="B122:B124"/>
    <mergeCell ref="B126:D126"/>
    <mergeCell ref="B128:D128"/>
    <mergeCell ref="B131:D131"/>
    <mergeCell ref="B133:D133"/>
    <mergeCell ref="B137:D137"/>
    <mergeCell ref="B140:D140"/>
    <mergeCell ref="B110:B112"/>
    <mergeCell ref="B80:B81"/>
    <mergeCell ref="B83:D83"/>
    <mergeCell ref="B85:D85"/>
    <mergeCell ref="B89:D89"/>
    <mergeCell ref="B90:B94"/>
    <mergeCell ref="B97:D97"/>
    <mergeCell ref="B99:D99"/>
    <mergeCell ref="B101:D101"/>
    <mergeCell ref="B102:B106"/>
    <mergeCell ref="B107:D107"/>
    <mergeCell ref="B109:D109"/>
    <mergeCell ref="B79:D79"/>
    <mergeCell ref="B54:D54"/>
    <mergeCell ref="B56:D56"/>
    <mergeCell ref="B58:D58"/>
    <mergeCell ref="B60:D60"/>
    <mergeCell ref="B64:D64"/>
    <mergeCell ref="B66:D66"/>
    <mergeCell ref="B68:D68"/>
    <mergeCell ref="B70:D70"/>
    <mergeCell ref="B71:B73"/>
    <mergeCell ref="B74:D74"/>
    <mergeCell ref="B77:D77"/>
    <mergeCell ref="B61:B63"/>
    <mergeCell ref="B52:B53"/>
    <mergeCell ref="B26:D26"/>
    <mergeCell ref="B30:D30"/>
    <mergeCell ref="B31:B32"/>
    <mergeCell ref="C34:D34"/>
    <mergeCell ref="B35:D35"/>
    <mergeCell ref="B37:D37"/>
    <mergeCell ref="B39:D39"/>
    <mergeCell ref="B41:D41"/>
    <mergeCell ref="B47:D47"/>
    <mergeCell ref="B49:D49"/>
    <mergeCell ref="B51:D51"/>
    <mergeCell ref="B42:B46"/>
    <mergeCell ref="B24:D24"/>
    <mergeCell ref="B2:D2"/>
    <mergeCell ref="B4:B9"/>
    <mergeCell ref="B10:D10"/>
    <mergeCell ref="B11:B12"/>
    <mergeCell ref="B13:D13"/>
    <mergeCell ref="B14:B15"/>
    <mergeCell ref="B16:D16"/>
    <mergeCell ref="B17:B18"/>
    <mergeCell ref="B19:B20"/>
    <mergeCell ref="B21:D21"/>
    <mergeCell ref="B22:B2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3"/>
  <sheetViews>
    <sheetView showGridLines="0" topLeftCell="A162" workbookViewId="0">
      <selection activeCell="F2" sqref="F2:H163"/>
    </sheetView>
  </sheetViews>
  <sheetFormatPr baseColWidth="10" defaultRowHeight="15" x14ac:dyDescent="0.25"/>
  <cols>
    <col min="1" max="1" width="6.85546875" customWidth="1"/>
    <col min="2" max="2" width="15.42578125" style="254" customWidth="1"/>
    <col min="3" max="3" width="48.85546875" style="254" customWidth="1"/>
    <col min="4" max="4" width="14.85546875" style="254" customWidth="1"/>
    <col min="6" max="6" width="15.140625" customWidth="1"/>
    <col min="7" max="7" width="14.28515625" style="22" customWidth="1"/>
    <col min="8" max="8" width="12" style="275" bestFit="1" customWidth="1"/>
  </cols>
  <sheetData>
    <row r="1" spans="2:8" ht="15.75" thickBot="1" x14ac:dyDescent="0.3">
      <c r="H1" s="277"/>
    </row>
    <row r="2" spans="2:8" ht="30.75" thickBot="1" x14ac:dyDescent="0.3">
      <c r="B2" s="67" t="s">
        <v>123</v>
      </c>
      <c r="C2" s="273" t="s">
        <v>124</v>
      </c>
      <c r="D2" s="67" t="s">
        <v>137</v>
      </c>
      <c r="F2" s="250" t="s">
        <v>309</v>
      </c>
      <c r="G2" s="252" t="s">
        <v>408</v>
      </c>
      <c r="H2" s="274" t="s">
        <v>409</v>
      </c>
    </row>
    <row r="3" spans="2:8" x14ac:dyDescent="0.25">
      <c r="B3" s="691"/>
      <c r="C3" s="691"/>
      <c r="D3" s="691"/>
      <c r="H3" s="277"/>
    </row>
    <row r="4" spans="2:8" x14ac:dyDescent="0.25">
      <c r="B4" s="686" t="s">
        <v>248</v>
      </c>
      <c r="C4" s="686"/>
      <c r="D4" s="686"/>
      <c r="H4" s="277"/>
    </row>
    <row r="5" spans="2:8" x14ac:dyDescent="0.25">
      <c r="B5" s="255">
        <v>321200019</v>
      </c>
      <c r="C5" s="47" t="s">
        <v>97</v>
      </c>
      <c r="D5" s="256" t="s">
        <v>62</v>
      </c>
      <c r="F5" s="251" t="e">
        <f>(#REF!)</f>
        <v>#REF!</v>
      </c>
      <c r="G5" s="253">
        <v>180.2</v>
      </c>
      <c r="H5" s="276" t="e">
        <f>(G5+F5)/2</f>
        <v>#REF!</v>
      </c>
    </row>
    <row r="6" spans="2:8" x14ac:dyDescent="0.25">
      <c r="B6" s="692">
        <v>320700022</v>
      </c>
      <c r="C6" s="257" t="s">
        <v>266</v>
      </c>
      <c r="D6" s="258" t="s">
        <v>45</v>
      </c>
      <c r="F6" s="251"/>
      <c r="G6" s="253"/>
      <c r="H6" s="276"/>
    </row>
    <row r="7" spans="2:8" x14ac:dyDescent="0.25">
      <c r="B7" s="693"/>
      <c r="C7" s="259" t="s">
        <v>389</v>
      </c>
      <c r="D7" s="260" t="s">
        <v>62</v>
      </c>
      <c r="F7" s="251" t="e">
        <f>(#REF!)</f>
        <v>#REF!</v>
      </c>
      <c r="G7" s="253">
        <v>1.62</v>
      </c>
      <c r="H7" s="276" t="e">
        <f>(G7+F7)/2</f>
        <v>#REF!</v>
      </c>
    </row>
    <row r="8" spans="2:8" x14ac:dyDescent="0.25">
      <c r="B8" s="693"/>
      <c r="C8" s="259" t="s">
        <v>390</v>
      </c>
      <c r="D8" s="260" t="s">
        <v>62</v>
      </c>
      <c r="F8" s="251" t="e">
        <f>(#REF!)</f>
        <v>#REF!</v>
      </c>
      <c r="G8" s="253">
        <v>1.74</v>
      </c>
      <c r="H8" s="276">
        <f>(G8)</f>
        <v>1.74</v>
      </c>
    </row>
    <row r="9" spans="2:8" x14ac:dyDescent="0.25">
      <c r="B9" s="693"/>
      <c r="C9" s="259" t="s">
        <v>391</v>
      </c>
      <c r="D9" s="260" t="s">
        <v>62</v>
      </c>
      <c r="F9" s="251" t="e">
        <f>(#REF!)</f>
        <v>#REF!</v>
      </c>
      <c r="G9" s="253">
        <v>1.58</v>
      </c>
      <c r="H9" s="276">
        <f>(G9)</f>
        <v>1.58</v>
      </c>
    </row>
    <row r="10" spans="2:8" x14ac:dyDescent="0.25">
      <c r="B10" s="693"/>
      <c r="C10" s="261" t="s">
        <v>392</v>
      </c>
      <c r="D10" s="262" t="s">
        <v>62</v>
      </c>
      <c r="F10" s="251">
        <v>0</v>
      </c>
      <c r="G10" s="253">
        <v>1.84</v>
      </c>
      <c r="H10" s="276">
        <f>(G10)</f>
        <v>1.84</v>
      </c>
    </row>
    <row r="11" spans="2:8" x14ac:dyDescent="0.25">
      <c r="B11" s="693"/>
      <c r="C11" s="259" t="s">
        <v>393</v>
      </c>
      <c r="D11" s="260" t="s">
        <v>62</v>
      </c>
      <c r="F11" s="251" t="e">
        <f>(#REF!)</f>
        <v>#REF!</v>
      </c>
      <c r="G11" s="253">
        <v>1.6</v>
      </c>
      <c r="H11" s="276">
        <f>(G11)</f>
        <v>1.6</v>
      </c>
    </row>
    <row r="12" spans="2:8" x14ac:dyDescent="0.25">
      <c r="B12" s="694"/>
      <c r="C12" s="259" t="s">
        <v>394</v>
      </c>
      <c r="D12" s="260" t="s">
        <v>62</v>
      </c>
      <c r="F12" s="251" t="e">
        <f>(#REF!)</f>
        <v>#REF!</v>
      </c>
      <c r="G12" s="253">
        <v>2.0499999999999998</v>
      </c>
      <c r="H12" s="276">
        <f>(G12)</f>
        <v>2.0499999999999998</v>
      </c>
    </row>
    <row r="13" spans="2:8" x14ac:dyDescent="0.25">
      <c r="B13" s="686" t="s">
        <v>249</v>
      </c>
      <c r="C13" s="686"/>
      <c r="D13" s="686"/>
      <c r="F13" s="251"/>
      <c r="G13" s="253"/>
      <c r="H13" s="276"/>
    </row>
    <row r="14" spans="2:8" x14ac:dyDescent="0.25">
      <c r="B14" s="687">
        <v>31290027</v>
      </c>
      <c r="C14" s="263" t="s">
        <v>42</v>
      </c>
      <c r="D14" s="264" t="s">
        <v>43</v>
      </c>
      <c r="F14" s="251" t="e">
        <f>(#REF!)</f>
        <v>#REF!</v>
      </c>
      <c r="G14" s="253">
        <v>193.8</v>
      </c>
      <c r="H14" s="276" t="e">
        <f t="shared" ref="H14:H20" si="0">(G14+F14)/2</f>
        <v>#REF!</v>
      </c>
    </row>
    <row r="15" spans="2:8" x14ac:dyDescent="0.25">
      <c r="B15" s="687"/>
      <c r="C15" s="263" t="s">
        <v>40</v>
      </c>
      <c r="D15" s="264" t="s">
        <v>41</v>
      </c>
      <c r="F15" s="251" t="e">
        <f>(#REF!)</f>
        <v>#REF!</v>
      </c>
      <c r="G15" s="253">
        <v>209.59</v>
      </c>
      <c r="H15" s="276" t="e">
        <f t="shared" si="0"/>
        <v>#REF!</v>
      </c>
    </row>
    <row r="16" spans="2:8" x14ac:dyDescent="0.25">
      <c r="B16" s="686" t="s">
        <v>250</v>
      </c>
      <c r="C16" s="686"/>
      <c r="D16" s="686"/>
      <c r="F16" s="251"/>
      <c r="G16" s="253"/>
      <c r="H16" s="276"/>
    </row>
    <row r="17" spans="2:8" x14ac:dyDescent="0.25">
      <c r="B17" s="690">
        <v>32020001</v>
      </c>
      <c r="C17" s="47" t="s">
        <v>51</v>
      </c>
      <c r="D17" s="256" t="s">
        <v>52</v>
      </c>
      <c r="F17" s="251" t="e">
        <f>(#REF!)</f>
        <v>#REF!</v>
      </c>
      <c r="G17" s="253">
        <v>304</v>
      </c>
      <c r="H17" s="276" t="e">
        <f t="shared" si="0"/>
        <v>#REF!</v>
      </c>
    </row>
    <row r="18" spans="2:8" x14ac:dyDescent="0.25">
      <c r="B18" s="690"/>
      <c r="C18" s="78" t="s">
        <v>67</v>
      </c>
      <c r="D18" s="265" t="s">
        <v>68</v>
      </c>
      <c r="F18" s="251" t="e">
        <f>(#REF!)</f>
        <v>#REF!</v>
      </c>
      <c r="G18" s="253">
        <v>42.79</v>
      </c>
      <c r="H18" s="276" t="e">
        <f t="shared" si="0"/>
        <v>#REF!</v>
      </c>
    </row>
    <row r="19" spans="2:8" x14ac:dyDescent="0.25">
      <c r="B19" s="686" t="s">
        <v>274</v>
      </c>
      <c r="C19" s="686"/>
      <c r="D19" s="686"/>
      <c r="F19" s="251"/>
      <c r="G19" s="253"/>
      <c r="H19" s="276"/>
    </row>
    <row r="20" spans="2:8" x14ac:dyDescent="0.25">
      <c r="B20" s="687">
        <v>321000014</v>
      </c>
      <c r="C20" s="263" t="s">
        <v>93</v>
      </c>
      <c r="D20" s="264" t="s">
        <v>45</v>
      </c>
      <c r="F20" s="251" t="e">
        <f>(#REF!)</f>
        <v>#REF!</v>
      </c>
      <c r="G20" s="253">
        <v>106.55</v>
      </c>
      <c r="H20" s="276" t="e">
        <f t="shared" si="0"/>
        <v>#REF!</v>
      </c>
    </row>
    <row r="21" spans="2:8" x14ac:dyDescent="0.25">
      <c r="B21" s="687"/>
      <c r="C21" s="263" t="s">
        <v>94</v>
      </c>
      <c r="D21" s="264" t="s">
        <v>62</v>
      </c>
      <c r="F21" s="251" t="e">
        <f>(#REF!)</f>
        <v>#REF!</v>
      </c>
      <c r="G21" s="253">
        <v>0</v>
      </c>
      <c r="H21" s="276" t="e">
        <f>(F21)</f>
        <v>#REF!</v>
      </c>
    </row>
    <row r="22" spans="2:8" x14ac:dyDescent="0.25">
      <c r="B22" s="687">
        <v>32020007</v>
      </c>
      <c r="C22" s="263" t="s">
        <v>63</v>
      </c>
      <c r="D22" s="264" t="s">
        <v>45</v>
      </c>
      <c r="F22" s="251" t="e">
        <f>(#REF!)</f>
        <v>#REF!</v>
      </c>
      <c r="G22" s="253">
        <v>0</v>
      </c>
      <c r="H22" s="276" t="e">
        <f t="shared" ref="H22:H23" si="1">(F22)</f>
        <v>#REF!</v>
      </c>
    </row>
    <row r="23" spans="2:8" x14ac:dyDescent="0.25">
      <c r="B23" s="687"/>
      <c r="C23" s="78" t="s">
        <v>61</v>
      </c>
      <c r="D23" s="265" t="s">
        <v>62</v>
      </c>
      <c r="F23" s="251" t="e">
        <f>(#REF!)</f>
        <v>#REF!</v>
      </c>
      <c r="G23" s="253">
        <v>0</v>
      </c>
      <c r="H23" s="276" t="e">
        <f t="shared" si="1"/>
        <v>#REF!</v>
      </c>
    </row>
    <row r="24" spans="2:8" x14ac:dyDescent="0.25">
      <c r="B24" s="686" t="s">
        <v>251</v>
      </c>
      <c r="C24" s="686"/>
      <c r="D24" s="686"/>
      <c r="F24" s="251"/>
      <c r="G24" s="253"/>
      <c r="H24" s="276"/>
    </row>
    <row r="25" spans="2:8" x14ac:dyDescent="0.25">
      <c r="B25" s="687">
        <v>32090001</v>
      </c>
      <c r="C25" s="263" t="s">
        <v>12</v>
      </c>
      <c r="D25" s="264" t="s">
        <v>84</v>
      </c>
      <c r="F25" s="251" t="e">
        <f>(#REF!)</f>
        <v>#REF!</v>
      </c>
      <c r="G25" s="253">
        <v>119.6</v>
      </c>
      <c r="H25" s="276" t="e">
        <f t="shared" ref="H25:H26" si="2">(G25+F25)/2</f>
        <v>#REF!</v>
      </c>
    </row>
    <row r="26" spans="2:8" x14ac:dyDescent="0.25">
      <c r="B26" s="687"/>
      <c r="C26" s="263" t="s">
        <v>202</v>
      </c>
      <c r="D26" s="264" t="s">
        <v>84</v>
      </c>
      <c r="F26" s="251" t="e">
        <f>(#REF!)</f>
        <v>#REF!</v>
      </c>
      <c r="G26" s="253">
        <v>119.6</v>
      </c>
      <c r="H26" s="276" t="e">
        <f t="shared" si="2"/>
        <v>#REF!</v>
      </c>
    </row>
    <row r="27" spans="2:8" x14ac:dyDescent="0.25">
      <c r="B27" s="686" t="s">
        <v>275</v>
      </c>
      <c r="C27" s="686"/>
      <c r="D27" s="686"/>
      <c r="F27" s="251"/>
      <c r="G27" s="253"/>
      <c r="H27" s="276"/>
    </row>
    <row r="28" spans="2:8" x14ac:dyDescent="0.25">
      <c r="B28" s="266">
        <v>32010001</v>
      </c>
      <c r="C28" s="263" t="s">
        <v>44</v>
      </c>
      <c r="D28" s="264" t="s">
        <v>45</v>
      </c>
      <c r="F28" s="251" t="e">
        <f>(#REF!)</f>
        <v>#REF!</v>
      </c>
      <c r="G28" s="253">
        <v>4.9400000000000004</v>
      </c>
      <c r="H28" s="276">
        <f>(G28)</f>
        <v>4.9400000000000004</v>
      </c>
    </row>
    <row r="29" spans="2:8" x14ac:dyDescent="0.25">
      <c r="B29" s="686" t="s">
        <v>299</v>
      </c>
      <c r="C29" s="686"/>
      <c r="D29" s="686"/>
      <c r="F29" s="251"/>
      <c r="G29" s="253"/>
      <c r="H29" s="276"/>
    </row>
    <row r="30" spans="2:8" x14ac:dyDescent="0.25">
      <c r="B30" s="266">
        <v>320100049</v>
      </c>
      <c r="C30" s="263" t="s">
        <v>16</v>
      </c>
      <c r="D30" s="264" t="s">
        <v>45</v>
      </c>
      <c r="F30" s="251" t="e">
        <f>(#REF!)</f>
        <v>#REF!</v>
      </c>
      <c r="G30" s="253">
        <v>0</v>
      </c>
      <c r="H30" s="276" t="e">
        <f>(F30)</f>
        <v>#REF!</v>
      </c>
    </row>
    <row r="31" spans="2:8" x14ac:dyDescent="0.25">
      <c r="B31" s="266">
        <v>320100053</v>
      </c>
      <c r="C31" s="263" t="s">
        <v>46</v>
      </c>
      <c r="D31" s="264" t="s">
        <v>47</v>
      </c>
      <c r="F31" s="251" t="e">
        <f>(#REF!)</f>
        <v>#REF!</v>
      </c>
      <c r="G31" s="253">
        <v>15.06</v>
      </c>
      <c r="H31" s="276" t="e">
        <f t="shared" ref="H31:H32" si="3">(G31+F31)/2</f>
        <v>#REF!</v>
      </c>
    </row>
    <row r="32" spans="2:8" x14ac:dyDescent="0.25">
      <c r="B32" s="266">
        <v>320100073</v>
      </c>
      <c r="C32" s="263" t="s">
        <v>17</v>
      </c>
      <c r="D32" s="264" t="s">
        <v>45</v>
      </c>
      <c r="F32" s="251" t="e">
        <f>(#REF!)</f>
        <v>#REF!</v>
      </c>
      <c r="G32" s="253">
        <v>4.3899999999999997</v>
      </c>
      <c r="H32" s="276" t="e">
        <f t="shared" si="3"/>
        <v>#REF!</v>
      </c>
    </row>
    <row r="33" spans="2:8" x14ac:dyDescent="0.25">
      <c r="B33" s="686"/>
      <c r="C33" s="686"/>
      <c r="D33" s="686"/>
      <c r="F33" s="251"/>
      <c r="G33" s="253"/>
      <c r="H33" s="276"/>
    </row>
    <row r="34" spans="2:8" x14ac:dyDescent="0.25">
      <c r="B34" s="687">
        <v>32130001</v>
      </c>
      <c r="C34" s="263" t="s">
        <v>110</v>
      </c>
      <c r="D34" s="264" t="s">
        <v>45</v>
      </c>
      <c r="F34" s="251" t="e">
        <f>(#REF!)</f>
        <v>#REF!</v>
      </c>
      <c r="G34" s="253">
        <v>0</v>
      </c>
      <c r="H34" s="276" t="e">
        <f>(F34)</f>
        <v>#REF!</v>
      </c>
    </row>
    <row r="35" spans="2:8" x14ac:dyDescent="0.25">
      <c r="B35" s="687"/>
      <c r="C35" s="78" t="s">
        <v>111</v>
      </c>
      <c r="D35" s="265" t="s">
        <v>45</v>
      </c>
      <c r="F35" s="251" t="e">
        <f>(#REF!)</f>
        <v>#REF!</v>
      </c>
      <c r="G35" s="253">
        <v>0</v>
      </c>
      <c r="H35" s="276" t="e">
        <f>(F35)</f>
        <v>#REF!</v>
      </c>
    </row>
    <row r="36" spans="2:8" x14ac:dyDescent="0.25">
      <c r="B36" s="266">
        <v>322300022</v>
      </c>
      <c r="C36" s="263" t="s">
        <v>34</v>
      </c>
      <c r="D36" s="264" t="s">
        <v>45</v>
      </c>
      <c r="F36" s="251" t="e">
        <f>(#REF!)</f>
        <v>#REF!</v>
      </c>
      <c r="G36" s="253">
        <v>45.6</v>
      </c>
      <c r="H36" s="276">
        <f>(G36)</f>
        <v>45.6</v>
      </c>
    </row>
    <row r="37" spans="2:8" x14ac:dyDescent="0.25">
      <c r="B37" s="267">
        <v>321500181</v>
      </c>
      <c r="C37" s="268" t="s">
        <v>301</v>
      </c>
      <c r="D37" s="264" t="s">
        <v>45</v>
      </c>
      <c r="F37" s="251" t="e">
        <f>(#REF!)</f>
        <v>#REF!</v>
      </c>
      <c r="G37" s="253">
        <v>748.5</v>
      </c>
      <c r="H37" s="276">
        <f>(G37)</f>
        <v>748.5</v>
      </c>
    </row>
    <row r="38" spans="2:8" x14ac:dyDescent="0.25">
      <c r="B38" s="686" t="s">
        <v>276</v>
      </c>
      <c r="C38" s="686"/>
      <c r="D38" s="686"/>
      <c r="F38" s="251"/>
      <c r="G38" s="253"/>
      <c r="H38" s="276"/>
    </row>
    <row r="39" spans="2:8" x14ac:dyDescent="0.25">
      <c r="B39" s="266">
        <v>321220013</v>
      </c>
      <c r="C39" s="78" t="s">
        <v>109</v>
      </c>
      <c r="D39" s="265" t="s">
        <v>62</v>
      </c>
      <c r="F39" s="251" t="e">
        <f>(#REF!)</f>
        <v>#REF!</v>
      </c>
      <c r="G39" s="253">
        <v>0</v>
      </c>
      <c r="H39" s="276" t="e">
        <f>(F39)</f>
        <v>#REF!</v>
      </c>
    </row>
    <row r="40" spans="2:8" x14ac:dyDescent="0.25">
      <c r="B40" s="686"/>
      <c r="C40" s="686"/>
      <c r="D40" s="686"/>
      <c r="F40" s="251"/>
      <c r="G40" s="253"/>
      <c r="H40" s="276"/>
    </row>
    <row r="41" spans="2:8" x14ac:dyDescent="0.25">
      <c r="B41" s="266">
        <v>322300061</v>
      </c>
      <c r="C41" s="263" t="s">
        <v>122</v>
      </c>
      <c r="D41" s="264" t="s">
        <v>45</v>
      </c>
      <c r="F41" s="251" t="e">
        <f>(#REF!)</f>
        <v>#REF!</v>
      </c>
      <c r="G41" s="253">
        <v>305</v>
      </c>
      <c r="H41" s="276" t="e">
        <f t="shared" ref="H41" si="4">(G41+F41)/2</f>
        <v>#REF!</v>
      </c>
    </row>
    <row r="42" spans="2:8" x14ac:dyDescent="0.25">
      <c r="B42" s="686"/>
      <c r="C42" s="686"/>
      <c r="D42" s="686"/>
      <c r="F42" s="251"/>
      <c r="G42" s="253"/>
      <c r="H42" s="276"/>
    </row>
    <row r="43" spans="2:8" x14ac:dyDescent="0.25">
      <c r="B43" s="267">
        <v>320300033</v>
      </c>
      <c r="C43" s="78" t="s">
        <v>64</v>
      </c>
      <c r="D43" s="265" t="s">
        <v>62</v>
      </c>
      <c r="F43" s="251" t="e">
        <f>(#REF!)</f>
        <v>#REF!</v>
      </c>
      <c r="G43" s="253">
        <v>348.9</v>
      </c>
      <c r="H43" s="276">
        <f>(G43)</f>
        <v>348.9</v>
      </c>
    </row>
    <row r="44" spans="2:8" x14ac:dyDescent="0.25">
      <c r="B44" s="686"/>
      <c r="C44" s="686"/>
      <c r="D44" s="686"/>
      <c r="F44" s="251"/>
      <c r="G44" s="253"/>
      <c r="H44" s="276"/>
    </row>
    <row r="45" spans="2:8" x14ac:dyDescent="0.25">
      <c r="B45" s="255">
        <v>3207000511</v>
      </c>
      <c r="C45" s="78" t="s">
        <v>267</v>
      </c>
      <c r="D45" s="265" t="s">
        <v>45</v>
      </c>
      <c r="F45" s="251" t="e">
        <f>(#REF!)</f>
        <v>#REF!</v>
      </c>
      <c r="G45" s="253">
        <v>63.37</v>
      </c>
      <c r="H45" s="276">
        <f>(G45)</f>
        <v>63.37</v>
      </c>
    </row>
    <row r="46" spans="2:8" x14ac:dyDescent="0.25">
      <c r="B46" s="686"/>
      <c r="C46" s="686"/>
      <c r="D46" s="686"/>
      <c r="F46" s="251"/>
      <c r="G46" s="253"/>
      <c r="H46" s="276"/>
    </row>
    <row r="47" spans="2:8" x14ac:dyDescent="0.25">
      <c r="B47" s="266">
        <v>321600012</v>
      </c>
      <c r="C47" s="263" t="s">
        <v>31</v>
      </c>
      <c r="D47" s="264" t="s">
        <v>45</v>
      </c>
      <c r="F47" s="251" t="e">
        <f>(#REF!)</f>
        <v>#REF!</v>
      </c>
      <c r="G47" s="253">
        <v>25.93</v>
      </c>
      <c r="H47" s="276" t="e">
        <f t="shared" ref="H47" si="5">(G47+F47)/2</f>
        <v>#REF!</v>
      </c>
    </row>
    <row r="48" spans="2:8" x14ac:dyDescent="0.25">
      <c r="B48" s="686"/>
      <c r="C48" s="686"/>
      <c r="D48" s="686"/>
      <c r="F48" s="251"/>
      <c r="G48" s="253"/>
      <c r="H48" s="276"/>
    </row>
    <row r="49" spans="2:8" x14ac:dyDescent="0.25">
      <c r="B49" s="266">
        <v>320900071</v>
      </c>
      <c r="C49" s="263" t="s">
        <v>35</v>
      </c>
      <c r="D49" s="264" t="s">
        <v>62</v>
      </c>
      <c r="F49" s="251" t="e">
        <f>(#REF!)</f>
        <v>#REF!</v>
      </c>
      <c r="G49" s="253">
        <v>379.05</v>
      </c>
      <c r="H49" s="276" t="e">
        <f t="shared" ref="H49" si="6">(G49+F49)/2</f>
        <v>#REF!</v>
      </c>
    </row>
    <row r="50" spans="2:8" x14ac:dyDescent="0.25">
      <c r="B50" s="686" t="s">
        <v>277</v>
      </c>
      <c r="C50" s="686"/>
      <c r="D50" s="686"/>
      <c r="F50" s="251"/>
      <c r="G50" s="253"/>
      <c r="H50" s="276"/>
    </row>
    <row r="51" spans="2:8" x14ac:dyDescent="0.25">
      <c r="B51" s="687">
        <v>32150002</v>
      </c>
      <c r="C51" s="263" t="s">
        <v>112</v>
      </c>
      <c r="D51" s="264" t="s">
        <v>58</v>
      </c>
      <c r="F51" s="251" t="e">
        <f>(#REF!)</f>
        <v>#REF!</v>
      </c>
      <c r="G51" s="253">
        <v>0</v>
      </c>
      <c r="H51" s="276" t="e">
        <f>(F51)</f>
        <v>#REF!</v>
      </c>
    </row>
    <row r="52" spans="2:8" x14ac:dyDescent="0.25">
      <c r="B52" s="687"/>
      <c r="C52" s="263" t="s">
        <v>113</v>
      </c>
      <c r="D52" s="264" t="s">
        <v>68</v>
      </c>
      <c r="F52" s="251" t="e">
        <f>(#REF!)</f>
        <v>#REF!</v>
      </c>
      <c r="G52" s="253">
        <v>0</v>
      </c>
      <c r="H52" s="276" t="e">
        <f>(F52)</f>
        <v>#REF!</v>
      </c>
    </row>
    <row r="53" spans="2:8" x14ac:dyDescent="0.25">
      <c r="B53" s="686"/>
      <c r="C53" s="686"/>
      <c r="D53" s="686"/>
      <c r="F53" s="251"/>
      <c r="G53" s="253"/>
      <c r="H53" s="276"/>
    </row>
    <row r="54" spans="2:8" x14ac:dyDescent="0.25">
      <c r="B54" s="266">
        <v>3212002017</v>
      </c>
      <c r="C54" s="263" t="s">
        <v>108</v>
      </c>
      <c r="D54" s="264" t="s">
        <v>62</v>
      </c>
      <c r="F54" s="251" t="e">
        <f>(#REF!)</f>
        <v>#REF!</v>
      </c>
      <c r="G54" s="253">
        <v>1627</v>
      </c>
      <c r="H54" s="276" t="e">
        <f t="shared" ref="H54" si="7">(G54+F54)/2</f>
        <v>#REF!</v>
      </c>
    </row>
    <row r="55" spans="2:8" x14ac:dyDescent="0.25">
      <c r="B55" s="686" t="s">
        <v>278</v>
      </c>
      <c r="C55" s="686"/>
      <c r="D55" s="686"/>
      <c r="F55" s="251"/>
      <c r="G55" s="253"/>
      <c r="H55" s="276"/>
    </row>
    <row r="56" spans="2:8" x14ac:dyDescent="0.25">
      <c r="B56" s="255">
        <v>32220001</v>
      </c>
      <c r="C56" s="47" t="s">
        <v>287</v>
      </c>
      <c r="D56" s="256" t="s">
        <v>45</v>
      </c>
      <c r="F56" s="251" t="e">
        <f>(#REF!)</f>
        <v>#REF!</v>
      </c>
      <c r="G56" s="253">
        <v>0</v>
      </c>
      <c r="H56" s="276" t="e">
        <f>(F56)</f>
        <v>#REF!</v>
      </c>
    </row>
    <row r="57" spans="2:8" x14ac:dyDescent="0.25">
      <c r="B57" s="686"/>
      <c r="C57" s="686"/>
      <c r="D57" s="686"/>
      <c r="F57" s="251"/>
      <c r="G57" s="253"/>
      <c r="H57" s="276"/>
    </row>
    <row r="58" spans="2:8" x14ac:dyDescent="0.25">
      <c r="B58" s="266">
        <v>321500041</v>
      </c>
      <c r="C58" s="263" t="s">
        <v>116</v>
      </c>
      <c r="D58" s="264" t="s">
        <v>62</v>
      </c>
      <c r="F58" s="251" t="e">
        <f>(#REF!)</f>
        <v>#REF!</v>
      </c>
      <c r="G58" s="253">
        <v>0</v>
      </c>
      <c r="H58" s="276" t="e">
        <f>(F58)</f>
        <v>#REF!</v>
      </c>
    </row>
    <row r="59" spans="2:8" x14ac:dyDescent="0.25">
      <c r="B59" s="686"/>
      <c r="C59" s="686"/>
      <c r="D59" s="686"/>
      <c r="F59" s="251"/>
      <c r="G59" s="253"/>
      <c r="H59" s="276"/>
    </row>
    <row r="60" spans="2:8" x14ac:dyDescent="0.25">
      <c r="B60" s="269"/>
      <c r="C60" s="270" t="s">
        <v>396</v>
      </c>
      <c r="D60" s="270" t="s">
        <v>45</v>
      </c>
      <c r="F60" s="251" t="e">
        <f>(#REF!)</f>
        <v>#REF!</v>
      </c>
      <c r="G60" s="253">
        <v>165</v>
      </c>
      <c r="H60" s="276">
        <f>(G60)</f>
        <v>165</v>
      </c>
    </row>
    <row r="61" spans="2:8" x14ac:dyDescent="0.25">
      <c r="B61" s="269"/>
      <c r="C61" s="270" t="s">
        <v>397</v>
      </c>
      <c r="D61" s="270" t="s">
        <v>45</v>
      </c>
      <c r="F61" s="251" t="e">
        <f>(#REF!)</f>
        <v>#REF!</v>
      </c>
      <c r="G61" s="253">
        <v>295</v>
      </c>
      <c r="H61" s="276">
        <f>(G61)</f>
        <v>295</v>
      </c>
    </row>
    <row r="62" spans="2:8" x14ac:dyDescent="0.25">
      <c r="B62" s="266">
        <v>3201000612</v>
      </c>
      <c r="C62" s="263" t="s">
        <v>48</v>
      </c>
      <c r="D62" s="264" t="s">
        <v>45</v>
      </c>
      <c r="F62" s="251" t="e">
        <f>(#REF!)</f>
        <v>#REF!</v>
      </c>
      <c r="G62" s="253">
        <v>88.55</v>
      </c>
      <c r="H62" s="276" t="e">
        <f t="shared" ref="H62" si="8">(G62+F62)/2</f>
        <v>#REF!</v>
      </c>
    </row>
    <row r="63" spans="2:8" x14ac:dyDescent="0.25">
      <c r="B63" s="686"/>
      <c r="C63" s="686"/>
      <c r="D63" s="686"/>
      <c r="F63" s="251"/>
      <c r="G63" s="253"/>
      <c r="H63" s="276"/>
    </row>
    <row r="64" spans="2:8" x14ac:dyDescent="0.25">
      <c r="B64" s="266">
        <v>321500036</v>
      </c>
      <c r="C64" s="263" t="s">
        <v>114</v>
      </c>
      <c r="D64" s="264" t="s">
        <v>115</v>
      </c>
      <c r="F64" s="251" t="e">
        <f>(#REF!)</f>
        <v>#REF!</v>
      </c>
      <c r="G64" s="253">
        <v>0</v>
      </c>
      <c r="H64" s="276" t="e">
        <f>(F64)</f>
        <v>#REF!</v>
      </c>
    </row>
    <row r="65" spans="2:8" x14ac:dyDescent="0.25">
      <c r="B65" s="686" t="s">
        <v>279</v>
      </c>
      <c r="C65" s="686"/>
      <c r="D65" s="686"/>
      <c r="F65" s="251"/>
      <c r="G65" s="253"/>
      <c r="H65" s="276"/>
    </row>
    <row r="66" spans="2:8" x14ac:dyDescent="0.25">
      <c r="B66" s="266">
        <v>32050001</v>
      </c>
      <c r="C66" s="263" t="s">
        <v>288</v>
      </c>
      <c r="D66" s="264" t="s">
        <v>45</v>
      </c>
      <c r="F66" s="251" t="e">
        <f>(#REF!)</f>
        <v>#REF!</v>
      </c>
      <c r="G66" s="253">
        <v>9.48</v>
      </c>
      <c r="H66" s="276" t="e">
        <f t="shared" ref="H66" si="9">(G66+F66)/2</f>
        <v>#REF!</v>
      </c>
    </row>
    <row r="67" spans="2:8" x14ac:dyDescent="0.25">
      <c r="B67" s="686"/>
      <c r="C67" s="686"/>
      <c r="D67" s="686"/>
      <c r="F67" s="251"/>
      <c r="G67" s="253"/>
      <c r="H67" s="276"/>
    </row>
    <row r="68" spans="2:8" x14ac:dyDescent="0.25">
      <c r="B68" s="267">
        <v>320700121</v>
      </c>
      <c r="C68" s="78" t="s">
        <v>81</v>
      </c>
      <c r="D68" s="265" t="s">
        <v>45</v>
      </c>
      <c r="F68" s="251" t="e">
        <f>(#REF!)</f>
        <v>#REF!</v>
      </c>
      <c r="G68" s="253">
        <v>89.9</v>
      </c>
      <c r="H68" s="276">
        <f>(G68)</f>
        <v>89.9</v>
      </c>
    </row>
    <row r="69" spans="2:8" x14ac:dyDescent="0.25">
      <c r="B69" s="686" t="s">
        <v>259</v>
      </c>
      <c r="C69" s="686"/>
      <c r="D69" s="686"/>
      <c r="F69" s="251"/>
      <c r="G69" s="253"/>
      <c r="H69" s="276"/>
    </row>
    <row r="70" spans="2:8" x14ac:dyDescent="0.25">
      <c r="B70" s="687">
        <v>32160002</v>
      </c>
      <c r="C70" s="263" t="s">
        <v>118</v>
      </c>
      <c r="D70" s="264" t="s">
        <v>45</v>
      </c>
      <c r="F70" s="251" t="e">
        <f>(#REF!)</f>
        <v>#REF!</v>
      </c>
      <c r="G70" s="253">
        <v>0</v>
      </c>
      <c r="H70" s="276" t="e">
        <f>(F70)</f>
        <v>#REF!</v>
      </c>
    </row>
    <row r="71" spans="2:8" x14ac:dyDescent="0.25">
      <c r="B71" s="687"/>
      <c r="C71" s="263" t="s">
        <v>119</v>
      </c>
      <c r="D71" s="264" t="s">
        <v>45</v>
      </c>
      <c r="F71" s="251" t="e">
        <f>(#REF!)</f>
        <v>#REF!</v>
      </c>
      <c r="G71" s="253">
        <v>73.2</v>
      </c>
      <c r="H71" s="276" t="e">
        <f t="shared" ref="H71:H72" si="10">(G71+F71)/2</f>
        <v>#REF!</v>
      </c>
    </row>
    <row r="72" spans="2:8" x14ac:dyDescent="0.25">
      <c r="B72" s="687"/>
      <c r="C72" s="263" t="s">
        <v>14</v>
      </c>
      <c r="D72" s="264" t="s">
        <v>45</v>
      </c>
      <c r="F72" s="251" t="e">
        <f>(#REF!)</f>
        <v>#REF!</v>
      </c>
      <c r="G72" s="253">
        <v>92</v>
      </c>
      <c r="H72" s="276" t="e">
        <f t="shared" si="10"/>
        <v>#REF!</v>
      </c>
    </row>
    <row r="73" spans="2:8" x14ac:dyDescent="0.25">
      <c r="B73" s="686"/>
      <c r="C73" s="686"/>
      <c r="D73" s="686"/>
      <c r="F73" s="251"/>
      <c r="G73" s="253"/>
      <c r="H73" s="276"/>
    </row>
    <row r="74" spans="2:8" x14ac:dyDescent="0.25">
      <c r="B74" s="267">
        <v>321200161</v>
      </c>
      <c r="C74" s="78" t="s">
        <v>105</v>
      </c>
      <c r="D74" s="265" t="s">
        <v>62</v>
      </c>
      <c r="F74" s="251" t="e">
        <f>(#REF!)</f>
        <v>#REF!</v>
      </c>
      <c r="G74" s="253">
        <v>172.33</v>
      </c>
      <c r="H74" s="276">
        <f>(G74)</f>
        <v>172.33</v>
      </c>
    </row>
    <row r="75" spans="2:8" x14ac:dyDescent="0.25">
      <c r="B75" s="267">
        <v>321200172</v>
      </c>
      <c r="C75" s="78" t="s">
        <v>106</v>
      </c>
      <c r="D75" s="265" t="s">
        <v>62</v>
      </c>
      <c r="F75" s="251" t="e">
        <f>(#REF!)</f>
        <v>#REF!</v>
      </c>
      <c r="G75" s="253">
        <v>0</v>
      </c>
      <c r="H75" s="276">
        <v>0</v>
      </c>
    </row>
    <row r="76" spans="2:8" x14ac:dyDescent="0.25">
      <c r="B76" s="686"/>
      <c r="C76" s="686"/>
      <c r="D76" s="686"/>
      <c r="F76" s="251"/>
      <c r="G76" s="253"/>
      <c r="H76" s="276"/>
    </row>
    <row r="77" spans="2:8" x14ac:dyDescent="0.25">
      <c r="B77" s="267">
        <v>321200192</v>
      </c>
      <c r="C77" s="78" t="s">
        <v>107</v>
      </c>
      <c r="D77" s="265" t="s">
        <v>45</v>
      </c>
      <c r="F77" s="251" t="e">
        <f>(#REF!)</f>
        <v>#REF!</v>
      </c>
      <c r="G77" s="253">
        <v>0</v>
      </c>
      <c r="H77" s="276" t="e">
        <f>(F77)</f>
        <v>#REF!</v>
      </c>
    </row>
    <row r="78" spans="2:8" x14ac:dyDescent="0.25">
      <c r="B78" s="686" t="s">
        <v>258</v>
      </c>
      <c r="C78" s="686"/>
      <c r="D78" s="686"/>
      <c r="F78" s="251"/>
      <c r="G78" s="253"/>
      <c r="H78" s="276"/>
    </row>
    <row r="79" spans="2:8" x14ac:dyDescent="0.25">
      <c r="B79" s="687">
        <v>32020003</v>
      </c>
      <c r="C79" s="263" t="s">
        <v>55</v>
      </c>
      <c r="D79" s="264" t="s">
        <v>54</v>
      </c>
      <c r="F79" s="251" t="e">
        <f>(#REF!)</f>
        <v>#REF!</v>
      </c>
      <c r="G79" s="253">
        <v>1721.66</v>
      </c>
      <c r="H79" s="276" t="e">
        <f t="shared" ref="H79" si="11">(G79+F79)/2</f>
        <v>#REF!</v>
      </c>
    </row>
    <row r="80" spans="2:8" x14ac:dyDescent="0.25">
      <c r="B80" s="687"/>
      <c r="C80" s="263" t="s">
        <v>9</v>
      </c>
      <c r="D80" s="264" t="s">
        <v>56</v>
      </c>
      <c r="F80" s="251" t="e">
        <f>(#REF!)</f>
        <v>#REF!</v>
      </c>
      <c r="G80" s="253">
        <v>0</v>
      </c>
      <c r="H80" s="276" t="e">
        <f>(F80)</f>
        <v>#REF!</v>
      </c>
    </row>
    <row r="81" spans="2:8" x14ac:dyDescent="0.25">
      <c r="B81" s="267">
        <v>320200024</v>
      </c>
      <c r="C81" s="78" t="s">
        <v>53</v>
      </c>
      <c r="D81" s="265" t="s">
        <v>54</v>
      </c>
      <c r="F81" s="251" t="e">
        <f>(#REF!)</f>
        <v>#REF!</v>
      </c>
      <c r="G81" s="253">
        <v>0</v>
      </c>
      <c r="H81" s="276"/>
    </row>
    <row r="82" spans="2:8" x14ac:dyDescent="0.25">
      <c r="B82" s="686"/>
      <c r="C82" s="686"/>
      <c r="D82" s="686"/>
      <c r="F82" s="251"/>
      <c r="G82" s="253"/>
      <c r="H82" s="276"/>
    </row>
    <row r="83" spans="2:8" x14ac:dyDescent="0.25">
      <c r="B83" s="266">
        <v>320500026</v>
      </c>
      <c r="C83" s="263" t="s">
        <v>19</v>
      </c>
      <c r="D83" s="264" t="s">
        <v>65</v>
      </c>
      <c r="F83" s="251" t="e">
        <f>(#REF!)</f>
        <v>#REF!</v>
      </c>
      <c r="G83" s="253">
        <v>181</v>
      </c>
      <c r="H83" s="276" t="e">
        <f t="shared" ref="H83" si="12">(G83+F83)/2</f>
        <v>#REF!</v>
      </c>
    </row>
    <row r="84" spans="2:8" x14ac:dyDescent="0.25">
      <c r="B84" s="686" t="s">
        <v>280</v>
      </c>
      <c r="C84" s="686"/>
      <c r="D84" s="686"/>
      <c r="F84" s="251"/>
      <c r="G84" s="253"/>
      <c r="H84" s="276"/>
    </row>
    <row r="85" spans="2:8" x14ac:dyDescent="0.25">
      <c r="B85" s="255">
        <v>320100112</v>
      </c>
      <c r="C85" s="47" t="s">
        <v>268</v>
      </c>
      <c r="D85" s="256" t="s">
        <v>49</v>
      </c>
      <c r="F85" s="251" t="e">
        <f>(#REF!)</f>
        <v>#REF!</v>
      </c>
      <c r="G85" s="253">
        <v>374.5</v>
      </c>
      <c r="H85" s="276">
        <f>(G85)</f>
        <v>374.5</v>
      </c>
    </row>
    <row r="86" spans="2:8" x14ac:dyDescent="0.25">
      <c r="B86" s="255">
        <v>320100123</v>
      </c>
      <c r="C86" s="47" t="s">
        <v>269</v>
      </c>
      <c r="D86" s="256" t="s">
        <v>50</v>
      </c>
      <c r="F86" s="251" t="e">
        <f>(#REF!)</f>
        <v>#REF!</v>
      </c>
      <c r="G86" s="253">
        <v>36</v>
      </c>
      <c r="H86" s="276" t="e">
        <f t="shared" ref="H86" si="13">(G86+F86)/2</f>
        <v>#REF!</v>
      </c>
    </row>
    <row r="87" spans="2:8" x14ac:dyDescent="0.25">
      <c r="B87" s="255">
        <v>3201001710</v>
      </c>
      <c r="C87" s="47" t="s">
        <v>270</v>
      </c>
      <c r="D87" s="256" t="s">
        <v>49</v>
      </c>
      <c r="F87" s="251" t="e">
        <f>(#REF!)</f>
        <v>#REF!</v>
      </c>
      <c r="G87" s="253">
        <v>0</v>
      </c>
      <c r="H87" s="276" t="e">
        <f>(F87)</f>
        <v>#REF!</v>
      </c>
    </row>
    <row r="88" spans="2:8" x14ac:dyDescent="0.25">
      <c r="B88" s="686" t="s">
        <v>252</v>
      </c>
      <c r="C88" s="686"/>
      <c r="D88" s="686"/>
      <c r="F88" s="251"/>
      <c r="G88" s="253"/>
      <c r="H88" s="276"/>
    </row>
    <row r="89" spans="2:8" x14ac:dyDescent="0.25">
      <c r="B89" s="687">
        <v>32070006</v>
      </c>
      <c r="C89" s="263" t="s">
        <v>75</v>
      </c>
      <c r="D89" s="264" t="s">
        <v>62</v>
      </c>
      <c r="F89" s="251" t="e">
        <f>(#REF!)</f>
        <v>#REF!</v>
      </c>
      <c r="G89" s="253">
        <v>43.98</v>
      </c>
      <c r="H89" s="276" t="e">
        <f t="shared" ref="H89:H92" si="14">(G89+F89)/2</f>
        <v>#REF!</v>
      </c>
    </row>
    <row r="90" spans="2:8" x14ac:dyDescent="0.25">
      <c r="B90" s="687"/>
      <c r="C90" s="263" t="s">
        <v>74</v>
      </c>
      <c r="D90" s="264" t="s">
        <v>45</v>
      </c>
      <c r="F90" s="251" t="e">
        <f>(#REF!)</f>
        <v>#REF!</v>
      </c>
      <c r="G90" s="253">
        <v>21.06</v>
      </c>
      <c r="H90" s="276" t="e">
        <f t="shared" si="14"/>
        <v>#REF!</v>
      </c>
    </row>
    <row r="91" spans="2:8" x14ac:dyDescent="0.25">
      <c r="B91" s="687"/>
      <c r="C91" s="263" t="s">
        <v>73</v>
      </c>
      <c r="D91" s="264" t="s">
        <v>45</v>
      </c>
      <c r="F91" s="251" t="e">
        <f>(#REF!)</f>
        <v>#REF!</v>
      </c>
      <c r="G91" s="253">
        <v>62</v>
      </c>
      <c r="H91" s="276">
        <f>(G91)</f>
        <v>62</v>
      </c>
    </row>
    <row r="92" spans="2:8" x14ac:dyDescent="0.25">
      <c r="B92" s="687"/>
      <c r="C92" s="263" t="s">
        <v>72</v>
      </c>
      <c r="D92" s="264" t="s">
        <v>62</v>
      </c>
      <c r="F92" s="251" t="e">
        <f>(#REF!)</f>
        <v>#REF!</v>
      </c>
      <c r="G92" s="253">
        <v>21.54</v>
      </c>
      <c r="H92" s="276" t="e">
        <f t="shared" si="14"/>
        <v>#REF!</v>
      </c>
    </row>
    <row r="93" spans="2:8" x14ac:dyDescent="0.25">
      <c r="B93" s="687"/>
      <c r="C93" s="78" t="s">
        <v>71</v>
      </c>
      <c r="D93" s="265" t="s">
        <v>45</v>
      </c>
      <c r="F93" s="251">
        <v>0</v>
      </c>
      <c r="G93" s="253">
        <v>0</v>
      </c>
      <c r="H93" s="276">
        <v>0</v>
      </c>
    </row>
    <row r="94" spans="2:8" x14ac:dyDescent="0.25">
      <c r="B94" s="271"/>
      <c r="C94" s="271"/>
      <c r="D94" s="271"/>
      <c r="F94" s="251"/>
      <c r="G94" s="253"/>
      <c r="H94" s="276"/>
    </row>
    <row r="95" spans="2:8" x14ac:dyDescent="0.25">
      <c r="B95" s="266">
        <v>321600081</v>
      </c>
      <c r="C95" s="78" t="s">
        <v>120</v>
      </c>
      <c r="D95" s="265" t="s">
        <v>45</v>
      </c>
      <c r="F95" s="251" t="e">
        <f>(#REF!)</f>
        <v>#REF!</v>
      </c>
      <c r="G95" s="253">
        <v>0</v>
      </c>
      <c r="H95" s="276" t="e">
        <f>(F95)</f>
        <v>#REF!</v>
      </c>
    </row>
    <row r="96" spans="2:8" x14ac:dyDescent="0.25">
      <c r="B96" s="686" t="s">
        <v>257</v>
      </c>
      <c r="C96" s="686"/>
      <c r="D96" s="686"/>
      <c r="F96" s="251"/>
      <c r="G96" s="253"/>
      <c r="H96" s="276"/>
    </row>
    <row r="97" spans="2:8" x14ac:dyDescent="0.25">
      <c r="B97" s="272">
        <v>32030001</v>
      </c>
      <c r="C97" s="263" t="s">
        <v>10</v>
      </c>
      <c r="D97" s="264" t="s">
        <v>45</v>
      </c>
      <c r="F97" s="251" t="e">
        <f>(#REF!)</f>
        <v>#REF!</v>
      </c>
      <c r="G97" s="253">
        <v>4.8</v>
      </c>
      <c r="H97" s="276" t="e">
        <f>(G97+F97)/2</f>
        <v>#REF!</v>
      </c>
    </row>
    <row r="98" spans="2:8" x14ac:dyDescent="0.25">
      <c r="B98" s="686"/>
      <c r="C98" s="686"/>
      <c r="D98" s="686"/>
      <c r="F98" s="251"/>
      <c r="G98" s="253"/>
      <c r="H98" s="276"/>
    </row>
    <row r="99" spans="2:8" x14ac:dyDescent="0.25">
      <c r="B99" s="267">
        <v>321500154</v>
      </c>
      <c r="C99" s="78" t="s">
        <v>302</v>
      </c>
      <c r="D99" s="265" t="s">
        <v>62</v>
      </c>
      <c r="F99" s="251" t="e">
        <f>(#REF!)</f>
        <v>#REF!</v>
      </c>
      <c r="G99" s="253">
        <v>0</v>
      </c>
      <c r="H99" s="276">
        <v>0</v>
      </c>
    </row>
    <row r="100" spans="2:8" x14ac:dyDescent="0.25">
      <c r="B100" s="686" t="s">
        <v>281</v>
      </c>
      <c r="C100" s="686"/>
      <c r="D100" s="686"/>
      <c r="F100" s="251"/>
      <c r="G100" s="253"/>
      <c r="H100" s="276"/>
    </row>
    <row r="101" spans="2:8" x14ac:dyDescent="0.25">
      <c r="B101" s="690">
        <v>32070007</v>
      </c>
      <c r="C101" s="47" t="s">
        <v>77</v>
      </c>
      <c r="D101" s="256" t="s">
        <v>45</v>
      </c>
      <c r="F101" s="251" t="e">
        <f>(#REF!)</f>
        <v>#REF!</v>
      </c>
      <c r="G101" s="253">
        <v>4.25</v>
      </c>
      <c r="H101" s="276" t="e">
        <f t="shared" ref="H101:H105" si="15">(G101+F101)/2</f>
        <v>#REF!</v>
      </c>
    </row>
    <row r="102" spans="2:8" x14ac:dyDescent="0.25">
      <c r="B102" s="690"/>
      <c r="C102" s="47" t="s">
        <v>78</v>
      </c>
      <c r="D102" s="256" t="s">
        <v>45</v>
      </c>
      <c r="F102" s="251" t="e">
        <f>(#REF!)</f>
        <v>#REF!</v>
      </c>
      <c r="G102" s="253">
        <v>5.94</v>
      </c>
      <c r="H102" s="276" t="e">
        <f t="shared" si="15"/>
        <v>#REF!</v>
      </c>
    </row>
    <row r="103" spans="2:8" x14ac:dyDescent="0.25">
      <c r="B103" s="690"/>
      <c r="C103" s="47" t="s">
        <v>79</v>
      </c>
      <c r="D103" s="256" t="s">
        <v>45</v>
      </c>
      <c r="F103" s="251" t="e">
        <f>(#REF!)</f>
        <v>#REF!</v>
      </c>
      <c r="G103" s="253">
        <v>9.94</v>
      </c>
      <c r="H103" s="276" t="e">
        <f t="shared" si="15"/>
        <v>#REF!</v>
      </c>
    </row>
    <row r="104" spans="2:8" x14ac:dyDescent="0.25">
      <c r="B104" s="690"/>
      <c r="C104" s="257" t="s">
        <v>80</v>
      </c>
      <c r="D104" s="258" t="s">
        <v>45</v>
      </c>
      <c r="F104" s="251" t="e">
        <f>(#REF!)</f>
        <v>#REF!</v>
      </c>
      <c r="G104" s="253">
        <v>27.5</v>
      </c>
      <c r="H104" s="276" t="e">
        <f t="shared" si="15"/>
        <v>#REF!</v>
      </c>
    </row>
    <row r="105" spans="2:8" x14ac:dyDescent="0.25">
      <c r="B105" s="690"/>
      <c r="C105" s="47" t="s">
        <v>76</v>
      </c>
      <c r="D105" s="256" t="s">
        <v>45</v>
      </c>
      <c r="F105" s="251" t="e">
        <f>(#REF!)</f>
        <v>#REF!</v>
      </c>
      <c r="G105" s="253">
        <v>3.95</v>
      </c>
      <c r="H105" s="276" t="e">
        <f t="shared" si="15"/>
        <v>#REF!</v>
      </c>
    </row>
    <row r="106" spans="2:8" x14ac:dyDescent="0.25">
      <c r="B106" s="686"/>
      <c r="C106" s="686"/>
      <c r="D106" s="686"/>
      <c r="F106" s="251"/>
      <c r="G106" s="253"/>
      <c r="H106" s="276"/>
    </row>
    <row r="107" spans="2:8" x14ac:dyDescent="0.25">
      <c r="B107" s="266">
        <v>321100011</v>
      </c>
      <c r="C107" s="263" t="s">
        <v>25</v>
      </c>
      <c r="D107" s="264" t="s">
        <v>45</v>
      </c>
      <c r="F107" s="251" t="e">
        <f>(#REF!)</f>
        <v>#REF!</v>
      </c>
      <c r="G107" s="253">
        <v>22.54</v>
      </c>
      <c r="H107" s="276" t="e">
        <f t="shared" ref="H107" si="16">(G107+F107)/2</f>
        <v>#REF!</v>
      </c>
    </row>
    <row r="108" spans="2:8" x14ac:dyDescent="0.25">
      <c r="B108" s="686" t="s">
        <v>300</v>
      </c>
      <c r="C108" s="686"/>
      <c r="D108" s="686"/>
      <c r="F108" s="251"/>
      <c r="G108" s="253"/>
      <c r="H108" s="276"/>
    </row>
    <row r="109" spans="2:8" x14ac:dyDescent="0.25">
      <c r="B109" s="687">
        <v>32090019</v>
      </c>
      <c r="C109" s="78" t="s">
        <v>92</v>
      </c>
      <c r="D109" s="265" t="s">
        <v>62</v>
      </c>
      <c r="F109" s="251" t="e">
        <f>(#REF!)</f>
        <v>#REF!</v>
      </c>
      <c r="G109" s="253">
        <v>386.5</v>
      </c>
      <c r="H109" s="276" t="e">
        <f t="shared" ref="H109:H114" si="17">(G109+F109)/2</f>
        <v>#REF!</v>
      </c>
    </row>
    <row r="110" spans="2:8" x14ac:dyDescent="0.25">
      <c r="B110" s="687"/>
      <c r="C110" s="263" t="s">
        <v>90</v>
      </c>
      <c r="D110" s="264" t="s">
        <v>62</v>
      </c>
      <c r="F110" s="251" t="e">
        <f>(#REF!)</f>
        <v>#REF!</v>
      </c>
      <c r="G110" s="253">
        <v>386.5</v>
      </c>
      <c r="H110" s="276" t="e">
        <f t="shared" si="17"/>
        <v>#REF!</v>
      </c>
    </row>
    <row r="111" spans="2:8" x14ac:dyDescent="0.25">
      <c r="B111" s="687"/>
      <c r="C111" s="263" t="s">
        <v>91</v>
      </c>
      <c r="D111" s="264" t="s">
        <v>62</v>
      </c>
      <c r="F111" s="251" t="e">
        <f>(#REF!)</f>
        <v>#REF!</v>
      </c>
      <c r="G111" s="253">
        <v>386.5</v>
      </c>
      <c r="H111" s="276" t="e">
        <f t="shared" si="17"/>
        <v>#REF!</v>
      </c>
    </row>
    <row r="112" spans="2:8" x14ac:dyDescent="0.25">
      <c r="B112" s="687">
        <v>32120004</v>
      </c>
      <c r="C112" s="263" t="s">
        <v>28</v>
      </c>
      <c r="D112" s="264" t="s">
        <v>45</v>
      </c>
      <c r="F112" s="251" t="e">
        <f>(#REF!)</f>
        <v>#REF!</v>
      </c>
      <c r="G112" s="253">
        <v>64.8</v>
      </c>
      <c r="H112" s="276" t="e">
        <f t="shared" si="17"/>
        <v>#REF!</v>
      </c>
    </row>
    <row r="113" spans="2:8" x14ac:dyDescent="0.25">
      <c r="B113" s="687"/>
      <c r="C113" s="263" t="s">
        <v>98</v>
      </c>
      <c r="D113" s="264" t="s">
        <v>45</v>
      </c>
      <c r="F113" s="251" t="e">
        <f>(#REF!)</f>
        <v>#REF!</v>
      </c>
      <c r="G113" s="253">
        <v>64.8</v>
      </c>
      <c r="H113" s="276" t="e">
        <f t="shared" si="17"/>
        <v>#REF!</v>
      </c>
    </row>
    <row r="114" spans="2:8" x14ac:dyDescent="0.25">
      <c r="B114" s="688">
        <v>32120005</v>
      </c>
      <c r="C114" s="78" t="s">
        <v>102</v>
      </c>
      <c r="D114" s="265" t="s">
        <v>45</v>
      </c>
      <c r="F114" s="251" t="e">
        <f>(#REF!)</f>
        <v>#REF!</v>
      </c>
      <c r="G114" s="253">
        <v>134.4</v>
      </c>
      <c r="H114" s="276" t="e">
        <f t="shared" si="17"/>
        <v>#REF!</v>
      </c>
    </row>
    <row r="115" spans="2:8" x14ac:dyDescent="0.25">
      <c r="B115" s="688"/>
      <c r="C115" s="78" t="s">
        <v>99</v>
      </c>
      <c r="D115" s="265" t="s">
        <v>100</v>
      </c>
      <c r="F115" s="251" t="e">
        <f>(#REF!)</f>
        <v>#REF!</v>
      </c>
      <c r="G115" s="253">
        <v>0</v>
      </c>
      <c r="H115" s="276" t="e">
        <f>(F115)</f>
        <v>#REF!</v>
      </c>
    </row>
    <row r="116" spans="2:8" x14ac:dyDescent="0.25">
      <c r="B116" s="688"/>
      <c r="C116" s="78" t="s">
        <v>101</v>
      </c>
      <c r="D116" s="265" t="s">
        <v>100</v>
      </c>
      <c r="F116" s="251" t="e">
        <f>(#REF!)</f>
        <v>#REF!</v>
      </c>
      <c r="G116" s="253">
        <v>0</v>
      </c>
      <c r="H116" s="276" t="e">
        <f>(F116)</f>
        <v>#REF!</v>
      </c>
    </row>
    <row r="117" spans="2:8" x14ac:dyDescent="0.25">
      <c r="B117" s="688"/>
      <c r="C117" s="78" t="s">
        <v>26</v>
      </c>
      <c r="D117" s="265" t="s">
        <v>45</v>
      </c>
      <c r="F117" s="251" t="e">
        <f>(#REF!)</f>
        <v>#REF!</v>
      </c>
      <c r="G117" s="253">
        <v>132.49</v>
      </c>
      <c r="H117" s="276" t="e">
        <f t="shared" ref="H117" si="18">(G117+F117)/2</f>
        <v>#REF!</v>
      </c>
    </row>
    <row r="118" spans="2:8" x14ac:dyDescent="0.25">
      <c r="B118" s="686" t="s">
        <v>253</v>
      </c>
      <c r="C118" s="686"/>
      <c r="D118" s="686"/>
      <c r="F118" s="251"/>
      <c r="G118" s="253"/>
      <c r="H118" s="276"/>
    </row>
    <row r="119" spans="2:8" x14ac:dyDescent="0.25">
      <c r="B119" s="267">
        <v>32120011</v>
      </c>
      <c r="C119" s="78" t="s">
        <v>282</v>
      </c>
      <c r="D119" s="265" t="s">
        <v>45</v>
      </c>
      <c r="F119" s="251" t="e">
        <f>(#REF!)</f>
        <v>#REF!</v>
      </c>
      <c r="G119" s="253">
        <v>156.79</v>
      </c>
      <c r="H119" s="276">
        <f>(G119)</f>
        <v>156.79</v>
      </c>
    </row>
    <row r="120" spans="2:8" x14ac:dyDescent="0.25">
      <c r="B120" s="686" t="s">
        <v>256</v>
      </c>
      <c r="C120" s="686"/>
      <c r="D120" s="686"/>
      <c r="F120" s="251"/>
      <c r="G120" s="253"/>
      <c r="H120" s="276"/>
    </row>
    <row r="121" spans="2:8" x14ac:dyDescent="0.25">
      <c r="B121" s="687">
        <v>32080004</v>
      </c>
      <c r="C121" s="263" t="s">
        <v>82</v>
      </c>
      <c r="D121" s="264" t="s">
        <v>45</v>
      </c>
      <c r="F121" s="251" t="e">
        <f>(#REF!)</f>
        <v>#REF!</v>
      </c>
      <c r="G121" s="253">
        <v>100.79</v>
      </c>
      <c r="H121" s="276" t="e">
        <f t="shared" ref="H121:H123" si="19">(G121+F121)/2</f>
        <v>#REF!</v>
      </c>
    </row>
    <row r="122" spans="2:8" x14ac:dyDescent="0.25">
      <c r="B122" s="687"/>
      <c r="C122" s="263" t="s">
        <v>83</v>
      </c>
      <c r="D122" s="264" t="s">
        <v>45</v>
      </c>
      <c r="F122" s="251" t="e">
        <f>(#REF!)</f>
        <v>#REF!</v>
      </c>
      <c r="G122" s="253">
        <v>100.79</v>
      </c>
      <c r="H122" s="276" t="e">
        <f t="shared" si="19"/>
        <v>#REF!</v>
      </c>
    </row>
    <row r="123" spans="2:8" x14ac:dyDescent="0.25">
      <c r="B123" s="687"/>
      <c r="C123" s="263" t="s">
        <v>8</v>
      </c>
      <c r="D123" s="264" t="s">
        <v>45</v>
      </c>
      <c r="F123" s="251" t="e">
        <f>(#REF!)</f>
        <v>#REF!</v>
      </c>
      <c r="G123" s="253">
        <v>90.72</v>
      </c>
      <c r="H123" s="276" t="e">
        <f t="shared" si="19"/>
        <v>#REF!</v>
      </c>
    </row>
    <row r="124" spans="2:8" x14ac:dyDescent="0.25">
      <c r="B124" s="267">
        <v>320800057</v>
      </c>
      <c r="C124" s="78" t="s">
        <v>272</v>
      </c>
      <c r="D124" s="265" t="s">
        <v>45</v>
      </c>
      <c r="F124" s="251" t="e">
        <f>(#REF!)</f>
        <v>#REF!</v>
      </c>
      <c r="G124" s="253">
        <v>167.2</v>
      </c>
      <c r="H124" s="276" t="e">
        <f t="shared" ref="H124" si="20">(G124+F124)/2</f>
        <v>#REF!</v>
      </c>
    </row>
    <row r="125" spans="2:8" x14ac:dyDescent="0.25">
      <c r="B125" s="686"/>
      <c r="C125" s="686"/>
      <c r="D125" s="686"/>
      <c r="F125" s="251"/>
      <c r="G125" s="253"/>
      <c r="H125" s="276"/>
    </row>
    <row r="126" spans="2:8" x14ac:dyDescent="0.25">
      <c r="B126" s="266">
        <v>320900102</v>
      </c>
      <c r="C126" s="263" t="s">
        <v>87</v>
      </c>
      <c r="D126" s="264" t="s">
        <v>62</v>
      </c>
      <c r="F126" s="251" t="e">
        <f>(#REF!)</f>
        <v>#REF!</v>
      </c>
      <c r="G126" s="253">
        <v>134.9</v>
      </c>
      <c r="H126" s="276" t="e">
        <f t="shared" ref="H126" si="21">(G126+F126)/2</f>
        <v>#REF!</v>
      </c>
    </row>
    <row r="127" spans="2:8" x14ac:dyDescent="0.25">
      <c r="B127" s="686" t="s">
        <v>283</v>
      </c>
      <c r="C127" s="686"/>
      <c r="D127" s="686"/>
      <c r="F127" s="251"/>
      <c r="G127" s="253"/>
      <c r="H127" s="276"/>
    </row>
    <row r="128" spans="2:8" x14ac:dyDescent="0.25">
      <c r="B128" s="266">
        <v>320900135</v>
      </c>
      <c r="C128" s="263" t="s">
        <v>89</v>
      </c>
      <c r="D128" s="264" t="s">
        <v>45</v>
      </c>
      <c r="F128" s="251" t="e">
        <f>(#REF!)</f>
        <v>#REF!</v>
      </c>
      <c r="G128" s="22">
        <v>0</v>
      </c>
      <c r="H128" s="276" t="e">
        <f>(F128)</f>
        <v>#REF!</v>
      </c>
    </row>
    <row r="129" spans="2:8" x14ac:dyDescent="0.25">
      <c r="B129" s="266">
        <v>320900131</v>
      </c>
      <c r="C129" s="263" t="s">
        <v>88</v>
      </c>
      <c r="D129" s="264" t="s">
        <v>45</v>
      </c>
      <c r="F129" s="251" t="e">
        <f>(#REF!)</f>
        <v>#REF!</v>
      </c>
      <c r="G129" s="253">
        <v>29.39</v>
      </c>
      <c r="H129" s="276" t="e">
        <f t="shared" ref="H129" si="22">(G129+F129)/2</f>
        <v>#REF!</v>
      </c>
    </row>
    <row r="130" spans="2:8" x14ac:dyDescent="0.25">
      <c r="B130" s="686"/>
      <c r="C130" s="686"/>
      <c r="D130" s="686"/>
      <c r="F130" s="251"/>
      <c r="G130" s="253"/>
      <c r="H130" s="276"/>
    </row>
    <row r="131" spans="2:8" x14ac:dyDescent="0.25">
      <c r="B131" s="266">
        <v>320900212</v>
      </c>
      <c r="C131" s="263" t="s">
        <v>24</v>
      </c>
      <c r="D131" s="264" t="s">
        <v>62</v>
      </c>
      <c r="F131" s="251" t="e">
        <f>(#REF!)</f>
        <v>#REF!</v>
      </c>
      <c r="G131" s="253">
        <v>13.88</v>
      </c>
      <c r="H131" s="276" t="e">
        <f t="shared" ref="H131" si="23">(G131+F131)/2</f>
        <v>#REF!</v>
      </c>
    </row>
    <row r="132" spans="2:8" x14ac:dyDescent="0.25">
      <c r="B132" s="686"/>
      <c r="C132" s="686"/>
      <c r="D132" s="686"/>
      <c r="F132" s="251"/>
      <c r="G132" s="253"/>
      <c r="H132" s="276"/>
    </row>
    <row r="133" spans="2:8" x14ac:dyDescent="0.25">
      <c r="B133" s="266">
        <v>320500044</v>
      </c>
      <c r="C133" s="263" t="s">
        <v>21</v>
      </c>
      <c r="D133" s="264" t="s">
        <v>58</v>
      </c>
      <c r="F133" s="251" t="e">
        <f>(#REF!)</f>
        <v>#REF!</v>
      </c>
      <c r="G133" s="253">
        <v>108.54</v>
      </c>
      <c r="H133" s="276" t="e">
        <f t="shared" ref="H133:H134" si="24">(G133+F133)/2</f>
        <v>#REF!</v>
      </c>
    </row>
    <row r="134" spans="2:8" x14ac:dyDescent="0.25">
      <c r="B134" s="266">
        <v>320500031</v>
      </c>
      <c r="C134" s="263" t="s">
        <v>66</v>
      </c>
      <c r="D134" s="264" t="s">
        <v>58</v>
      </c>
      <c r="F134" s="251" t="e">
        <f>(#REF!)</f>
        <v>#REF!</v>
      </c>
      <c r="G134" s="253">
        <v>2145</v>
      </c>
      <c r="H134" s="276" t="e">
        <f t="shared" si="24"/>
        <v>#REF!</v>
      </c>
    </row>
    <row r="135" spans="2:8" x14ac:dyDescent="0.25">
      <c r="B135" s="267">
        <v>321500066</v>
      </c>
      <c r="C135" s="78" t="s">
        <v>292</v>
      </c>
      <c r="D135" s="265" t="s">
        <v>117</v>
      </c>
      <c r="F135" s="251" t="e">
        <f>(#REF!)</f>
        <v>#REF!</v>
      </c>
      <c r="G135" s="253">
        <v>0</v>
      </c>
      <c r="H135" s="276" t="e">
        <f>(F135)</f>
        <v>#REF!</v>
      </c>
    </row>
    <row r="136" spans="2:8" x14ac:dyDescent="0.25">
      <c r="B136" s="686"/>
      <c r="C136" s="686"/>
      <c r="D136" s="686"/>
      <c r="F136" s="251"/>
      <c r="G136" s="253"/>
      <c r="H136" s="276"/>
    </row>
    <row r="137" spans="2:8" x14ac:dyDescent="0.25">
      <c r="B137" s="266">
        <v>321600051</v>
      </c>
      <c r="C137" s="78" t="s">
        <v>33</v>
      </c>
      <c r="D137" s="265" t="s">
        <v>45</v>
      </c>
      <c r="F137" s="251" t="e">
        <f>(#REF!)</f>
        <v>#REF!</v>
      </c>
      <c r="G137" s="253">
        <v>0</v>
      </c>
      <c r="H137" s="276" t="e">
        <f>(F137)</f>
        <v>#REF!</v>
      </c>
    </row>
    <row r="138" spans="2:8" x14ac:dyDescent="0.25">
      <c r="B138" s="266">
        <v>320900041</v>
      </c>
      <c r="C138" s="263" t="s">
        <v>85</v>
      </c>
      <c r="D138" s="264" t="s">
        <v>62</v>
      </c>
      <c r="F138" s="251" t="e">
        <f>(#REF!)</f>
        <v>#REF!</v>
      </c>
      <c r="G138" s="253">
        <v>15.91</v>
      </c>
      <c r="H138" s="276" t="e">
        <f t="shared" ref="H138" si="25">(G138+F138)/2</f>
        <v>#REF!</v>
      </c>
    </row>
    <row r="139" spans="2:8" x14ac:dyDescent="0.25">
      <c r="B139" s="686"/>
      <c r="C139" s="686"/>
      <c r="D139" s="686"/>
      <c r="F139" s="251"/>
      <c r="G139" s="253"/>
      <c r="H139" s="276"/>
    </row>
    <row r="140" spans="2:8" x14ac:dyDescent="0.25">
      <c r="B140" s="272">
        <v>321500062</v>
      </c>
      <c r="C140" s="257" t="s">
        <v>271</v>
      </c>
      <c r="D140" s="258" t="s">
        <v>58</v>
      </c>
      <c r="F140" s="251" t="e">
        <f>(#REF!)</f>
        <v>#REF!</v>
      </c>
      <c r="G140" s="253">
        <v>0</v>
      </c>
      <c r="H140" s="276" t="e">
        <f>(F140)</f>
        <v>#REF!</v>
      </c>
    </row>
    <row r="141" spans="2:8" x14ac:dyDescent="0.25">
      <c r="B141" s="686" t="s">
        <v>298</v>
      </c>
      <c r="C141" s="686"/>
      <c r="D141" s="686"/>
      <c r="F141" s="251"/>
      <c r="G141" s="253"/>
      <c r="H141" s="276"/>
    </row>
    <row r="142" spans="2:8" x14ac:dyDescent="0.25">
      <c r="B142" s="267">
        <v>3211000211</v>
      </c>
      <c r="C142" s="78" t="s">
        <v>95</v>
      </c>
      <c r="D142" s="265" t="s">
        <v>45</v>
      </c>
      <c r="F142" s="251" t="e">
        <f>(#REF!)</f>
        <v>#REF!</v>
      </c>
      <c r="G142" s="253">
        <v>0</v>
      </c>
      <c r="H142" s="276">
        <v>0</v>
      </c>
    </row>
    <row r="143" spans="2:8" x14ac:dyDescent="0.25">
      <c r="B143" s="267">
        <v>3211000212</v>
      </c>
      <c r="C143" s="78" t="s">
        <v>96</v>
      </c>
      <c r="D143" s="265" t="s">
        <v>62</v>
      </c>
      <c r="F143" s="251" t="e">
        <f>(#REF!)</f>
        <v>#REF!</v>
      </c>
      <c r="G143" s="253">
        <v>295</v>
      </c>
      <c r="H143" s="276">
        <f>(G143)</f>
        <v>295</v>
      </c>
    </row>
    <row r="144" spans="2:8" x14ac:dyDescent="0.25">
      <c r="B144" s="686" t="s">
        <v>254</v>
      </c>
      <c r="C144" s="686"/>
      <c r="D144" s="686"/>
      <c r="F144" s="251"/>
      <c r="G144" s="253"/>
      <c r="H144" s="276"/>
    </row>
    <row r="145" spans="2:8" x14ac:dyDescent="0.25">
      <c r="B145" s="688">
        <v>32130006</v>
      </c>
      <c r="C145" s="78" t="s">
        <v>273</v>
      </c>
      <c r="D145" s="265" t="s">
        <v>62</v>
      </c>
      <c r="F145" s="251" t="e">
        <f>(#REF!)</f>
        <v>#REF!</v>
      </c>
      <c r="G145" s="253">
        <v>53.2</v>
      </c>
      <c r="H145" s="276" t="e">
        <f t="shared" ref="H145" si="26">(G145+F145)/2</f>
        <v>#REF!</v>
      </c>
    </row>
    <row r="146" spans="2:8" x14ac:dyDescent="0.25">
      <c r="B146" s="688"/>
      <c r="C146" s="78" t="s">
        <v>103</v>
      </c>
      <c r="D146" s="265" t="s">
        <v>45</v>
      </c>
      <c r="F146" s="251"/>
      <c r="G146" s="253">
        <v>46.07</v>
      </c>
      <c r="H146" s="276">
        <f>(G146)</f>
        <v>46.07</v>
      </c>
    </row>
    <row r="147" spans="2:8" x14ac:dyDescent="0.25">
      <c r="B147" s="272">
        <v>322300033</v>
      </c>
      <c r="C147" s="257" t="s">
        <v>306</v>
      </c>
      <c r="D147" s="258" t="s">
        <v>62</v>
      </c>
      <c r="F147" s="251" t="e">
        <f>(#REF!)</f>
        <v>#REF!</v>
      </c>
      <c r="G147" s="253">
        <v>87</v>
      </c>
      <c r="H147" s="276" t="e">
        <f t="shared" ref="H147" si="27">(G147+F147)/2</f>
        <v>#REF!</v>
      </c>
    </row>
    <row r="148" spans="2:8" x14ac:dyDescent="0.25">
      <c r="B148" s="266">
        <v>322300054</v>
      </c>
      <c r="C148" s="263" t="s">
        <v>121</v>
      </c>
      <c r="D148" s="264" t="s">
        <v>45</v>
      </c>
      <c r="F148" s="251" t="e">
        <f>(#REF!)</f>
        <v>#REF!</v>
      </c>
      <c r="G148" s="253">
        <v>0</v>
      </c>
      <c r="H148" s="276" t="e">
        <f>(F148)</f>
        <v>#REF!</v>
      </c>
    </row>
    <row r="149" spans="2:8" x14ac:dyDescent="0.25">
      <c r="B149" s="686" t="s">
        <v>388</v>
      </c>
      <c r="C149" s="686"/>
      <c r="D149" s="686"/>
      <c r="F149" s="251"/>
      <c r="G149" s="253"/>
      <c r="H149" s="276"/>
    </row>
    <row r="150" spans="2:8" x14ac:dyDescent="0.25">
      <c r="B150" s="687">
        <v>32020006</v>
      </c>
      <c r="C150" s="263" t="s">
        <v>395</v>
      </c>
      <c r="D150" s="264" t="s">
        <v>58</v>
      </c>
      <c r="F150" s="251" t="e">
        <f>(#REF!)</f>
        <v>#REF!</v>
      </c>
      <c r="G150" s="253">
        <v>262.64</v>
      </c>
      <c r="H150" s="276" t="e">
        <f t="shared" ref="H150:H152" si="28">(G150+F150)/2</f>
        <v>#REF!</v>
      </c>
    </row>
    <row r="151" spans="2:8" x14ac:dyDescent="0.25">
      <c r="B151" s="687"/>
      <c r="C151" s="263" t="s">
        <v>2</v>
      </c>
      <c r="D151" s="264" t="s">
        <v>58</v>
      </c>
      <c r="F151" s="251" t="e">
        <f>(#REF!)</f>
        <v>#REF!</v>
      </c>
      <c r="G151" s="253">
        <v>88.4</v>
      </c>
      <c r="H151" s="276" t="e">
        <f t="shared" si="28"/>
        <v>#REF!</v>
      </c>
    </row>
    <row r="152" spans="2:8" x14ac:dyDescent="0.25">
      <c r="B152" s="687"/>
      <c r="C152" s="263" t="s">
        <v>60</v>
      </c>
      <c r="D152" s="264" t="s">
        <v>58</v>
      </c>
      <c r="F152" s="251" t="e">
        <f>(#REF!)</f>
        <v>#REF!</v>
      </c>
      <c r="G152" s="253">
        <v>107.5</v>
      </c>
      <c r="H152" s="276" t="e">
        <f t="shared" si="28"/>
        <v>#REF!</v>
      </c>
    </row>
    <row r="153" spans="2:8" x14ac:dyDescent="0.25">
      <c r="B153" s="689"/>
      <c r="C153" s="689"/>
      <c r="D153" s="689"/>
      <c r="F153" s="251"/>
      <c r="G153" s="253"/>
      <c r="H153" s="276"/>
    </row>
    <row r="154" spans="2:8" x14ac:dyDescent="0.25">
      <c r="B154" s="266">
        <v>320900052</v>
      </c>
      <c r="C154" s="263" t="s">
        <v>86</v>
      </c>
      <c r="D154" s="264" t="s">
        <v>45</v>
      </c>
      <c r="F154" s="251" t="e">
        <f>(#REF!)</f>
        <v>#REF!</v>
      </c>
      <c r="G154" s="253">
        <v>233.44</v>
      </c>
      <c r="H154" s="276">
        <f>(G154)</f>
        <v>233.44</v>
      </c>
    </row>
    <row r="155" spans="2:8" x14ac:dyDescent="0.25">
      <c r="B155" s="686"/>
      <c r="C155" s="686"/>
      <c r="D155" s="686"/>
      <c r="F155" s="251"/>
      <c r="G155" s="253"/>
      <c r="H155" s="276"/>
    </row>
    <row r="156" spans="2:8" x14ac:dyDescent="0.25">
      <c r="B156" s="255">
        <v>3212000815</v>
      </c>
      <c r="C156" s="47" t="s">
        <v>104</v>
      </c>
      <c r="D156" s="256" t="s">
        <v>45</v>
      </c>
      <c r="F156" s="251" t="e">
        <f>(#REF!)</f>
        <v>#REF!</v>
      </c>
      <c r="G156" s="253">
        <v>91.16</v>
      </c>
      <c r="H156" s="276" t="e">
        <f t="shared" ref="H156" si="29">(G156+F156)/2</f>
        <v>#REF!</v>
      </c>
    </row>
    <row r="157" spans="2:8" x14ac:dyDescent="0.25">
      <c r="B157" s="267">
        <v>321200332</v>
      </c>
      <c r="C157" s="78" t="s">
        <v>293</v>
      </c>
      <c r="D157" s="265"/>
      <c r="F157" s="251">
        <v>0</v>
      </c>
      <c r="G157" s="253">
        <v>0</v>
      </c>
      <c r="H157" s="276">
        <v>0</v>
      </c>
    </row>
    <row r="158" spans="2:8" x14ac:dyDescent="0.25">
      <c r="B158" s="686" t="s">
        <v>255</v>
      </c>
      <c r="C158" s="686"/>
      <c r="D158" s="686"/>
      <c r="F158" s="251"/>
      <c r="G158" s="253"/>
      <c r="H158" s="276"/>
    </row>
    <row r="159" spans="2:8" x14ac:dyDescent="0.25">
      <c r="B159" s="687">
        <v>32060005</v>
      </c>
      <c r="C159" s="263" t="s">
        <v>69</v>
      </c>
      <c r="D159" s="264" t="s">
        <v>68</v>
      </c>
      <c r="F159" s="251" t="e">
        <f>(#REF!)</f>
        <v>#REF!</v>
      </c>
      <c r="G159" s="253">
        <v>131.4</v>
      </c>
      <c r="H159" s="276" t="e">
        <f t="shared" ref="H159:H161" si="30">(G159+F159)/2</f>
        <v>#REF!</v>
      </c>
    </row>
    <row r="160" spans="2:8" x14ac:dyDescent="0.25">
      <c r="B160" s="687"/>
      <c r="C160" s="263" t="s">
        <v>23</v>
      </c>
      <c r="D160" s="264" t="s">
        <v>68</v>
      </c>
      <c r="F160" s="251" t="e">
        <f>(#REF!)</f>
        <v>#REF!</v>
      </c>
      <c r="G160" s="253">
        <v>179.5</v>
      </c>
      <c r="H160" s="276" t="e">
        <f t="shared" si="30"/>
        <v>#REF!</v>
      </c>
    </row>
    <row r="161" spans="2:8" x14ac:dyDescent="0.25">
      <c r="B161" s="687"/>
      <c r="C161" s="263" t="s">
        <v>70</v>
      </c>
      <c r="D161" s="264" t="s">
        <v>68</v>
      </c>
      <c r="F161" s="251" t="e">
        <f>(#REF!)</f>
        <v>#REF!</v>
      </c>
      <c r="G161" s="253">
        <v>233.4</v>
      </c>
      <c r="H161" s="276" t="e">
        <f t="shared" si="30"/>
        <v>#REF!</v>
      </c>
    </row>
    <row r="162" spans="2:8" x14ac:dyDescent="0.25">
      <c r="B162" s="687">
        <v>32020004</v>
      </c>
      <c r="C162" s="263" t="s">
        <v>57</v>
      </c>
      <c r="D162" s="264" t="s">
        <v>58</v>
      </c>
      <c r="F162" s="251" t="e">
        <f>(#REF!)</f>
        <v>#REF!</v>
      </c>
      <c r="G162" s="253">
        <v>0</v>
      </c>
      <c r="H162" s="276" t="e">
        <f>(F162)</f>
        <v>#REF!</v>
      </c>
    </row>
    <row r="163" spans="2:8" x14ac:dyDescent="0.25">
      <c r="B163" s="687"/>
      <c r="C163" s="263" t="s">
        <v>59</v>
      </c>
      <c r="D163" s="264" t="s">
        <v>58</v>
      </c>
      <c r="F163" s="251" t="e">
        <f>(#REF!)</f>
        <v>#REF!</v>
      </c>
      <c r="G163" s="253">
        <v>37.950000000000003</v>
      </c>
      <c r="H163" s="276" t="e">
        <f t="shared" ref="H163" si="31">(G163+F163)/2</f>
        <v>#REF!</v>
      </c>
    </row>
  </sheetData>
  <mergeCells count="69">
    <mergeCell ref="B25:B26"/>
    <mergeCell ref="B3:D3"/>
    <mergeCell ref="B4:D4"/>
    <mergeCell ref="B6:B12"/>
    <mergeCell ref="B13:D13"/>
    <mergeCell ref="B14:B15"/>
    <mergeCell ref="B16:D16"/>
    <mergeCell ref="B17:B18"/>
    <mergeCell ref="B19:D19"/>
    <mergeCell ref="B20:B21"/>
    <mergeCell ref="B22:B23"/>
    <mergeCell ref="B24:D24"/>
    <mergeCell ref="B51:B52"/>
    <mergeCell ref="B27:D27"/>
    <mergeCell ref="B29:D29"/>
    <mergeCell ref="B33:D33"/>
    <mergeCell ref="B34:B35"/>
    <mergeCell ref="B38:D38"/>
    <mergeCell ref="B40:D40"/>
    <mergeCell ref="B42:D42"/>
    <mergeCell ref="B44:D44"/>
    <mergeCell ref="B46:D46"/>
    <mergeCell ref="B48:D48"/>
    <mergeCell ref="B50:D50"/>
    <mergeCell ref="B78:D78"/>
    <mergeCell ref="B53:D53"/>
    <mergeCell ref="B55:D55"/>
    <mergeCell ref="B57:D57"/>
    <mergeCell ref="B59:D59"/>
    <mergeCell ref="B63:D63"/>
    <mergeCell ref="B65:D65"/>
    <mergeCell ref="B67:D67"/>
    <mergeCell ref="B69:D69"/>
    <mergeCell ref="B70:B72"/>
    <mergeCell ref="B73:D73"/>
    <mergeCell ref="B76:D76"/>
    <mergeCell ref="B109:B111"/>
    <mergeCell ref="B79:B80"/>
    <mergeCell ref="B82:D82"/>
    <mergeCell ref="B84:D84"/>
    <mergeCell ref="B88:D88"/>
    <mergeCell ref="B89:B93"/>
    <mergeCell ref="B96:D96"/>
    <mergeCell ref="B98:D98"/>
    <mergeCell ref="B100:D100"/>
    <mergeCell ref="B101:B105"/>
    <mergeCell ref="B106:D106"/>
    <mergeCell ref="B108:D108"/>
    <mergeCell ref="B141:D141"/>
    <mergeCell ref="B112:B113"/>
    <mergeCell ref="B114:B117"/>
    <mergeCell ref="B118:D118"/>
    <mergeCell ref="B120:D120"/>
    <mergeCell ref="B121:B123"/>
    <mergeCell ref="B125:D125"/>
    <mergeCell ref="B127:D127"/>
    <mergeCell ref="B130:D130"/>
    <mergeCell ref="B132:D132"/>
    <mergeCell ref="B136:D136"/>
    <mergeCell ref="B139:D139"/>
    <mergeCell ref="B158:D158"/>
    <mergeCell ref="B159:B161"/>
    <mergeCell ref="B162:B163"/>
    <mergeCell ref="B144:D144"/>
    <mergeCell ref="B145:B146"/>
    <mergeCell ref="B149:D149"/>
    <mergeCell ref="B150:B152"/>
    <mergeCell ref="B153:D153"/>
    <mergeCell ref="B155:D1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PRECIOS COMPR.AR MARZO</vt:lpstr>
      <vt:lpstr>PRECIO REFERENCIA JULIO 2022</vt:lpstr>
      <vt:lpstr>Variacion Mayo-Julio</vt:lpstr>
      <vt:lpstr>PRECIOS COMPR.AR MAYO</vt:lpstr>
    </vt:vector>
  </TitlesOfParts>
  <Company>Windows XP Titan Ultimate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MARINO</dc:creator>
  <cp:lastModifiedBy>Roberto Cabaña</cp:lastModifiedBy>
  <dcterms:created xsi:type="dcterms:W3CDTF">2018-07-13T15:13:17Z</dcterms:created>
  <dcterms:modified xsi:type="dcterms:W3CDTF">2022-07-29T12:47:57Z</dcterms:modified>
</cp:coreProperties>
</file>