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 firstSheet="1" activeTab="1"/>
  </bookViews>
  <sheets>
    <sheet name="PRECIOS COMPR.AR MARZO" sheetId="5" state="hidden" r:id="rId1"/>
    <sheet name="PRECIO REFERENCIA Nov 2022" sheetId="8" r:id="rId2"/>
    <sheet name="Variacion Sept-Nov" sheetId="9" r:id="rId3"/>
    <sheet name="Grupo por codigo de insumos" sheetId="10" r:id="rId4"/>
    <sheet name="PRECIOS COMPR.AR MAYO" sheetId="7" state="hidden" r:id="rId5"/>
  </sheets>
  <calcPr calcId="152511"/>
</workbook>
</file>

<file path=xl/calcChain.xml><?xml version="1.0" encoding="utf-8"?>
<calcChain xmlns="http://schemas.openxmlformats.org/spreadsheetml/2006/main">
  <c r="F11" i="8" l="1"/>
  <c r="F8" i="8"/>
  <c r="F158" i="8"/>
  <c r="G158" i="8"/>
  <c r="G143" i="8"/>
  <c r="G107" i="8"/>
  <c r="M89" i="8"/>
  <c r="F86" i="8"/>
  <c r="F83" i="8"/>
  <c r="J77" i="8"/>
  <c r="J78" i="8"/>
  <c r="G78" i="8"/>
  <c r="J76" i="8"/>
  <c r="G16" i="8"/>
  <c r="J162" i="8" l="1"/>
  <c r="G144" i="8"/>
  <c r="M143" i="8"/>
  <c r="G139" i="8"/>
  <c r="J110" i="8" l="1"/>
  <c r="J109" i="8"/>
  <c r="M107" i="8"/>
  <c r="J107" i="8"/>
  <c r="J103" i="8"/>
  <c r="J89" i="8"/>
  <c r="M77" i="8"/>
  <c r="M78" i="8"/>
  <c r="M76" i="8"/>
  <c r="G72" i="8"/>
  <c r="G41" i="8"/>
  <c r="M36" i="8"/>
  <c r="J33" i="8"/>
  <c r="J24" i="8"/>
  <c r="M23" i="8"/>
  <c r="J22" i="8"/>
  <c r="G20" i="8"/>
  <c r="G9" i="8"/>
  <c r="E34" i="10" l="1"/>
  <c r="F162" i="8"/>
  <c r="J161" i="8"/>
  <c r="F161" i="8" s="1"/>
  <c r="J160" i="8"/>
  <c r="F160" i="8" s="1"/>
  <c r="F139" i="8"/>
  <c r="F123" i="8"/>
  <c r="F118" i="9"/>
  <c r="F120" i="8"/>
  <c r="F122" i="8"/>
  <c r="F121" i="8"/>
  <c r="F70" i="8"/>
  <c r="F67" i="8"/>
  <c r="F68" i="8"/>
  <c r="F66" i="8"/>
  <c r="F43" i="8"/>
  <c r="F20" i="8"/>
  <c r="F17" i="8"/>
  <c r="F141" i="8" l="1"/>
  <c r="J11" i="8" l="1"/>
  <c r="E51" i="10" l="1"/>
  <c r="E48" i="10"/>
  <c r="E2" i="10"/>
  <c r="F152" i="8"/>
  <c r="F130" i="8"/>
  <c r="F166" i="8"/>
  <c r="G118" i="8"/>
  <c r="F118" i="8" s="1"/>
  <c r="G110" i="8"/>
  <c r="G99" i="8"/>
  <c r="F99" i="8" s="1"/>
  <c r="F94" i="9" s="1"/>
  <c r="G94" i="9" s="1"/>
  <c r="J72" i="8" l="1"/>
  <c r="F72" i="8" s="1"/>
  <c r="F87" i="8" l="1"/>
  <c r="F82" i="9" s="1"/>
  <c r="G82" i="9" s="1"/>
  <c r="G157" i="8" l="1"/>
  <c r="G156" i="8"/>
  <c r="F156" i="8" s="1"/>
  <c r="G153" i="8"/>
  <c r="F153" i="8" s="1"/>
  <c r="G135" i="8"/>
  <c r="G134" i="8"/>
  <c r="F117" i="8"/>
  <c r="F116" i="8"/>
  <c r="G115" i="8"/>
  <c r="F115" i="8" s="1"/>
  <c r="J113" i="8"/>
  <c r="G111" i="8"/>
  <c r="G109" i="8"/>
  <c r="J108" i="8"/>
  <c r="G108" i="8"/>
  <c r="G103" i="8"/>
  <c r="G97" i="8"/>
  <c r="J96" i="8"/>
  <c r="J92" i="8"/>
  <c r="G92" i="8"/>
  <c r="G86" i="8"/>
  <c r="F78" i="8"/>
  <c r="G77" i="8"/>
  <c r="G76" i="8"/>
  <c r="G64" i="8"/>
  <c r="G53" i="8"/>
  <c r="J51" i="8"/>
  <c r="J48" i="8"/>
  <c r="J47" i="8"/>
  <c r="J34" i="8" l="1"/>
  <c r="G34" i="8"/>
  <c r="F34" i="8" s="1"/>
  <c r="G33" i="8"/>
  <c r="F33" i="8" s="1"/>
  <c r="G32" i="8"/>
  <c r="J30" i="8"/>
  <c r="G25" i="8"/>
  <c r="F25" i="8" s="1"/>
  <c r="M24" i="8"/>
  <c r="G24" i="8"/>
  <c r="J23" i="8"/>
  <c r="F23" i="8" s="1"/>
  <c r="J19" i="8"/>
  <c r="G19" i="8"/>
  <c r="F16" i="8"/>
  <c r="G13" i="8"/>
  <c r="G11" i="8"/>
  <c r="F41" i="8" l="1"/>
  <c r="G119" i="8"/>
  <c r="F119" i="8" s="1"/>
  <c r="F144" i="8"/>
  <c r="F96" i="8" l="1"/>
  <c r="G149" i="9" l="1"/>
  <c r="G150" i="9"/>
  <c r="F151" i="9"/>
  <c r="G151" i="9" s="1"/>
  <c r="F148" i="9"/>
  <c r="G148" i="9" s="1"/>
  <c r="F157" i="8"/>
  <c r="F152" i="9" s="1"/>
  <c r="G152" i="9" s="1"/>
  <c r="J38" i="8" l="1"/>
  <c r="F147" i="9" l="1"/>
  <c r="G147" i="9" s="1"/>
  <c r="F67" i="9"/>
  <c r="F78" i="9"/>
  <c r="F125" i="9"/>
  <c r="F136" i="9"/>
  <c r="F155" i="9"/>
  <c r="F157" i="9"/>
  <c r="F161" i="9"/>
  <c r="F61" i="9" l="1"/>
  <c r="G61" i="9" s="1"/>
  <c r="F62" i="9"/>
  <c r="G62" i="9" s="1"/>
  <c r="F50" i="8" l="1"/>
  <c r="F45" i="9" s="1"/>
  <c r="G45" i="9" s="1"/>
  <c r="F49" i="8"/>
  <c r="F44" i="9" s="1"/>
  <c r="G44" i="9" s="1"/>
  <c r="F48" i="8"/>
  <c r="F43" i="9" s="1"/>
  <c r="G43" i="9" s="1"/>
  <c r="F47" i="8"/>
  <c r="F42" i="9" s="1"/>
  <c r="G42" i="9" s="1"/>
  <c r="F51" i="8"/>
  <c r="F46" i="9" s="1"/>
  <c r="G46" i="9" s="1"/>
  <c r="F173" i="8" l="1"/>
  <c r="F168" i="9" s="1"/>
  <c r="F172" i="8"/>
  <c r="F167" i="9" s="1"/>
  <c r="F171" i="8"/>
  <c r="F166" i="9" s="1"/>
  <c r="F170" i="8"/>
  <c r="F165" i="9" s="1"/>
  <c r="F169" i="8"/>
  <c r="F164" i="9" s="1"/>
  <c r="F164" i="8"/>
  <c r="F159" i="9" s="1"/>
  <c r="F156" i="9"/>
  <c r="F153" i="9"/>
  <c r="F151" i="8"/>
  <c r="F146" i="9" s="1"/>
  <c r="F146" i="8"/>
  <c r="F141" i="9" s="1"/>
  <c r="F139" i="9"/>
  <c r="F143" i="8"/>
  <c r="F138" i="9" s="1"/>
  <c r="F140" i="8"/>
  <c r="F135" i="9" s="1"/>
  <c r="F137" i="8"/>
  <c r="F132" i="9" s="1"/>
  <c r="G132" i="9" s="1"/>
  <c r="F135" i="8"/>
  <c r="F130" i="9" s="1"/>
  <c r="F134" i="8"/>
  <c r="F129" i="9" s="1"/>
  <c r="F132" i="8"/>
  <c r="F127" i="9" s="1"/>
  <c r="F129" i="8"/>
  <c r="F124" i="9" s="1"/>
  <c r="F128" i="8"/>
  <c r="F123" i="9" s="1"/>
  <c r="F127" i="8"/>
  <c r="F122" i="9" s="1"/>
  <c r="G118" i="9"/>
  <c r="F117" i="9"/>
  <c r="F116" i="9"/>
  <c r="F115" i="9"/>
  <c r="G115" i="9" s="1"/>
  <c r="F114" i="9"/>
  <c r="F113" i="9"/>
  <c r="F112" i="9"/>
  <c r="F111" i="9"/>
  <c r="F110" i="9"/>
  <c r="F113" i="8"/>
  <c r="F108" i="9" s="1"/>
  <c r="F111" i="8"/>
  <c r="F106" i="9" s="1"/>
  <c r="F108" i="8"/>
  <c r="F103" i="9" s="1"/>
  <c r="F101" i="8"/>
  <c r="F96" i="9" s="1"/>
  <c r="F98" i="8"/>
  <c r="F93" i="9" s="1"/>
  <c r="F97" i="8"/>
  <c r="F92" i="9" s="1"/>
  <c r="G92" i="9" s="1"/>
  <c r="F91" i="9"/>
  <c r="F95" i="8"/>
  <c r="F90" i="9" s="1"/>
  <c r="G90" i="9" s="1"/>
  <c r="F93" i="8"/>
  <c r="F88" i="9" s="1"/>
  <c r="F91" i="8"/>
  <c r="F86" i="9" s="1"/>
  <c r="F81" i="9"/>
  <c r="F85" i="8"/>
  <c r="F80" i="9" s="1"/>
  <c r="F65" i="9"/>
  <c r="F63" i="9"/>
  <c r="G63" i="9" s="1"/>
  <c r="F64" i="8"/>
  <c r="F59" i="9" s="1"/>
  <c r="G59" i="9" s="1"/>
  <c r="F62" i="8"/>
  <c r="F57" i="9" s="1"/>
  <c r="F60" i="8"/>
  <c r="F55" i="9" s="1"/>
  <c r="F55" i="8"/>
  <c r="F50" i="9" s="1"/>
  <c r="J53" i="8"/>
  <c r="F45" i="8"/>
  <c r="F40" i="9" s="1"/>
  <c r="F38" i="9"/>
  <c r="G36" i="8"/>
  <c r="F28" i="9"/>
  <c r="F32" i="8"/>
  <c r="F27" i="9" s="1"/>
  <c r="G30" i="8"/>
  <c r="F28" i="8"/>
  <c r="F23" i="9" s="1"/>
  <c r="F27" i="8"/>
  <c r="F22" i="9" s="1"/>
  <c r="F20" i="9"/>
  <c r="F22" i="8"/>
  <c r="F17" i="9" s="1"/>
  <c r="F15" i="9"/>
  <c r="F12" i="9"/>
  <c r="F73" i="9" l="1"/>
  <c r="F89" i="8"/>
  <c r="F84" i="9" s="1"/>
  <c r="F134" i="9"/>
  <c r="F77" i="8"/>
  <c r="F72" i="9" s="1"/>
  <c r="F36" i="8"/>
  <c r="F31" i="9" s="1"/>
  <c r="F53" i="8"/>
  <c r="F48" i="9" s="1"/>
  <c r="F24" i="8"/>
  <c r="F19" i="9" s="1"/>
  <c r="F11" i="9"/>
  <c r="F18" i="9"/>
  <c r="F38" i="8"/>
  <c r="F33" i="9" s="1"/>
  <c r="F30" i="8"/>
  <c r="F25" i="9" s="1"/>
  <c r="F36" i="9"/>
  <c r="F76" i="8"/>
  <c r="F71" i="9" s="1"/>
  <c r="F103" i="8"/>
  <c r="F98" i="9" s="1"/>
  <c r="F110" i="8"/>
  <c r="F105" i="9" s="1"/>
  <c r="F19" i="8"/>
  <c r="F14" i="9" s="1"/>
  <c r="F29" i="9"/>
  <c r="F92" i="8"/>
  <c r="F87" i="9" s="1"/>
  <c r="F107" i="8"/>
  <c r="F102" i="9" s="1"/>
  <c r="F109" i="8"/>
  <c r="F104" i="9" s="1"/>
  <c r="F13" i="8"/>
  <c r="F8" i="9" s="1"/>
  <c r="F6" i="9" l="1"/>
  <c r="G155" i="9"/>
  <c r="G117" i="9" l="1"/>
  <c r="G116" i="9"/>
  <c r="G105" i="9"/>
  <c r="G93" i="9"/>
  <c r="G11" i="9" l="1"/>
  <c r="G12" i="9"/>
  <c r="G14" i="9"/>
  <c r="G15" i="9"/>
  <c r="G18" i="9"/>
  <c r="G19" i="9"/>
  <c r="G20" i="9"/>
  <c r="G22" i="9"/>
  <c r="G23" i="9"/>
  <c r="G27" i="9"/>
  <c r="G28" i="9"/>
  <c r="G29" i="9"/>
  <c r="G33" i="9"/>
  <c r="G36" i="9"/>
  <c r="G38" i="9"/>
  <c r="G40" i="9"/>
  <c r="G48" i="9"/>
  <c r="G50" i="9"/>
  <c r="G55" i="9"/>
  <c r="G57" i="9"/>
  <c r="G65" i="9"/>
  <c r="G67" i="9"/>
  <c r="G71" i="9"/>
  <c r="G72" i="9"/>
  <c r="G73" i="9"/>
  <c r="G78" i="9"/>
  <c r="G80" i="9"/>
  <c r="G81" i="9"/>
  <c r="G84" i="9"/>
  <c r="G86" i="9"/>
  <c r="G87" i="9"/>
  <c r="G88" i="9"/>
  <c r="G91" i="9"/>
  <c r="G96" i="9"/>
  <c r="G98" i="9"/>
  <c r="G102" i="9"/>
  <c r="G103" i="9"/>
  <c r="G104" i="9"/>
  <c r="G106" i="9"/>
  <c r="G108" i="9"/>
  <c r="G110" i="9"/>
  <c r="G111" i="9"/>
  <c r="G112" i="9"/>
  <c r="G113" i="9"/>
  <c r="G114" i="9"/>
  <c r="G122" i="9"/>
  <c r="G123" i="9"/>
  <c r="G124" i="9"/>
  <c r="G125" i="9"/>
  <c r="G127" i="9"/>
  <c r="G129" i="9"/>
  <c r="G130" i="9"/>
  <c r="G134" i="9"/>
  <c r="G135" i="9"/>
  <c r="G136" i="9"/>
  <c r="G138" i="9"/>
  <c r="G139" i="9"/>
  <c r="G141" i="9"/>
  <c r="G146" i="9"/>
  <c r="G156" i="9"/>
  <c r="G157" i="9"/>
  <c r="G159" i="9"/>
  <c r="G161" i="9"/>
  <c r="G164" i="9"/>
  <c r="G165" i="9"/>
  <c r="G166" i="9"/>
  <c r="G167" i="9"/>
  <c r="G168" i="9"/>
  <c r="G25" i="9" l="1"/>
  <c r="G8" i="9"/>
  <c r="G31" i="9"/>
  <c r="G6" i="9"/>
  <c r="F9" i="8"/>
  <c r="F4" i="9" l="1"/>
  <c r="G4" i="9" s="1"/>
  <c r="F3" i="9"/>
  <c r="G3" i="9" s="1"/>
  <c r="H154" i="7"/>
  <c r="H146" i="7"/>
  <c r="H143" i="7"/>
  <c r="H119" i="7"/>
  <c r="H91" i="7"/>
  <c r="H85" i="7"/>
  <c r="H74" i="7"/>
  <c r="H68" i="7"/>
  <c r="H61" i="7"/>
  <c r="H60" i="7"/>
  <c r="H45" i="7"/>
  <c r="H36" i="7"/>
  <c r="H43" i="7"/>
  <c r="H37" i="7"/>
  <c r="H28" i="7"/>
  <c r="H23" i="7"/>
  <c r="H12" i="7"/>
  <c r="H11" i="7"/>
  <c r="H10" i="7"/>
  <c r="H9" i="7"/>
  <c r="H8" i="7"/>
  <c r="H131" i="7"/>
  <c r="H124" i="7"/>
  <c r="H104" i="7"/>
  <c r="H92" i="7"/>
  <c r="H15" i="7"/>
  <c r="F25" i="7"/>
  <c r="H25" i="7" s="1"/>
  <c r="F26" i="7"/>
  <c r="H26" i="7" s="1"/>
  <c r="F28" i="7"/>
  <c r="F30" i="7"/>
  <c r="H30" i="7" s="1"/>
  <c r="F31" i="7"/>
  <c r="H31" i="7" s="1"/>
  <c r="F32" i="7"/>
  <c r="H32" i="7" s="1"/>
  <c r="F34" i="7"/>
  <c r="H34" i="7" s="1"/>
  <c r="F35" i="7"/>
  <c r="H35" i="7" s="1"/>
  <c r="F36" i="7"/>
  <c r="F37" i="7"/>
  <c r="F39" i="7"/>
  <c r="H39" i="7" s="1"/>
  <c r="F41" i="7"/>
  <c r="H41" i="7" s="1"/>
  <c r="F43" i="7"/>
  <c r="F45" i="7"/>
  <c r="F47" i="7"/>
  <c r="H47" i="7" s="1"/>
  <c r="F49" i="7"/>
  <c r="H49" i="7" s="1"/>
  <c r="F51" i="7"/>
  <c r="H51" i="7" s="1"/>
  <c r="F52" i="7"/>
  <c r="H52" i="7" s="1"/>
  <c r="F54" i="7"/>
  <c r="H54" i="7" s="1"/>
  <c r="F56" i="7"/>
  <c r="H56" i="7" s="1"/>
  <c r="F58" i="7"/>
  <c r="H58" i="7" s="1"/>
  <c r="F60" i="7"/>
  <c r="F61" i="7"/>
  <c r="F62" i="7"/>
  <c r="H62" i="7" s="1"/>
  <c r="F64" i="7"/>
  <c r="H64" i="7" s="1"/>
  <c r="F66" i="7"/>
  <c r="H66" i="7" s="1"/>
  <c r="F68" i="7"/>
  <c r="F70" i="7"/>
  <c r="H70" i="7" s="1"/>
  <c r="F71" i="7"/>
  <c r="H71" i="7" s="1"/>
  <c r="F72" i="7"/>
  <c r="H72" i="7" s="1"/>
  <c r="F74" i="7"/>
  <c r="F75" i="7"/>
  <c r="F77" i="7"/>
  <c r="H77" i="7" s="1"/>
  <c r="F79" i="7"/>
  <c r="H79" i="7" s="1"/>
  <c r="F80" i="7"/>
  <c r="H80" i="7" s="1"/>
  <c r="F81" i="7"/>
  <c r="F83" i="7"/>
  <c r="H83" i="7" s="1"/>
  <c r="F85" i="7"/>
  <c r="F86" i="7"/>
  <c r="H86" i="7" s="1"/>
  <c r="F87" i="7"/>
  <c r="H87" i="7" s="1"/>
  <c r="F89" i="7"/>
  <c r="H89" i="7" s="1"/>
  <c r="F90" i="7"/>
  <c r="H90" i="7" s="1"/>
  <c r="F91" i="7"/>
  <c r="F92" i="7"/>
  <c r="F95" i="7"/>
  <c r="H95" i="7" s="1"/>
  <c r="F97" i="7"/>
  <c r="H97" i="7" s="1"/>
  <c r="F99" i="7"/>
  <c r="F101" i="7"/>
  <c r="H101" i="7" s="1"/>
  <c r="F102" i="7"/>
  <c r="H102" i="7" s="1"/>
  <c r="F103" i="7"/>
  <c r="H103" i="7" s="1"/>
  <c r="F104" i="7"/>
  <c r="F105" i="7"/>
  <c r="H105" i="7" s="1"/>
  <c r="F107" i="7"/>
  <c r="H107" i="7" s="1"/>
  <c r="F109" i="7"/>
  <c r="H109" i="7" s="1"/>
  <c r="F110" i="7"/>
  <c r="H110" i="7" s="1"/>
  <c r="F111" i="7"/>
  <c r="H111" i="7" s="1"/>
  <c r="F112" i="7"/>
  <c r="H112" i="7" s="1"/>
  <c r="F113" i="7"/>
  <c r="H113" i="7" s="1"/>
  <c r="F114" i="7"/>
  <c r="H114" i="7" s="1"/>
  <c r="F115" i="7"/>
  <c r="H115" i="7" s="1"/>
  <c r="F116" i="7"/>
  <c r="H116" i="7" s="1"/>
  <c r="F117" i="7"/>
  <c r="H117" i="7" s="1"/>
  <c r="F119" i="7"/>
  <c r="F121" i="7"/>
  <c r="H121" i="7" s="1"/>
  <c r="F122" i="7"/>
  <c r="H122" i="7" s="1"/>
  <c r="F123" i="7"/>
  <c r="H123" i="7" s="1"/>
  <c r="F124" i="7"/>
  <c r="F126" i="7"/>
  <c r="H126" i="7" s="1"/>
  <c r="F128" i="7"/>
  <c r="H128" i="7" s="1"/>
  <c r="F129" i="7"/>
  <c r="H129" i="7" s="1"/>
  <c r="F131" i="7"/>
  <c r="F133" i="7"/>
  <c r="H133" i="7" s="1"/>
  <c r="F134" i="7"/>
  <c r="H134" i="7" s="1"/>
  <c r="F135" i="7"/>
  <c r="H135" i="7" s="1"/>
  <c r="F137" i="7"/>
  <c r="H137" i="7" s="1"/>
  <c r="F138" i="7"/>
  <c r="H138" i="7" s="1"/>
  <c r="F140" i="7"/>
  <c r="H140" i="7" s="1"/>
  <c r="F142" i="7"/>
  <c r="F143" i="7"/>
  <c r="F145" i="7"/>
  <c r="H145" i="7" s="1"/>
  <c r="F147" i="7"/>
  <c r="H147" i="7" s="1"/>
  <c r="F148" i="7"/>
  <c r="H148" i="7" s="1"/>
  <c r="F150" i="7"/>
  <c r="H150" i="7" s="1"/>
  <c r="F151" i="7"/>
  <c r="H151" i="7" s="1"/>
  <c r="F152" i="7"/>
  <c r="H152" i="7" s="1"/>
  <c r="F156" i="7"/>
  <c r="H156" i="7" s="1"/>
  <c r="F159" i="7"/>
  <c r="H159" i="7" s="1"/>
  <c r="F160" i="7"/>
  <c r="H160" i="7" s="1"/>
  <c r="F161" i="7"/>
  <c r="H161" i="7" s="1"/>
  <c r="F162" i="7"/>
  <c r="H162" i="7" s="1"/>
  <c r="F163" i="7"/>
  <c r="H163" i="7" s="1"/>
  <c r="F7" i="7"/>
  <c r="H7" i="7" s="1"/>
  <c r="F8" i="7"/>
  <c r="F9" i="7"/>
  <c r="F11" i="7"/>
  <c r="F12" i="7"/>
  <c r="F14" i="7"/>
  <c r="H14" i="7" s="1"/>
  <c r="F15" i="7"/>
  <c r="F17" i="7"/>
  <c r="H17" i="7" s="1"/>
  <c r="F18" i="7"/>
  <c r="H18" i="7" s="1"/>
  <c r="F20" i="7"/>
  <c r="H20" i="7" s="1"/>
  <c r="F21" i="7"/>
  <c r="H21" i="7" s="1"/>
  <c r="F22" i="7"/>
  <c r="H22" i="7" s="1"/>
  <c r="F23" i="7"/>
  <c r="F5" i="7"/>
  <c r="H5" i="7" s="1"/>
  <c r="F154" i="7"/>
  <c r="G17" i="9" l="1"/>
  <c r="G153" i="9"/>
</calcChain>
</file>

<file path=xl/sharedStrings.xml><?xml version="1.0" encoding="utf-8"?>
<sst xmlns="http://schemas.openxmlformats.org/spreadsheetml/2006/main" count="1620" uniqueCount="602">
  <si>
    <t>DONCELLA</t>
  </si>
  <si>
    <t>NONISEC</t>
  </si>
  <si>
    <t>TELA ADHESIVA X 5 CM MICROPOROSA HIPOALERGENICA 9 M LARGO APROX.</t>
  </si>
  <si>
    <t>3M</t>
  </si>
  <si>
    <t>CITIZEN</t>
  </si>
  <si>
    <t>https://www.tiendasaludonline.com.ar/productos/jeringas-3-elementos-10cc-s-aguja-medeco-caja-x-100u/</t>
  </si>
  <si>
    <t>https://cirugiarex.com.ar/producto/macrogotero-venosil-s-aguja-tipo-v14/</t>
  </si>
  <si>
    <t>https://cirugiarex.com.ar/producto/barbijo-quirurgico-3-capas-con-tiras-3m-x50-unidades/</t>
  </si>
  <si>
    <t>NYLON Nº3/0 C/AGUJA 3/8 CIRC.25 MM APROX.PTA.REV.CORTANTE</t>
  </si>
  <si>
    <t>GASA TUBULAR 7 X 7 CM.ESTERIL DOBLADILLADA APROX.</t>
  </si>
  <si>
    <t>HOJA DE BISTURI Nº 24 ESTERIL</t>
  </si>
  <si>
    <t>https://www.tiendasaludonline.com.ar/productos/bajalengua-de-madera-adulto-novamed/</t>
  </si>
  <si>
    <t>BAJALENGUA DE MADERA ADULTO</t>
  </si>
  <si>
    <t>https://www.tiendasaludonline.com.ar/productos/especulo-vaginal-descartable-mediano-medisul/</t>
  </si>
  <si>
    <t>ESPECULO MEDIANO DESC.EST.</t>
  </si>
  <si>
    <t>https://www.tiendasaludonline.com.ar/productos/camisolin-descartabe-azul-hemorrepelente-puno-elastico-sms-30-gr-x-10unidades/</t>
  </si>
  <si>
    <t>BLUSON DE CIRUGIA DESC.C/PUÑO TEJIDO/ELASTIZADO, HEMORREPELENTE 40GR. MINIMO,  1.30 MTS DE LARGO, 1.50 MTS DE ANCHO APROX Y 60 CM MINIMO DE BRAZO.</t>
  </si>
  <si>
    <t>GORRO CIRUJANO TIPO COFIA HEMOREPELENTE NO PLASTICO PERMEABLE AL VAPOR DESC.</t>
  </si>
  <si>
    <t>https://www.tiendasaludonline.com.ar/productos/cofias-plizadas-hemoreplente-sms-pack-x-1000unidades/</t>
  </si>
  <si>
    <t>GEL PARA ECOGRAFIA CON DOSIFICADOR</t>
  </si>
  <si>
    <t>https://www.lilis.com.ar/gel-neutro-1-2-kg-con-dispenser</t>
  </si>
  <si>
    <t>PAPEL P/ECG TERMOSENSIBLE 50 MM X 30 MT</t>
  </si>
  <si>
    <t>https://www.lilis.com.ar/venda-yeso-rapida-15-4-gypsofix-25</t>
  </si>
  <si>
    <t>VENDA ENYESADA-FRAGUADO RAPIDO 15 CM ANCHO X 5 M DE LARGO APROX.</t>
  </si>
  <si>
    <t xml:space="preserve">PAÑOS BAÑO FACIL CON CLORHEXIDINA JABONOSA </t>
  </si>
  <si>
    <t>LLAVE 3 VIAS</t>
  </si>
  <si>
    <t>MASCARA PARA OXIGENOTERAPIA  CON RESERVORIO ADULTO</t>
  </si>
  <si>
    <t>https://cirugiarex.com.ar/producto/mascara-oxigeno-con-reservorio-adulto-y-pediatrico/</t>
  </si>
  <si>
    <t>INHALADOR DE OXIGENO P/CAVIDAD NASAL ADULTO C/2 TUBULADURAS DESC.EST.</t>
  </si>
  <si>
    <t>https://www.tiendasaludonline.com.ar/productos/sonda-nasal-p-oxigeno-adulto-k27-cajon-x-250u-novamed/</t>
  </si>
  <si>
    <t>https://www.tiendasaludonline.com.ar/productos/cepillo-p-citologia-endocervical-cj-x-100-unidades-esteril-c-envase-individual-importado/</t>
  </si>
  <si>
    <t>CEPILLO P/TOMA CITOLOGICA ENDOCERVICAL DESC.EST.</t>
  </si>
  <si>
    <t>https://cirugiarex.com.ar/producto/pinza-maier-un-solo-uso-25-cm-recta/</t>
  </si>
  <si>
    <t>PINZA MAIER RECTA DESC. ESTÉRIL</t>
  </si>
  <si>
    <t>BOLSA PLASTICA C/VALVULA DE DESAGOTE Y ANTIREFLUJO CAP. 2 L P/RECOLEC.ORINA EST. FONDO BLANCO</t>
  </si>
  <si>
    <t>CHATA PLASTICA ADULTO</t>
  </si>
  <si>
    <t>https://cirugiarex.com.ar/producto/chata-plastica-orinal-reforzada-kasse/</t>
  </si>
  <si>
    <t>NOVAMED</t>
  </si>
  <si>
    <t>MEDISUL</t>
  </si>
  <si>
    <t>PORTA</t>
  </si>
  <si>
    <t>ALCOHOL ETILICO PURO 96º</t>
  </si>
  <si>
    <t xml:space="preserve">LT           </t>
  </si>
  <si>
    <t>ALCOHOL ETILICO 70º</t>
  </si>
  <si>
    <t xml:space="preserve">X 1000 ML    </t>
  </si>
  <si>
    <t>BARBIJO DESC TRIPLE CAPA HEMOREP MIN 40 GR CON SUJETADOR DE NARIZ</t>
  </si>
  <si>
    <t xml:space="preserve">UNIDAD       </t>
  </si>
  <si>
    <t xml:space="preserve">BOTAS CAÑA LARGA HEMOREPELENTES NO PLASTICO PERMEABLE AL VAPOR DESC.DE 30 GR. MINIMO </t>
  </si>
  <si>
    <t xml:space="preserve">PAR          </t>
  </si>
  <si>
    <t xml:space="preserve">DESCARTADOR CAP.1 LT. P/PUNZANTES BOCA ANCHA                                                                                                                                                                                                                         </t>
  </si>
  <si>
    <t xml:space="preserve">CAJA X 100   </t>
  </si>
  <si>
    <t xml:space="preserve">X PAR        </t>
  </si>
  <si>
    <t>ALGODON HIDROFILO PLEGADO X 400/500 G</t>
  </si>
  <si>
    <t xml:space="preserve">PAQUETE      </t>
  </si>
  <si>
    <t>GASA SIMPLE-RECTILINEA 36 M LARGO X 1M ANCHO X 18 HILOS</t>
  </si>
  <si>
    <t xml:space="preserve">PIEZA        </t>
  </si>
  <si>
    <t>GASA HIDROFILA DOBLE TUBULAR CON HILADO NO MENOR A 24/1, PIEZA DE80 CM X 22 M Y PESO NO INFERIOR A 1.1OO GR.</t>
  </si>
  <si>
    <t xml:space="preserve">POUCH X 3    </t>
  </si>
  <si>
    <t>VENDA TIPO CAMBRIC  7 CM ANCHO ORILLADA MIN 2,5 MTS DE LARGO</t>
  </si>
  <si>
    <t xml:space="preserve">ROLLO        </t>
  </si>
  <si>
    <t>VENDA TIPO CAMBRIC 10 CM ANCHO ORILLADA MIN 2,5 MTS DE LARGO</t>
  </si>
  <si>
    <t>TELA ADHESIVA X 5 CM TRANSP.HIPOALERGENICA 9 M DE LARGO APROX.</t>
  </si>
  <si>
    <t xml:space="preserve">APOSITO PROTECTOR P/VIA VENOSA CENTRAL TIPO VECA-C </t>
  </si>
  <si>
    <t>UNIDAD</t>
  </si>
  <si>
    <t>APOSITO DE 10X20CM Y 14G APROX.CONFECCIONADO C/ALGODON HIDROFILO Y GASA TUBULAR,ACONDICIONADO ESTERIL</t>
  </si>
  <si>
    <t>CABLE P/ELECTROBISTURI CON MANGO Y PUNTA P/CORTE DESCARTABLE</t>
  </si>
  <si>
    <t xml:space="preserve">X 500 GR     </t>
  </si>
  <si>
    <t>PAPEL P/ECOGRAFIA 110 MM X 20 MT</t>
  </si>
  <si>
    <t>ALGODON LAMINADO X 10 CM ANCHO Y 2.5 MTS LARGO APROX.</t>
  </si>
  <si>
    <t>ROLLO</t>
  </si>
  <si>
    <t>VENDA ENYESADA-FRAGUADO RAPIDO 10 CM ANCHO X 5 M DE LARGO APROX.</t>
  </si>
  <si>
    <t>VENDA ENYESADA-FRAGUADO RAPIDO 20 CM ANCHO X 5 M DE LARGO APROX.</t>
  </si>
  <si>
    <t>GUIA ESTERIL MICROGOTERO C/CAMARA GRAD.100 ML S/A</t>
  </si>
  <si>
    <t xml:space="preserve">GUIA ESTERIL MICROGOTERO S/FILTRO S/AGUJA </t>
  </si>
  <si>
    <t>GUIA ESTERIL MICROGOTERO FOTOSENSIBLE OPACA S/AGUJA</t>
  </si>
  <si>
    <t>GUIA ESTERIL MACROGOTERO S/FILTRO Y S/AGUJA</t>
  </si>
  <si>
    <t xml:space="preserve">GUIA ESTERIL MACROGOTERO C/FILTRO P/INFUSION DE SANGRE-PLASMA </t>
  </si>
  <si>
    <t>JERINGA 2.5 /3 CC.S/AGUJA DESC.EST.</t>
  </si>
  <si>
    <t>JERINGA   5 CC.S/AGUJA DESC.EST.</t>
  </si>
  <si>
    <t>JERINGA  10 CC.S/AGUJA DESC.EST.</t>
  </si>
  <si>
    <t>JERINGA  20 CC.S/AGUJA DESC.EST.</t>
  </si>
  <si>
    <t xml:space="preserve">JERINGA  60 CC.S/AGUJA DESC.EST.                                                                                                                                                                                                                              </t>
  </si>
  <si>
    <t>EQUIPO DE CONTROL DE FLUJO TIPO UNIFLOW</t>
  </si>
  <si>
    <t>NYLON N°4/0 C/AGUJA 1/2 CIRC.15 MM APROX.PTA.REV.CORTANTE</t>
  </si>
  <si>
    <t>NYLON N°5/0 C/AGUJA 1/2 CIRC.15 MM APROX.PTA.REV.CORTANTE</t>
  </si>
  <si>
    <t xml:space="preserve">ENVASE X 100 </t>
  </si>
  <si>
    <t xml:space="preserve">PINZA UMBILICAL DESCARTABLE-ESTERIL </t>
  </si>
  <si>
    <t>TERMOMETRO CLINICO DIGITAL (S/MERCURIO)</t>
  </si>
  <si>
    <t>ORINAL DE PLASTICO P/VARON CAP.800 ML.</t>
  </si>
  <si>
    <t>PAÑAL DESCARTABLE ADULTO GRANDE C/ADHESIVO Y GEL</t>
  </si>
  <si>
    <t>PAÑAL DESCARTABLE ADULTO EXTRAGRANDE CON ADHESIVO Y GEL</t>
  </si>
  <si>
    <t xml:space="preserve">AEROCAMARA INHALATORIA C/VALVULA C/MASCARA NEONATAL </t>
  </si>
  <si>
    <t xml:space="preserve">AEROCAMARA INHALATORIA C/VALVULA C/MASCARA PEDIATRICA </t>
  </si>
  <si>
    <t xml:space="preserve">AEROCAMARA INHALATORIA C/VALVULA C/MASCARA ADULTO </t>
  </si>
  <si>
    <t>APOSITO ADHESIVO 10 X 12 CM (tipo Tegaderm)</t>
  </si>
  <si>
    <t xml:space="preserve">APOSITO HIDROCOLOIDE 10X 10 </t>
  </si>
  <si>
    <t>PROLONGADOR DOBLE VIA PARA VIA CENTRAL 18CM LONG APROX. CON CONECTOR DE BIOSEGURIDAD</t>
  </si>
  <si>
    <t>PROLONGADOR TRIPLE VIA PARA VIA CENTRAL 18CM LONG APROX CON CONECTOR DE BIOSEGURIDAD</t>
  </si>
  <si>
    <t xml:space="preserve">AGUJA DE PUNCION RAQUIDEA Nº25 G PUNTA LAPIZ DESC.EST. </t>
  </si>
  <si>
    <t>INHALADOR DE OXIGENO P/CAVIDAD NASAL PEDIATRICO C/2 TUBULADURAS DESC.EST.</t>
  </si>
  <si>
    <t>MASCARA P/OXIGENOTERAPIA ADULTO C/5 VALVULAS P/ GRADUACION</t>
  </si>
  <si>
    <t xml:space="preserve"> SET         </t>
  </si>
  <si>
    <t>MASCARA P/OXIGENOTERAPIA PEDIATRICA C/5 VALVULAS P/GRADUACION</t>
  </si>
  <si>
    <t>MASCARA P/OXIGENA C/RESERVORIO PEDIATRICA</t>
  </si>
  <si>
    <t>SONDA P/INH O SUCCION MUCUS (TIPO K 29) LONG.45 CM X 4.0 MM DIAM.EXT.DESC.EST.</t>
  </si>
  <si>
    <t>TUBO ENDOTRAQUEAL  8 MM DIAM.INT.(Nº32) CON BALON DESC.EST.</t>
  </si>
  <si>
    <t>FILTRO HUMIDIF P/RESP ANTIBACT/VIRAL ADULTO</t>
  </si>
  <si>
    <t xml:space="preserve">FILTRO P/TUBO ENDOTRAQUEAL ANTIBACTERIANO/VIRAL ESTERIL </t>
  </si>
  <si>
    <t>FRASCO HUMIDIFICADOR DE OXIGENO x 300 ML</t>
  </si>
  <si>
    <t>CIRCUITO CERRADO DE EXTRACCION DE MUCUS 16 F TIPO TRANCHCARE 2.600</t>
  </si>
  <si>
    <t>BOQUILLA DE CARTON P/ESPIROMETRIA</t>
  </si>
  <si>
    <t>BOLSA DE COLOSTOMIA AUTOADHESIVA C/FILTRO Y DIAM.RECORTABLE OPACA</t>
  </si>
  <si>
    <t>BOLSA DE PAPEL QUIRURGICO C/INDIC.QUIMICO P/VAPOR 140 X 330 C/FUELLE 50 MM APROXIMADAMENTE TERMOSELLABLE</t>
  </si>
  <si>
    <t>CINTA AUTOADHESIVA C/INDICADOR QUIMICO P/CALOR SECO 18 MM-50 MT.APROX.</t>
  </si>
  <si>
    <t>CINTA AUTOADHESIVA C/INDICADOR QUIMICO P/VAPOR 18 MM 50 MT.APROX. ROLLO</t>
  </si>
  <si>
    <t>DETERGENTE TRIENZIMATICO (PROTEASA-AMILASA-LIPASA)BAJA ESPUMA</t>
  </si>
  <si>
    <t xml:space="preserve">X LITRO      </t>
  </si>
  <si>
    <t>CONTROL BIOLOGICO P/VAPOR.CALOR SECO Y OXIDO ETILEN.S/MEDIO CULT.INCORPORADO UNIDAD</t>
  </si>
  <si>
    <t xml:space="preserve">X KG         </t>
  </si>
  <si>
    <t>ESPECULO CHICO DESC.EST.</t>
  </si>
  <si>
    <t>ESPECULO GRANDE DESC.EST.</t>
  </si>
  <si>
    <t>HISTEROMETRO DESCARTABLE</t>
  </si>
  <si>
    <t>SONDA URETRAL RECTA N° 12 (TIPO K 93)</t>
  </si>
  <si>
    <t>BROCAL CON TAPA</t>
  </si>
  <si>
    <t>Codigo Item</t>
  </si>
  <si>
    <t>Descripcion</t>
  </si>
  <si>
    <t>Precio promedio</t>
  </si>
  <si>
    <t>Precio ref. 1</t>
  </si>
  <si>
    <t>Marca px 1</t>
  </si>
  <si>
    <t>Link px 1</t>
  </si>
  <si>
    <t xml:space="preserve">Precio ref. 2 </t>
  </si>
  <si>
    <t>Marca px 2</t>
  </si>
  <si>
    <t>Link px 2</t>
  </si>
  <si>
    <t>https://www.tiendasaludonline.com.ar/productos/alcohol-etilico-96-x-1-lt-porta/</t>
  </si>
  <si>
    <t>OBSERVACIONES</t>
  </si>
  <si>
    <t>Cantidades</t>
  </si>
  <si>
    <t>https://www.tiendasaludonline.com.ar/productos/barbijo-triple-capa-con-4-tiras-caja-x-100u-hab-anmat-novamed-importado/</t>
  </si>
  <si>
    <t>X 50 UNIDADES, PX 2 X100U</t>
  </si>
  <si>
    <t>https://www.lilis.com.ar/camisolin-esteril</t>
  </si>
  <si>
    <t>SMS</t>
  </si>
  <si>
    <t>NIPRO</t>
  </si>
  <si>
    <t>X 100U</t>
  </si>
  <si>
    <t>PX 1 X 50 pares en la pagina</t>
  </si>
  <si>
    <t>https://www.tiendasaludonline.com.ar/productos/algodon-hidrofilo-x-500grs-doncella-x-10u/</t>
  </si>
  <si>
    <t>https://www.tiendasaludonline.com.ar/productos/algodon-hidrofilo-x-500grs-x-10-paq-insumos-xxi/</t>
  </si>
  <si>
    <t>INSUMOS XXI</t>
  </si>
  <si>
    <t>https://www.tiendasaludonline.com.ar/productos/gasa-hidrof-tubular-doble-hilado-24-1-pieza-x-1-kilo-insumos-xxi/</t>
  </si>
  <si>
    <t>Pieza x 1k</t>
  </si>
  <si>
    <t>https://cirugiarex.com.ar/producto/pieza-de-gasa-1-kg/</t>
  </si>
  <si>
    <t>CAVANNA</t>
  </si>
  <si>
    <t>https://cirugiarex.com.ar/producto/venda-cambric-7-cm-x3mm-antar/</t>
  </si>
  <si>
    <t>ANTAR</t>
  </si>
  <si>
    <t>https://cirugiarex.com.ar/producto/venda-cambric-10-cm-x3mm-antar/</t>
  </si>
  <si>
    <t>https://www.lilis.com.ar/venda-cambric-orillada-7-3-plus</t>
  </si>
  <si>
    <t>https://www.lilis.com.ar/venda-cambric-orillada-10-3-plus</t>
  </si>
  <si>
    <t>Solo x2,5 cm</t>
  </si>
  <si>
    <t>https://www.lilis.com.ar/tela-adhesiva-hipoalergic-pore-5-00-riasa</t>
  </si>
  <si>
    <t>RIASA</t>
  </si>
  <si>
    <t>https://cirugiarex.com.ar/producto/tegaderm-1626-10x12cm-3m/</t>
  </si>
  <si>
    <t>https://www.tiendasaludonline.com.ar/productos/apositos-a-granel-10x20cm-x-200u-insumos-xxi/</t>
  </si>
  <si>
    <t>https://www.lilis.com.ar/aposito-10-20-10-unidades-esteril</t>
  </si>
  <si>
    <t>MEDICA</t>
  </si>
  <si>
    <t xml:space="preserve"> PX 1x 200 u Y px 2 x 10u en la pagina</t>
  </si>
  <si>
    <t>RIBBEL</t>
  </si>
  <si>
    <t>https://www.lilis.com.ar/hojas-de-bisturi-ribbel-todos-los-tama-os</t>
  </si>
  <si>
    <t>X 100 U</t>
  </si>
  <si>
    <t>BACTER ALL</t>
  </si>
  <si>
    <t>https://cirugiarex.com.ar/producto/gel-neutro-1000-ml-delva/</t>
  </si>
  <si>
    <t>DELVA</t>
  </si>
  <si>
    <t>PX 2 X1Lto</t>
  </si>
  <si>
    <t>https://cirugiarex.com.ar/producto/papel-videprinter-ecografico-upp-110s-sony/</t>
  </si>
  <si>
    <t xml:space="preserve">SONY </t>
  </si>
  <si>
    <t>SONY</t>
  </si>
  <si>
    <t>https://www.lilis.com.ar/papel-para-video-printer-sony-negro-hd-ha</t>
  </si>
  <si>
    <t>https://www.lilis.com.ar/venda-yeso-rapida-20-4-fave-gypsofix-25</t>
  </si>
  <si>
    <t>FAVE</t>
  </si>
  <si>
    <t>https://cirugiarex.com.ar/producto/venda-enseyada-fraguada-rapido-20cm-x-4m/</t>
  </si>
  <si>
    <t>https://cirugiarex.com.ar/producto/venda-enseyada-fraguada-rapido-10cm-x-4m/</t>
  </si>
  <si>
    <t>https://www.lilis.com.ar/venda-yeso-rapida-10-4-gypsofix-25</t>
  </si>
  <si>
    <t>https://cirugiarex.com.ar/producto/venda-enseyada-fraguada-rapido-15cm-x-4m/</t>
  </si>
  <si>
    <t>Tamaño 10x4</t>
  </si>
  <si>
    <t>Tamaño 15x4</t>
  </si>
  <si>
    <t>Tamaño 20x4</t>
  </si>
  <si>
    <t>VENOSIL</t>
  </si>
  <si>
    <t>https://www.tiendasaludonline.com.ar/productos/macrogotero-sin-aguja-v14-caja-x-25ps-a-ruedita-novamed/</t>
  </si>
  <si>
    <t>PX 2. precio por 25ps</t>
  </si>
  <si>
    <t>https://cirugiarex.com.ar/producto/equipo-para-terapia-parental-con-microgotero-sin-aguja-tipo-v17/</t>
  </si>
  <si>
    <t>https://www.tiendasaludonline.com.ar/productos/venoclisis-fotosensible-macro-sin-aguja-c-filtro-caja-x-100u-rymco/</t>
  </si>
  <si>
    <t>RYMCO</t>
  </si>
  <si>
    <t>MEDECO</t>
  </si>
  <si>
    <t>X100U</t>
  </si>
  <si>
    <t>https://www.tiendasaludonline.com.ar/productos/jeringas-3cc-sin-aguja-novamed-caja-x-100u/</t>
  </si>
  <si>
    <t>https://www.tiendasaludonline.com.ar/productos/jeringas-5cc-sin-aguja-caja-x-100-novamed/</t>
  </si>
  <si>
    <t>https://www.tiendasaludonline.com.ar/productos/jeringas-3-elementos-sin-aguja-20cc-medeco-caja-x-50u/</t>
  </si>
  <si>
    <t>X50U</t>
  </si>
  <si>
    <t>https://www.lilis.com.ar/sutura-de-nylon-supralon-todos-los-tama-os</t>
  </si>
  <si>
    <t>https://www.tiendasaludonline.com.ar/productos/bajalengua-de-madera-pediatrico-gw-novamed/</t>
  </si>
  <si>
    <t>https://www.lilis.com.ar/bajalenguas-adulto-100</t>
  </si>
  <si>
    <t>CLERICOT</t>
  </si>
  <si>
    <t>BAJALENGUA DE MADERA NIÑO</t>
  </si>
  <si>
    <t>PLASTIMED</t>
  </si>
  <si>
    <t>https://www.lilis.com.ar/termometro-digital-citizen</t>
  </si>
  <si>
    <t>https://www.tiendasaludonline.com.ar/productos/termometro-digital-exatherm-dt-k11b/</t>
  </si>
  <si>
    <t>EXATHERM</t>
  </si>
  <si>
    <t>KASSE</t>
  </si>
  <si>
    <t>https://www.lilis.com.ar/chata-plastica</t>
  </si>
  <si>
    <t>https://www.lilis.com.ar/papagayo-plastico-masculino</t>
  </si>
  <si>
    <t>https://www.tiendasaludonline.com.ar/productos/nonisec-panales-adultos-recto-con-gel-extragrande-x-10pads-x-8-paq/</t>
  </si>
  <si>
    <t>https://www.tiendasaludonline.com.ar/productos/panales-adultos-recto-con-gel-grande-x-50-pads-x-2-paq/</t>
  </si>
  <si>
    <t>px 1 (8 paq. De 10 pañales)</t>
  </si>
  <si>
    <t>https://www.tiendasaludonline.com.ar/productos/aerocamara-adulto-aero-100/</t>
  </si>
  <si>
    <t>AERO</t>
  </si>
  <si>
    <t>https://www.tiendasaludonline.com.ar/productos/aerocamara-pediatrica-aero-100/</t>
  </si>
  <si>
    <t>https://www.tiendasaludonline.com.ar/productos/aerocamara-neonatal-aero-100/</t>
  </si>
  <si>
    <t>https://cirugiarex.com.ar/producto/aposito-hidrocoloide-10x10cm-33110/</t>
  </si>
  <si>
    <t>https://www.tiendasaludonline.com.ar/productos/apositos-hidrocoloide-hollister-restore-doble-dorso-espuma-10-x-10cm-9930/</t>
  </si>
  <si>
    <t>HOLLISTER</t>
  </si>
  <si>
    <t>https://www.lilis.com.ar/llave-de-3-vias</t>
  </si>
  <si>
    <t>https://www.tiendasaludonline.com.ar/productos/llaves-de-3-vias-esteril-luer-lock-gst-360x-50u/</t>
  </si>
  <si>
    <t>GST</t>
  </si>
  <si>
    <t>https://www.tiendasaludonline.com.ar/productos/sonda-inhalacion-oxigeno-pediatrica-k27-bigotera-x-100ps-novamed/</t>
  </si>
  <si>
    <t>https://www.tiendasaludonline.com.ar/productos/tubo-endotraqueal-con-balon-reforzado-8-0-kangyuan/</t>
  </si>
  <si>
    <t>https://www.tiendasaludonline.com.ar/productos/bolsas-colostomia-cerrada-con-filtro-38mm-402522-convatec/</t>
  </si>
  <si>
    <t>CONVATEC</t>
  </si>
  <si>
    <t>https://www.lilis.com.ar/bolsa-convatec-cerrada-colostomia-opaca-38mm</t>
  </si>
  <si>
    <t>https://www.tiendasaludonline.com.ar/productos/detergente-tri-enzimatico-o3-x-1-lt-surgizime/</t>
  </si>
  <si>
    <t>SURGIZIME</t>
  </si>
  <si>
    <t>IMPORTADO</t>
  </si>
  <si>
    <t>https://www.tiendasaludonline.com.ar/productos/especulo-vaginal-descartable-grande-packing-x-100u-greyton/</t>
  </si>
  <si>
    <t>GREYTON</t>
  </si>
  <si>
    <t>BIONPRO</t>
  </si>
  <si>
    <t>https://www.tiendasaludonline.com.ar/productos/especulo-vaginal-descartable-grande-packing-x-100u-bionpro/</t>
  </si>
  <si>
    <t>https://www.tiendasaludonline.com.ar/productos/especulo-vaginal-descartable-chico-greyton/</t>
  </si>
  <si>
    <t>https://www.tiendasaludonline.com.ar/productos/especulo-vaginal-descartable-chico-packing-x-100u-bionpro/</t>
  </si>
  <si>
    <t>https://www.tiendasaludonline.com.ar/productos/especulo-vaginal-descartable-mediano-packing-x-100u-bionpro/</t>
  </si>
  <si>
    <t>https://cirugiarex.com.ar/producto/histerometro-maleable-sims-32-cm/</t>
  </si>
  <si>
    <t>https://www.lilis.com.ar/pinza-maier-medisul-descartable-10-uni</t>
  </si>
  <si>
    <t>https://www.tiendasaludonline.com.ar/productos/collar-tipo-filadelfia-s-m-l-body-care/</t>
  </si>
  <si>
    <t>https://www.lilis.com.ar/collar-de-filadelfia-coltex-mediano</t>
  </si>
  <si>
    <t>COLTEX</t>
  </si>
  <si>
    <t>KANGYUAN</t>
  </si>
  <si>
    <t>https://www.tiendasaludonline.com.ar/productos/sonda-nelaton-uretral-pvc-k93-n12-caja-x-50-ps-novamed/</t>
  </si>
  <si>
    <t>https://cirugiarex.com.ar/producto/sonda-nelaton-k93-dc/</t>
  </si>
  <si>
    <t>https://www.tiendasaludonline.com.ar/productos/frasco-brocal-desc-c-tapa-no-esteril-x-2500cc/</t>
  </si>
  <si>
    <t>AGUJAS</t>
  </si>
  <si>
    <t>ALCOHOL ETILICO</t>
  </si>
  <si>
    <t>ALGODÓN</t>
  </si>
  <si>
    <t>BAJALENGUAS</t>
  </si>
  <si>
    <t>GUIA ESTERIL</t>
  </si>
  <si>
    <t>MICRONEBULIZADOR</t>
  </si>
  <si>
    <t>SONDAS</t>
  </si>
  <si>
    <t>VENDAS</t>
  </si>
  <si>
    <t>SUTURAS</t>
  </si>
  <si>
    <t>HOJAS DE BISTURI</t>
  </si>
  <si>
    <t>GASAS</t>
  </si>
  <si>
    <t>ESPECULOS</t>
  </si>
  <si>
    <t xml:space="preserve">X 100u </t>
  </si>
  <si>
    <t>https://cirugiarex.com.ar/producto/cepillo-colector-citologico/</t>
  </si>
  <si>
    <t>https://cirugiarex.com.ar/producto/bano-facil-con-clorhexidina/</t>
  </si>
  <si>
    <t>https://cirugiarex.com.ar/producto/mascara-oxigeno-100/</t>
  </si>
  <si>
    <t>GALEMED</t>
  </si>
  <si>
    <t>AGUJA HIPODERMICA DESC.EST. DISTINTOS TAMAÑOS</t>
  </si>
  <si>
    <t>CATETER I.V. DE POLIURETANO G RADIOPACO DISTINTOS Nº</t>
  </si>
  <si>
    <t>GUANTE LATEX   DESCARTABLE</t>
  </si>
  <si>
    <t>GUANTE LATEX  PUÑO LARGO DESC. ESTERIL</t>
  </si>
  <si>
    <t>GUANTE LIBRE DE LATEX  DESCARTABLE</t>
  </si>
  <si>
    <t>POUCH CON INDIC P/VAPOR /O.E  PAPEL QUIRURGICO LISO/LAMINAD.PLAST.TRANSPAREN</t>
  </si>
  <si>
    <t>POLIGLACTINA C/AGUJA .PTA.CILÍNDRICA</t>
  </si>
  <si>
    <t xml:space="preserve">SONDA (TIPO K ) P/INTUBACION GASTRICA  DIAM.EXT.APROX.EST. </t>
  </si>
  <si>
    <t>APOSITO</t>
  </si>
  <si>
    <t>BARBIJOS</t>
  </si>
  <si>
    <t>ESPIROMETRIA</t>
  </si>
  <si>
    <t>CINTAS</t>
  </si>
  <si>
    <t>COLLARES CERVICALES</t>
  </si>
  <si>
    <t>ELECTRODOS</t>
  </si>
  <si>
    <t>GUANTES</t>
  </si>
  <si>
    <t>JERINGAS DESCARTABLES</t>
  </si>
  <si>
    <t>MICRONEBULIZADOR C/MASCARA Y TUBULADURA</t>
  </si>
  <si>
    <t>PAÑALES</t>
  </si>
  <si>
    <t>Caja x 100u</t>
  </si>
  <si>
    <t>X 10U.</t>
  </si>
  <si>
    <t xml:space="preserve">COLLAR CERVICAL TIPO PHILADELPHIA </t>
  </si>
  <si>
    <t>ELECTRODO P/MONITOREO  DESC.</t>
  </si>
  <si>
    <t>https://btinsumosonline.ar/producto/mango-para-electrobisturi-covidien/</t>
  </si>
  <si>
    <t>https://www.tiendahospimed.com.ar/MLA-925074778-frasco-humidificador-de-oxigeno-a-burbuja-_JM?utm_source=google&amp;utm_medium=cpc&amp;utm_campaign=darwin_ss</t>
  </si>
  <si>
    <t>PAPEL QUIRURGICO BLANCO PURO  (TIPO KRAFT)</t>
  </si>
  <si>
    <t>TUBO P/CANALIZ VENOSA ANESTESIA PC 75</t>
  </si>
  <si>
    <t>https://www.tiendahospimed.com.ar/MLA-677207028-venda-cambric-10cm-x-3mt-de-algodon-x-25-u-_JM?utm_source=google&amp;utm_medium=cpc&amp;utm_campaign=darwin_ss</t>
  </si>
  <si>
    <t>SM</t>
  </si>
  <si>
    <t>https://www.lilis.com.ar/sutura-poliglyd-todos-los-tama-os</t>
  </si>
  <si>
    <t>PROLONGADOR DE CATETER</t>
  </si>
  <si>
    <t>ROPA DESCARTABLE</t>
  </si>
  <si>
    <t>INSUMOS PARA OXIGENOTERAPIA</t>
  </si>
  <si>
    <t>LUBRICANTE SILICONADA EN AEROSOL X 440 CM (para colocacion a autoclave)</t>
  </si>
  <si>
    <t>HOJAS POLIPROP.PEROX.HIDROG. (para esterilizacion)</t>
  </si>
  <si>
    <t>Hospital Central</t>
  </si>
  <si>
    <t>Hospital Lagomaggiore</t>
  </si>
  <si>
    <t xml:space="preserve">Hospital Saporitti </t>
  </si>
  <si>
    <t xml:space="preserve">SONDA DE FOLEY DOBLE VIA BALON 5/15 EST. </t>
  </si>
  <si>
    <t>Hospital Notti</t>
  </si>
  <si>
    <t>Hospital Schestakow</t>
  </si>
  <si>
    <t>Promedio Mercado</t>
  </si>
  <si>
    <t>Hospital de Malargue</t>
  </si>
  <si>
    <t>Hospital Gral. Alvear</t>
  </si>
  <si>
    <t>https://www.lilis.com.ar/descartador-agujas-1-litros-e-1</t>
  </si>
  <si>
    <t>https://cirugiarex.com.ar/producto/electrodos-descartables/</t>
  </si>
  <si>
    <t>https://www.lilis.com.ar/sonda-k-32-nasogastrica-s-33</t>
  </si>
  <si>
    <t>Subsecretaria de salud</t>
  </si>
  <si>
    <t>https://www.tiendasaludonline.com.ar/productos/indicador-biologico-bt91-vh2o2-x-100u-terragene/</t>
  </si>
  <si>
    <t>https://www.tiendasaludonline.com.ar/productos/bobina-pouch-para-esterilizacion-sin-fuelle-300mm-x-200mts-caja-x-1-rollo-3m/</t>
  </si>
  <si>
    <t>PX 1 X10U</t>
  </si>
  <si>
    <t>BAÑO FACIL</t>
  </si>
  <si>
    <t>Precio ref. 3</t>
  </si>
  <si>
    <t>Marca px3</t>
  </si>
  <si>
    <t>Link px 3</t>
  </si>
  <si>
    <t>https://www.lilis.com.ar/algodon-1-2-k-doncella-igalte</t>
  </si>
  <si>
    <t>https://www.tiendahospimed.com.ar/MLA-607569932-aposito-impermeable-tegaderm-3m-10x12-10-unidades-_JM#position=1&amp;search_layout=stack&amp;type=item&amp;tracking_id=5aa2351b-d0ee-4e1b-af50-92b53d2c6d2d</t>
  </si>
  <si>
    <t>GENERIC</t>
  </si>
  <si>
    <t>https://www.tiendahospimed.com.ar/MLA-1120422069-aposito-esteril-gasa-algodon-kraft-10x20-20-unidades-_JM#position=4&amp;search_layout=stack&amp;type=item&amp;tracking_id=77054436-6e98-4191-b4ee-f45c3346c70f</t>
  </si>
  <si>
    <t>https://cirugiarex.com.ar/producto/baja-lengua-de-madera-pediatricos-x100-unidades/</t>
  </si>
  <si>
    <t>https://cirugiarex.com.ar/producto/baja-lengua-de-madera-adultos-x100-unidades/</t>
  </si>
  <si>
    <t>COLOPLAST</t>
  </si>
  <si>
    <t>https://www.tiendahospimed.com.ar/MLA-643229833-bolsa-de-colostomia-cerrada-2-piezas-coloplast-10184-x30-uni-_JM#position=23&amp;search_layout=stack&amp;type=item&amp;tracking_id=bcf55261-9a5b-4a18-86a6-4b12314ccceb</t>
  </si>
  <si>
    <t>https://www.tiendahospimed.com.ar/MLA-738015672-boquilla-para-espirometria-31-mm-20-unidades-_JM#position=1&amp;search_layout=stack&amp;type=item&amp;tracking_id=221e3683-c93b-4582-b29e-6e45c6851180</t>
  </si>
  <si>
    <t>CAJA X200U (px1) 20u (px2)</t>
  </si>
  <si>
    <t>https://www.tiendahospimed.com.ar/MLA-872162244-frasco-brocal-24hs-muestra-de-orina-completa-2-lts-_JM#position=1&amp;search_layout=stack&amp;type=item&amp;tracking_id=c3b53cc0-b0de-416b-bcc3-d2db57cf3b27</t>
  </si>
  <si>
    <t>AURINCO</t>
  </si>
  <si>
    <t>X100U (PX 1 Y 2)</t>
  </si>
  <si>
    <t>X 100U (PX 1 Y 2)</t>
  </si>
  <si>
    <t>https://www.tiendahospimed.com.ar/MLA-756022976-histerometro-sims-32-cm-instrumental-quirurgico-_JM#position=2&amp;search_layout=stack&amp;type=item&amp;tracking_id=b079918a-0923-4ef0-a7bc-cd168f966715</t>
  </si>
  <si>
    <t>BELMED</t>
  </si>
  <si>
    <t>https://cirugiarex.com.ar/producto/jeringa-hipodermica-descartable-5ml-darling/</t>
  </si>
  <si>
    <t>DARLING</t>
  </si>
  <si>
    <t>https://www.tiendahospimed.com.ar/MLA-839003046-jeringa-descartable-5-ml-sin-aguja-100-unidades-_JM?searchVariation=50638209526#searchVariation=50638209526&amp;position=10&amp;search_layout=stack&amp;type=item&amp;tracking_id=6daac8f4-dc44-4bd5-ab5b-995b83254133</t>
  </si>
  <si>
    <t>https://www.tiendahospimed.com.ar/MLA-839003144-jeringa-descartable-10-ml-sin-aguja-100-unidades-_JM?searchVariation=50638348833#searchVariation=50638348833&amp;position=3&amp;search_layout=stack&amp;type=item&amp;tracking_id=23682066-0608-4318-9631-44fce24e804f</t>
  </si>
  <si>
    <t>https://www.tiendahospimed.com.ar/MLA-839005963-jeringa-descartable-20-ml-sin-aguja-50-unidades-_JM?searchVariation=50639296659#searchVariation=50639296659&amp;position=27&amp;search_layout=stack&amp;type=item&amp;tracking_id=b581924e-6b78-4e94-bc7d-192e82dd69ec</t>
  </si>
  <si>
    <t>NP</t>
  </si>
  <si>
    <t>https://www.tiendahospimed.com.ar/MLA-1103683562-papel-kraff-medicinal-bobina-60-cm-12-kg-_JM#position=14&amp;search_layout=stack&amp;type=item&amp;tracking_id=a3333a02-bdfe-4512-872d-35e5a6e63887</t>
  </si>
  <si>
    <t>60cm 12 km</t>
  </si>
  <si>
    <t>https://www.tiendahospimed.com.ar/MLA-817034684-pinza-maier-ginecologica-descartable-por-5-unidades-_JM#position=1&amp;search_layout=stack&amp;type=item&amp;tracking_id=d269d3a5-cf58-4423-8db1-4c39264c184d</t>
  </si>
  <si>
    <t>https://www.tiendahospimed.com.ar/MLA-854138982-termometro-digital-lectura-rapida-exatherm-_JM#position=3&amp;search_layout=stack&amp;type=item&amp;tracking_id=ae3e8879-4057-4a0e-88ad-f7c3d73658c0</t>
  </si>
  <si>
    <t>https://www.tiendahospimed.com.ar/MLA-616305640-comfeel-aposito-parche-hidrocoloide-grueso-10x10-x-10-u-_JM#position=3&amp;search_layout=stack&amp;type=item&amp;tracking_id=122e6606-c91c-4169-9433-c2fafd512ba0</t>
  </si>
  <si>
    <t>IHT</t>
  </si>
  <si>
    <t>LYNCMED</t>
  </si>
  <si>
    <t>https://cirugiarex.com.ar/producto/cofia-descartable-x100-unidades-lyncmed/</t>
  </si>
  <si>
    <t>https://www.tiendasaludonline.com.ar/productos/botas-descartable-hemorepelente-con-tiras-blanca-30grs-p-cirugia-x-10-pares/</t>
  </si>
  <si>
    <t>DIMEX</t>
  </si>
  <si>
    <t>https://www.tiendahospimed.com.ar/MLA-850688817-bolsa-colectora-de-orina-cama-2-lts-10-unidades-_JM#position=2&amp;search_layout=stack&amp;type=item&amp;tracking_id=09243106-1762-46cf-ab67-3ea2236bdc90</t>
  </si>
  <si>
    <t>LISFAR</t>
  </si>
  <si>
    <t>BODY CARE</t>
  </si>
  <si>
    <t>MEDICAL PLUS</t>
  </si>
  <si>
    <t>https://www.tiendahospimed.com.ar/MLA-808478889-gel-neutro-1-kg-x-2-unidades-_JM#position=4&amp;search_layout=stack&amp;type=item&amp;tracking_id=4e9e71f7-3bb5-4140-9504-a2190b3ce9db</t>
  </si>
  <si>
    <t>MOIST GEL</t>
  </si>
  <si>
    <t>https://www.tiendahospimed.com.ar/MLA-866945877-guantes-de-nitrilo-negro-sin-polvo-x-100-unidades-_JM?searchVariation=59540783082#searchVariation=59540783082&amp;position=2&amp;search_layout=stack&amp;type=item&amp;tracking_id=13144c16-d71b-4ade-a9f4-c5dc0b72b11b</t>
  </si>
  <si>
    <t>HONGDA MEDICAL</t>
  </si>
  <si>
    <t>SURGIKAL</t>
  </si>
  <si>
    <t>VENDSUR</t>
  </si>
  <si>
    <t>https://www.tiendasaludonline.com.ar/productos/aguja-hipodermica-15-5-25g5-8-caja-x-100u-greetmed/</t>
  </si>
  <si>
    <t>GREEDMED</t>
  </si>
  <si>
    <t xml:space="preserve">PRECIOS FUENTES CONSULTADAS </t>
  </si>
  <si>
    <t>PRECIOS DE COMPR.AR MENDOZA</t>
  </si>
  <si>
    <t>TELA</t>
  </si>
  <si>
    <t xml:space="preserve">AGUJA HIPODERMICA 15/5 DESC.EST. </t>
  </si>
  <si>
    <t xml:space="preserve">AGUJA HIPODERMICA 25/6 DESC.EST.  </t>
  </si>
  <si>
    <t xml:space="preserve">AGUJA HIPODERMICA 25/8 DESC.EST. </t>
  </si>
  <si>
    <t xml:space="preserve">AGUJA HIPODERMICA 30/7 DESC.EST. </t>
  </si>
  <si>
    <t xml:space="preserve">AGUJA HIPODERMICA 40/8 DESC.EST. </t>
  </si>
  <si>
    <t xml:space="preserve">AGUJA HIPODERMICA 50/8 DESC.EST. </t>
  </si>
  <si>
    <t>TELA ADHESIVA X 5 CM DE ANCHO Y 9 M DE LARGO APROX.</t>
  </si>
  <si>
    <t>DESCARTADOR CAP. 4LT. P/PUNZANTES BOCA ANCHA</t>
  </si>
  <si>
    <t>DESCARTADOR CAP. 7LT. P/PUNZANTES BOCA ANCHA</t>
  </si>
  <si>
    <t>Primer trimestre 2022</t>
  </si>
  <si>
    <t>https://www.tiendasaludonline.com.ar/productos/aposito-iht-oper-easy-5-x-72-cm-caja-x-100-unidades/</t>
  </si>
  <si>
    <t>PX X 100</t>
  </si>
  <si>
    <t>BREMEN</t>
  </si>
  <si>
    <t>https://www.tiendasaludonline.com.ar/productos/guantes-examen-latex-talla-m-medium-caja-x-100u-bremen/</t>
  </si>
  <si>
    <t>px 1(2 Paq. De 16 pañales)</t>
  </si>
  <si>
    <t>ADQUISICION DE PRODUCTOS MEDICOS. Nº DE PROCESO: 10606-0001-LPU22</t>
  </si>
  <si>
    <t>Precio Mayo COMPR.AR</t>
  </si>
  <si>
    <t>Promedio TOTAL</t>
  </si>
  <si>
    <t xml:space="preserve"> </t>
  </si>
  <si>
    <t>https://www.tiendasaludonline.com.ar/productos/agujas-hipodermicas-25-8-21gx1-caja-x-100u-bremen/</t>
  </si>
  <si>
    <t>https://www.tiendasaludonline.com.ar/productos/agujas-hipodermicas-25-8-x-100ps-novamed/</t>
  </si>
  <si>
    <t>https://www.tiendasaludonline.com.ar/productos/agujas-hipodermicas-40-8-caja-x-100u-novamed/</t>
  </si>
  <si>
    <t>https://www.lilis.com.ar/hojas-de-bisturi-printex-100-todos-los-tama-os</t>
  </si>
  <si>
    <t>EXHATERM</t>
  </si>
  <si>
    <t>CATETER I.V. DE POLIURETANO N 24 G RADIOPACO</t>
  </si>
  <si>
    <t>CATETER I.V. DE POLIURETANO N 16 G RADIOPACO</t>
  </si>
  <si>
    <t xml:space="preserve">CATETER I.V. DE POLIURETANO N 18 G RADIOPACO </t>
  </si>
  <si>
    <t xml:space="preserve">CATETER I.V. DE POLIURETANO N 20 G RADIOPACO </t>
  </si>
  <si>
    <t xml:space="preserve">CATETER I.V. DE POLIURETANO N 22 G RADIOPACO </t>
  </si>
  <si>
    <t>CATETER IV DE POLIURETANO</t>
  </si>
  <si>
    <t>https://cirugiarex.com.ar/producto/cateter-polymed/</t>
  </si>
  <si>
    <t>POLYMED</t>
  </si>
  <si>
    <t>https://www.tiendasaludonline.com.ar/productos/cateter-intravenoso-24g-caja-x-100u-polywin-polymed/</t>
  </si>
  <si>
    <t>https://www.tiendasaludonline.com.ar/productos/cateter-intravenoso-16g-caja-x-100u-polywin-polymed/</t>
  </si>
  <si>
    <t>https://www.tiendasaludonline.com.ar/productos/cateter-intravenoso-18g-caja-x-100u-polywin-polymed/</t>
  </si>
  <si>
    <t>https://www.tiendasaludonline.com.ar/productos/cateter-intravenoso-20g-caja-x-100u-polywin-polymed/</t>
  </si>
  <si>
    <t>https://www.tiendasaludonline.com.ar/productos/cateter-intravenoso-22g-caja-x-100u-polywin-polymed/</t>
  </si>
  <si>
    <t>https://www.lilis.com.ar/descartador-agujas-y-corto-punz-e-7</t>
  </si>
  <si>
    <t>https://www.lilis.com.ar/descartador-agujas-y-corto-punz-e-4</t>
  </si>
  <si>
    <t>https://www.tiendasaludonline.com.ar/productos/gasa-doblada-simple-esteril-en-sobre-7x7cm-x-3u-caja-x-500u-insumos-xxi/</t>
  </si>
  <si>
    <t>PX  x unidad, 500u de pouch por 3</t>
  </si>
  <si>
    <t>https://www.tiendasaludonline.com.ar/productos/guantes-esteriles-de-cirugia-nipro-nro-8-5-cja-x-50-pares/</t>
  </si>
  <si>
    <t>https://www.tiendasaludonline.com.ar/productos/guantes-examen-latex-m-mediano-caja-x-100ps-trux/</t>
  </si>
  <si>
    <t>TRUX</t>
  </si>
  <si>
    <t>https://cirugiarex.com.ar/producto/equipo-para-transfusion-tipo-v-20-c-aguja-y-filtro/</t>
  </si>
  <si>
    <t>SONDA DE FOLEY Nº20 TRIPLE VIA BALON 30/45 EST</t>
  </si>
  <si>
    <t xml:space="preserve">SONDA DE FOLEY Nº16 DOBLE VIA BALON 5/15 EST. </t>
  </si>
  <si>
    <t>SONDA DE FOLEY Nº18 DOBLE VIA BALON 5/15 EST.</t>
  </si>
  <si>
    <t xml:space="preserve">SONDA DE FOLEY Nº20 DOBLE VIA BALON 5/15 EST. </t>
  </si>
  <si>
    <t>SONDA DE FOLEY Nº22 DOBLE VIA BALON 5/15 EST.</t>
  </si>
  <si>
    <t>https://www.tiendasaludonline.com.ar/productos/sonda-foley-3-vias-n-20-silicona-pura-100-caja-x-10ps-star/</t>
  </si>
  <si>
    <t>STAR</t>
  </si>
  <si>
    <t>https://www.tiendasaludonline.com.ar/productos/sonda-foley-2-vias-100-silicona-pura-n-16-caja-x-10ps-star-kangyuang/</t>
  </si>
  <si>
    <t>https://www.tiendasaludonline.com.ar/productos/sonda-foley-2-vias-100-silicona-pura-n-22-caja-x-10ps-star-kangyuan/</t>
  </si>
  <si>
    <t>https://www.lilis.com.ar/tela-adhesiva-adhesur-5-uni-4-5-metros</t>
  </si>
  <si>
    <t>ADHESUR</t>
  </si>
  <si>
    <t>4,5 X 9MTS de largo</t>
  </si>
  <si>
    <t>https://cirugiarex.com.ar/producto/papel-ecg-electrocardiografo-50mm-x30-mts/</t>
  </si>
  <si>
    <t>THERMAL PAPER</t>
  </si>
  <si>
    <t>https://www.tiendahospimed.com.ar/MLA-738004867-clamp-umbilical-x-100-u-_JM#position=1&amp;search_layout=stack&amp;type=item&amp;tracking_id=55ef88de-6031-4cd9-bf3c-343820543fe7</t>
  </si>
  <si>
    <t>https://www.lilis.com.ar/tela-adhesiva-transpore-2-5-9-un-42212-120</t>
  </si>
  <si>
    <t>Grupo codigo de insumo</t>
  </si>
  <si>
    <t>Detalle</t>
  </si>
  <si>
    <t>Renglon</t>
  </si>
  <si>
    <t xml:space="preserve">JERINGA  60 CC.S/AGUJA DESC.EST.                                                                                                                                                   </t>
  </si>
  <si>
    <t>115/116</t>
  </si>
  <si>
    <t>TUBO ENDOTRAQUEAL 7.5 MM DIAM.INT.(N°30) CON BALON DESC.EST.  Presentacion:  UNIDAD</t>
  </si>
  <si>
    <t>109/110</t>
  </si>
  <si>
    <t>MICRONEBULIZADOR C/MASCARA Y TUBULADURA (adulto y pediatrico)</t>
  </si>
  <si>
    <t>Promedio por codigo de insumo</t>
  </si>
  <si>
    <t>https://www.tiendasaludonline.com.ar/productos/cateter-de-succion-cerrado-p-asp-traqueal-14-fr-adulto-aurinco-libre-de-latex-x-34-cm/</t>
  </si>
  <si>
    <t>https://www.lilis.com.ar/especulo-medisul-grande-para-leep-100-rosa-2</t>
  </si>
  <si>
    <t>https://www.tiendasaludonline.com.ar/productos/guantes-de-cirugia-esteriles-n-7-0-caja-x-50-pares-kelmer/</t>
  </si>
  <si>
    <t>KELMER</t>
  </si>
  <si>
    <t>https://www.tiendasaludonline.com.ar/productos/guante-examen-nitrilo-azul-medium-sin-polvo-aurinco-caja-x100u/</t>
  </si>
  <si>
    <t>https://www.lilis.com.ar/bolsa-orina-cama-forlano-2000a-4200</t>
  </si>
  <si>
    <t>FORLANO</t>
  </si>
  <si>
    <t xml:space="preserve">Sigue px gasa hidrofilia doble tubular </t>
  </si>
  <si>
    <t>Sigue variacion codigo de insumo 3212</t>
  </si>
  <si>
    <t>Sigue variacion por codigo de insumo 3211</t>
  </si>
  <si>
    <t>Sigue variacion por codigo de insumo 3212</t>
  </si>
  <si>
    <t>Sigue variacion por codigo de insumo 3215</t>
  </si>
  <si>
    <t>Sigue variacion por codigo de insumo 3207</t>
  </si>
  <si>
    <t>Sigue variacion de codigo de insumo 3215</t>
  </si>
  <si>
    <t>Sigue variacion de codigo de insumo 3207</t>
  </si>
  <si>
    <t>Promedio Mercado SEPTIEMBRE</t>
  </si>
  <si>
    <t>Porcentaje aumento julio-sep.</t>
  </si>
  <si>
    <t>https://www.tiendasaludonline.com.ar/productos/electrodo-e-c-g-foam-pedatrico-40-mm-paq-x-50-libre-de-latex-swaromed/</t>
  </si>
  <si>
    <t>SWAROMED</t>
  </si>
  <si>
    <t>px 1 y 2 x 50u</t>
  </si>
  <si>
    <t>https://www.tiendasaludonline.com.ar/productos/venoclisis-macrogotero-s-aguj-c-filtro-con-venteo-20-gotas-caja-x-100u-rymco/</t>
  </si>
  <si>
    <t>20 GOTAS/ML</t>
  </si>
  <si>
    <t>https://www.tiendahospimed.com.ar/MLA-839004562-jeringa-descartable-60-ml-pico-toomey-cateter-25-unida-_JM?searchVariation=50638615865#searchVariation=50638615865&amp;position=1&amp;search_layout=stack&amp;type=item&amp;tracking_id=b47d3cab-1071-4ad2-97ed-4a8b1c4179c0</t>
  </si>
  <si>
    <t>EUROMIX</t>
  </si>
  <si>
    <t>https://cirugiarex.com.ar/producto/jeringa-desechable-tomey-60ml-x25/</t>
  </si>
  <si>
    <t>Sigue variacion de codigo de insumo 3213</t>
  </si>
  <si>
    <t>https://www.tiendasaludonline.com.ar/productos/aguja-puncion-lumbar-25g-importada-aurinco/</t>
  </si>
  <si>
    <t xml:space="preserve">Sigue px similar GASA HIDROFILIA </t>
  </si>
  <si>
    <t>https://www.tiendasaludonline.com.ar/productos/aguja-espinal-puncion-lumbar-25gx31-2-phoenix/</t>
  </si>
  <si>
    <t>PHOENIX</t>
  </si>
  <si>
    <t>https://cirugiarex.com.ar/producto/alcohol-liquido-70-1-litro/</t>
  </si>
  <si>
    <t>BIALCOHOL</t>
  </si>
  <si>
    <t>https://cirugiarex.com.ar/producto/alcohol-liquido-1-litro/</t>
  </si>
  <si>
    <t>https://cirugiarex.com.ar/producto/venda-ovata-de-algodon-10cm-x-3m/</t>
  </si>
  <si>
    <t>https://cirugiarex.com.ar/producto/tegaderm-1624-6x-7cm-3m/</t>
  </si>
  <si>
    <t>TEGADERM</t>
  </si>
  <si>
    <t xml:space="preserve">PX 1 X 25U (10CM X 3M) </t>
  </si>
  <si>
    <t>https://cirugiarex.com.ar/producto/bota-media-cana-descatable-x100-unidades/</t>
  </si>
  <si>
    <t>PX 1 y 2 por 50 PARES</t>
  </si>
  <si>
    <t>https://cirugiarex.com.ar/producto/brocal-descartable-vertice/</t>
  </si>
  <si>
    <t>https://www.tiendahospimed.com.ar/MLA-915340507-descartador-agujas-y-cortopunzantes-negro-4-litros-_JM#position=21&amp;search_layout=stack&amp;type=item&amp;tracking_id=0b2e9a7f-529f-4b1f-894a-35cbc3e4ea57</t>
  </si>
  <si>
    <t>https://www.tiendahospimed.com.ar/MLA-862992543-descartador-agujas-cortopunzantes-negro-1-litro-2-unidades-_JM#position=30&amp;search_layout=stack&amp;type=item&amp;tracking_id=45721ac5-008c-420d-91ec-d16ba69bbf1e</t>
  </si>
  <si>
    <t>PX 2 X 2UNIDADES</t>
  </si>
  <si>
    <t>https://www.tiendahospimed.com.ar/MLA-805901351-descartador-agujas-y-cortopunzantes-rojo-7-litros-_JM#position=6&amp;search_layout=stack&amp;type=item&amp;tracking_id=5d5ddbbf-cc65-4aec-9d7c-a7b4551a530c</t>
  </si>
  <si>
    <t>https://www.lilis.com.ar/detergente-bienzimatico-1-litro-1</t>
  </si>
  <si>
    <t>https://www.lilis.com.ar/bigotera-k27-adulto-nasal-kol-78433</t>
  </si>
  <si>
    <t>https://www.lilis.com.ar/bigotera-k27-pediatrica-koler</t>
  </si>
  <si>
    <t>px 1 x100u</t>
  </si>
  <si>
    <t>px 1 X250u</t>
  </si>
  <si>
    <t>https://www.lilis.com.ar/mascara-de-oxigeno-6-graduaciones-hg-adulta-59498</t>
  </si>
  <si>
    <t>PX 2 C/6 valvulas</t>
  </si>
  <si>
    <t>https://www.lilis.com.ar/mascara-de-oxigeno-6-graduaciones-pediatrica-hg-113</t>
  </si>
  <si>
    <t>https://www.tiendahospimed.com.ar/MLA-1111930436-mascara-de-oxigeno-c-reservorio-arnes-y-tubuladora-_JM#position=5&amp;search_layout=stack&amp;type=item&amp;tracking_id=78294b9d-cafd-4586-9d8b-8bea49a452ea</t>
  </si>
  <si>
    <t>https://www.lilis.com.ar/papel-60-30-electrocardiografo</t>
  </si>
  <si>
    <t>px 1 x10 rollos; px2 60mm*30mm</t>
  </si>
  <si>
    <t>https://cirugiarex.com.ar/producto/sonda-foley-n18-silicona-2-vias-kangyuan/</t>
  </si>
  <si>
    <t>https://www.tiendahospimed.com.ar/MLA-1152781152-tela-adhesiva-hipoalergenica-seda-5cm-x-9mts-x6-rollos-_JM#position=6&amp;search_layout=stack&amp;type=item&amp;tracking_id=bd1ec347-b6d7-46b0-9811-46307d79309d</t>
  </si>
  <si>
    <t>HIPOALERGENICA</t>
  </si>
  <si>
    <t>https://cirugiarex.com.ar/producto/cinta-hipoalergenica-micropore-3m-1530-2/</t>
  </si>
  <si>
    <t>https://cirugiarex.com.ar/producto/tela-transpore-5-00cm-x-6un-3m/</t>
  </si>
  <si>
    <t>px 2,5 litros</t>
  </si>
  <si>
    <t>Promedio Mercado NOVIEMBRE</t>
  </si>
  <si>
    <t>Variacion SEPTIEMBRE-NOVIEMBRE</t>
  </si>
  <si>
    <t>https://www.tiendasaludonline.com.ar/productos/alcohol-etilico-70-x-500-ml-porta/</t>
  </si>
  <si>
    <t>PX1 por 500ml</t>
  </si>
  <si>
    <t>PRECIOS ACTUALIZADOS AL : 24/11/2022</t>
  </si>
  <si>
    <t>1Base031290027.1ALCOHOL ETILICO PURO 96º  Presentación:  X LT  Solicitado:  LT</t>
  </si>
  <si>
    <t>2Base031290027.4ALCOHOL ETILICO 70º  Presentación:  X 1000 ML  Solicitado:  ENVASE</t>
  </si>
  <si>
    <t>3Base032010001.3BARBIJO DESC TRIPLE CAPA HEMOREP MIN 40 GR CON SUJETADOR DE NARIZ  Presentación:  UNIDAD</t>
  </si>
  <si>
    <t>5Base032010005.3 BOTAS CAÑA LARGA HEMOREPELENTES NO PLASTICO PERMEABLE AL VAPOR DESC.DE 30 GR. MINIMO  Presentación:  PAR</t>
  </si>
  <si>
    <t>62032010006.12DESCARTADOR PLAST CAP 1 LT P/CORTOPUNZANTES BOCA ANCHA  Presentación:  UNIDAD</t>
  </si>
  <si>
    <t>7Base032010006.13DESCARTADOR PLAST CAP 4 LT P/CORTOPUNZANTES BOCA ANCHA  Presentacion:  UNIDAD</t>
  </si>
  <si>
    <t>8Base032010006.14DESCARTADOR PLAST CAP 7 LT P/CORTOPUNZANTES BOCA ANCHA  Presentacion:  UNIDAD</t>
  </si>
  <si>
    <t>9Base032010007.3GORRO CIRUJANO TIPO COFIA HEMOREPELENTE NO PLASTICO PERMEABLE AL VAPOR DESC.  Presentación:  UNIDAD</t>
  </si>
  <si>
    <t>10Base032010011.1GUANTE LATEX CHICO DESCARTABLE  Presentación:  CAJA X 100  Solicitado:  CAJA</t>
  </si>
  <si>
    <t>13Base032010012.1GUANTE LATEX Nº 7 PUÑO LARGO DESC. ESTERIL  Presentación:  X PAR  Solicitado:  PAR</t>
  </si>
  <si>
    <t>182032010017.9GUANTE LIBRE DE LATEX CHICO DESCARTABLE  Presentación:  CAJA X 100  Solicitado:  CAJA</t>
  </si>
  <si>
    <t>22Base032020002.4GASA SIMPLE-RECTILINEA 36 M LARGO X 1M ANCHO X 18 HILOS  Presentacion:  PIEZA</t>
  </si>
  <si>
    <t>24Base032020003.3 GASA TUBULAR 7 X 7 CM.ESTERIL DOBLADILLADA APROX.  Presentacion:  POUCH X 3  Solicitado:  POUCH</t>
  </si>
  <si>
    <t>232032020003.2GASA HIDROFILA DOBLE TUBULAR CON HILADO NO MENOR A 24/1, PIEZA DE80 CM X 22 M Y PESO NO INFERIOR A 1.1OO GR.  Presentación:  PIEZA</t>
  </si>
  <si>
    <t>25Base032020004.2 VENDA TIPO CAMBRIC  7 CM ANCHO ORILLADA MIN 2,5 MTS DE LARGO  Presentación:  ROLLO</t>
  </si>
  <si>
    <t>26Base032020004.3VENDA TIPO CAMBRIC 10 CM ANCHO ORILLADA MIN 2,5 MTS DE LARGO  Presentación:  ROLLO</t>
  </si>
  <si>
    <t>27Base032020006.2TELA ADHESIVA X   5 CM DE ANCHO Y 9 M DE LARGO APROX.  Presentación:  ROLLO</t>
  </si>
  <si>
    <t>28Base032020006.4TELA ADHESIVA X 5 CM MICROPOROSA HIPOALERGENICA 9 M LARGO APROX.  Presentación:  ROLLO</t>
  </si>
  <si>
    <t>292032020006.6TELA ADHESIVA X 5 CM TRANSP.HIPOALERGENICA 9 M DE LARGO APROX.  Presentación:  ROLLO</t>
  </si>
  <si>
    <t>30Base032020007.3APOSITO PROTECTOR P/VIA VENOSA CENTRAL TIPO VECA-C  Presentacion:  UNIDAD</t>
  </si>
  <si>
    <t>31Base032020007.4APOSITO DE 10X20CM Y 14G APROX.CONFECCIONADO C/ALGODON HIDROFILO Y GASA TUBULAR,ACONDICIONADO ESTERIL  Presentacion:  UNIDAD</t>
  </si>
  <si>
    <t>32Base032030001.2HOJA DE BISTURI Nº 15 ESTERIL  Presentación:  UNIDAD</t>
  </si>
  <si>
    <t>36Base032030003.3CABLE P/ELECTROBISTURI CON MANGO Y PUNTA P/CORTE DESCARTABLE  Presentación:  SET</t>
  </si>
  <si>
    <t>37Base032050001.1ELECTRODO P/MONITOREO NIÑOS DESC.  Presentación:  UNIDAD</t>
  </si>
  <si>
    <t>39Base032050002.6GEL PARA ECOGRAFIA CON DOSIFICADOR  Presentación:  X 500 GR  Solicitado:  ENVASE</t>
  </si>
  <si>
    <t>40Base032050003.1PAPEL P/ECOGRAFIA 110 MM X 20 MT  Presentación:  ROLLO</t>
  </si>
  <si>
    <t>41Base032050004.4PAPEL P/ECG TERMOSENSIBLE 50 MM X 30 MT  Presentación:  ROLLO</t>
  </si>
  <si>
    <t>42Base032060001.2ALGODON LAMINADO X 10 CM ANCHO Y 2.5 MTS LARGO APROX.  Presentación:  ROLLO</t>
  </si>
  <si>
    <t>21Base032020001.1ALGODON HIDROFILO PLEGADO X 400/500 G  Presentación:  PAQUETE</t>
  </si>
  <si>
    <t>4Base032010004.9BLUSON DE CIRUGIA DESC.C/PUÑO ELASTIZADO, HEMORREPELENTE 40GR.1.40 MTS DE LARGO Y 1.50 MTS DE ANCHO APROX  Presentacion:  UNIDAD</t>
  </si>
  <si>
    <t>45Base032060005.6VENDA ENYESADA-FRAGUADO RAPIDO 10 CM ANCHO X 5 M DE LARGO APROX.  Presentación:  ROLLO</t>
  </si>
  <si>
    <t>46Base032060005.7VENDA ENYESADA-FRAGUADO RAPIDO 15 CM ANCHO X 5 M DE LARGO APROX.  Presentación:  ROLLO</t>
  </si>
  <si>
    <t>47Base032060005.8VENDA ENYESADA-FRAGUADO RAPIDO 20 CM ANCHO X 5 M DE LARGO APROX.  Presentación:  ROLLO</t>
  </si>
  <si>
    <t>48Base032070002.2AGUJA HIPODERMICA 15/5 DESC.EST.  Presentación:  UNIDAD</t>
  </si>
  <si>
    <t>49Base032070002.3AGUJA HIPODERMICA 25/6 DESC.EST.  Presentacion:  UNIDAD</t>
  </si>
  <si>
    <t>50Base032070002.4AGUJA HIPODERMICA 25/8 DESC.EST.  Presentación:  UNIDAD</t>
  </si>
  <si>
    <t>51Base032070002.6AGUJA HIPODERMICA 30/7 DESC.EST.  Presentacion:  UNIDAD</t>
  </si>
  <si>
    <t>52Base032070002.7AGUJA HIPODERMICA 40/8 DESC.EST.  Presentación:  UNIDAD</t>
  </si>
  <si>
    <t>53Base032070002.8AGUJA HIPODERMICA 50/8 DESC.EST.  Presentación:  UNIDAD</t>
  </si>
  <si>
    <t>54Base032070005.11CATETER I.V. DE POLIURETANO N 14 G RADIOPACO  Presentacion:  UNIDAD</t>
  </si>
  <si>
    <t>60Base032070006.2GUIA ESTERIL MICROGOTERO C/CAMARA GRAD.100 ML S/A  Presentación:  UNIDAD</t>
  </si>
  <si>
    <t>61Base032070006.1GUIA ESTERIL MICROGOTERO S/FILTRO S/AGUJA  Presentación:  UNIDAD</t>
  </si>
  <si>
    <t>62Base032070006.3GUIA ESTERIL MICROGOTERO FOTOSENSIBLE OPACA S/AGUJA  Presentación:  UNIDAD</t>
  </si>
  <si>
    <t>63Base032070006.4GUIA ESTERIL MACROGOTERO S/FILTRO Y S/AGUJA  Presentación:  UNIDAD</t>
  </si>
  <si>
    <t>64Base032070006.15GUIA ESTERIL MACROGOTERO C/FILTRO P/INFUSION DE SANGRE-PLASMA  Presentación:  UNIDAD</t>
  </si>
  <si>
    <t>65Base032070007.3JERINGA 2.5 /3 CC.S/AGUJA DESC.EST.  Presentación:  UNIDAD</t>
  </si>
  <si>
    <t>66Base032070007.4JERINGA   5 CC.S/AGUJA DESC.EST.  Presentación:  UNIDAD</t>
  </si>
  <si>
    <t>67Base032070007.5JERINGA  10 CC.S/AGUJA DESC.EST.  Presentación:  UNIDAD</t>
  </si>
  <si>
    <t>68Base032070007.10JERINGA  20 CC.S/AGUJA DESC.EST.  Presentación:  UNIDAD</t>
  </si>
  <si>
    <t>69Base032070007.12JERINGA  60 CC.S/AGUJA DESC.EST.  Presentación:  UNIDAD</t>
  </si>
  <si>
    <t>74Base032070012.1EQUIPO DE CONTROL DE FLUJO TIPO UNIFLOW  Presentación:  UNIDAD</t>
  </si>
  <si>
    <t>75Base032080004.3NYLON N°4/0 C/AGUJA 1/2 CIRC.15 MM APROX.PTA.REV.CORTANTE  Presentación:  UNIDAD</t>
  </si>
  <si>
    <t>76Base032080004.4NYLON N°5/0 C/AGUJA 1/2 CIRC.15 MM APROX.PTA.REV.CORTANTE  Presentación:  UNIDAD</t>
  </si>
  <si>
    <t>77Base032080004.7NYLON Nº3/0 C/AGUJA 3/8 CIRC.25 MM APROX.PTA.REV.CORTANTE  Presentación:  UNIDAD</t>
  </si>
  <si>
    <t>78Base032080005.7POLIGLACTINA Nº2/0 C/AGUJA 1/2 CIRC.25 MM APROX.PTA.CILÍNDRICA  Presentación:  UNIDAD</t>
  </si>
  <si>
    <t>81Base032090001.1BAJALENGUA DE MADERA ADULTO  Presentación:  ENVASE X 100  Solicitado:  ENVASE</t>
  </si>
  <si>
    <t>82Base032090001.2BAJALENGUA DE MADERA NI#O  Presentación:  ENVASE X 100  Solicitado:  ENVASE</t>
  </si>
  <si>
    <t>83Base032090004.1PINZA UMBILICAL DESCARTABLE-ESTERIL  Presentación:  UNIDAD</t>
  </si>
  <si>
    <t>84Base032090005.2TERMOMETRO CLINICO DIGITAL (S/MERCURIO)  Presentación:  UNIDAD</t>
  </si>
  <si>
    <t>85Base032090007.1CHATA PLASTICA ADULTO  Presentación:  UNIDAD</t>
  </si>
  <si>
    <t>86Base032090010.2ORINAL DE PLASTICO P/VARON CAP.800 ML.  Presentación:  UNIDAD</t>
  </si>
  <si>
    <t>87Base032090013.1PAÑAL DESCARTABLE ADULTO GRANDE C/ADHESIVO Y GEL  Presentación:  UNIDAD</t>
  </si>
  <si>
    <t>88Base032090013.5PAÑAL DESCARTABLE ADULTO EXTRAGRANDE CON ADHESIVO Y GEL  Presentacion:  UNIDAD</t>
  </si>
  <si>
    <t>89Base032090019.5AEROCAMARA INHALATORIA C/VLAVULA C/MASCARA NEONATAL  Presentación:  UNIDAD</t>
  </si>
  <si>
    <t>91Base032090019.7AEROCAMARA INHALATORIA C/VALVULA C/MASCARA ADULTO  Presentación:  UNIDAD</t>
  </si>
  <si>
    <t>90Base032090019.6AEROCAMARA INHALATORIA C/VALVULA C/MASCARA PEDIATRICA  Presentación:  UNIDAD</t>
  </si>
  <si>
    <t>92Base032090021.2PAÑOS BAÑO FACIL CON CLORHEXIDINA JABONOSA  Presentacion:  UNIDAD</t>
  </si>
  <si>
    <t>93Base032100001.4APOSITO ADHESIVO 10 X 12 CM (tipo Tegaderm)  Presentación:  UNIDAD</t>
  </si>
  <si>
    <t>94Base032100001.10APOSITO HIDROCOLOIDE  Presentación:  10 X 10  Solicitado:  UNIDAD</t>
  </si>
  <si>
    <t>95Base032110001.1LLAVE 3 VIAS  Presentación:  UNIDAD</t>
  </si>
  <si>
    <t>99Base032120004.2INHALADOR DE OXIGENO P/CAVIDAD NASAL PEDIATRICO C/2 TUBULADURAS DESC.EST.  Presentación:  UNIDAD</t>
  </si>
  <si>
    <t>100Base032120004.3INHALADOR DE OXIGENO P/CAVIDAD NASAL ADULTO C/2 TUBULADURAS DESC.EST.  Presentación:  UNIDAD</t>
  </si>
  <si>
    <t>101Base032120005.1MASCARA P/OXIGENOTERAPIA ADULTO C/5 VALVULAS P/ GRADUACION  Presentación:  SET  Solicitado:  SET</t>
  </si>
  <si>
    <t>102Base032120005.2MASCARA P/OXIGENOTERAPIA PEDIATRICA C/5 VALVULAS P/GRADUACION  Presentación:  SET  Solicitado:  SET</t>
  </si>
  <si>
    <t>103Base032120005.25MASCARA P/OXIGENA C/RESERVORIO PEDIATRICA  Presentación:  UNIDAD</t>
  </si>
  <si>
    <t>104Base032120005.26MASCARA P/OXIGENA C/RESERVORIO ADULTO  Presentación:  UNIDAD</t>
  </si>
  <si>
    <t>105Base032120006.4SONDA P/INH O SUCCION MUCUS (TIPO K 29) LONG.45 CM X 4.0 MM DIAM.EXT.DESC.EST.  Presentación:  UNIDAD</t>
  </si>
  <si>
    <t>106Base032120008.14TUBO ENDOTRAQUEAL 7.5 MM DIAM.INT.(N°30) CON BALON DESC.EST.  Presentacion:  UNIDAD</t>
  </si>
  <si>
    <t>113Base032120019.2FRASCO HUMIDIFICADOR DE OXIGENO x 300 ML  Presentación:  UNIDAD</t>
  </si>
  <si>
    <t>114Base032120020.17CIRCUITO CERRADO DE EXTRACCION DE MUCUS 16 F TIPO TRANCHCARE  Presentación:  UNIDAD</t>
  </si>
  <si>
    <t>117Base032122001.3BOQUILLA DE CARTON P/ESPIROMETRIA  Presentación:  UNIDAD</t>
  </si>
  <si>
    <t>118Base032130006.1SONDA (TIPO K 9) P/INTUBACION GASTRICA LONG.125 CM X 4 MM DIAM.EXT.APROX.EST.  Presentación:  UNIDAD</t>
  </si>
  <si>
    <t>121Base032130001.1BOLSA DE COLOSTOMIA AUTOADHESIVA C/FILTRO Y DIAM.RECORTABLE OPACA  Presentación:  UNIDAD</t>
  </si>
  <si>
    <t>https://www.tiendasaludonline.com.ar/productos/cinta-indicadora-autoadhesiva-para-procesos-de-esterilizacion-ct30-dry-terragene/</t>
  </si>
  <si>
    <t>https://www.tiendasaludonline.com.ar/productos/cinta-indicadora-autoadhesiva-para-procesos-de-esterilizacion-ct40-vh2o2-terragene/</t>
  </si>
  <si>
    <t>NO SE CONSIGUIO</t>
  </si>
  <si>
    <t>125Base032150002.1CINTA AUTOADHESIVA C/INDICADOR QUIMICO P/CALOR SECO 18 MM-50 MT.APROX.  Presentación:  ROLLO</t>
  </si>
  <si>
    <t>126Base032150002.3CINTA AUTOADHESIVA C/INDICADOR QUIMICO P/VAPOR 18 MM 50 MT.APROX.  Presentación:  ROLLO</t>
  </si>
  <si>
    <t>127Base032150003.6DETERGENTE TRIENZIMATICO (PROTEASA-AMILASA-LIPASA)BAJA ESPUMA  Presentación:  X LITRO  Solicitado:  BIDON</t>
  </si>
  <si>
    <t>128Base032150004.1CONTROL BIOLOGICO P/VAPOR.CALOR SECO Y OXIDO ETILEN.S/MEDIO CULT.INCORPORADO  Presentación:  UNIDAD</t>
  </si>
  <si>
    <t>129Base032150006.1POUCH CON INDIC P/VAPOR/O.E 7,5X200 PAPEL QUIRURGICO LISO/LAMINAD.PLAST.TRANSPAREN  Presentacion:  ROLLO</t>
  </si>
  <si>
    <t>134Base032150006.6PAPEL QUIRURGICO BLANCO PURO 60 GR.X M2 (TIPO KRAFT)  Presentacion:  X KG  Solicitado:  KG</t>
  </si>
  <si>
    <t>139Base032160001.2CEPILLO P/TOMA CITOLOGICA ENDOCERVICAL DESC.EST.  Presentación:  UNIDAD</t>
  </si>
  <si>
    <t>141Base032160002.2ESPECULO GRANDE DESC.EST.  Presentación:  UNIDAD</t>
  </si>
  <si>
    <t>143Base032160005.1PINZA MAIER RECTA DESC. ESTÉRIL  Presentación:  UNIDAD</t>
  </si>
  <si>
    <t>144Base032160008.1HISTEROMETRO DESCARTABLE  Presentación:  UNIDAD</t>
  </si>
  <si>
    <t>145Base032220001.1COLLAR CERVICAL TIPO PHILADELPHIA CHICO  Presentación:  UNIDAD</t>
  </si>
  <si>
    <t>148Base032230002.2BOLSA PLASTICA C/VALVULA DE DESAGOTE Y ANTIREFLUJO CAP. 2 L P/RECOLEC.ORINA EST. FONDO BLANCO  Presentación:  UNIDAD</t>
  </si>
  <si>
    <t>154Base032230003.11SONDA DE FOLEY Nº20 TRIPLE VIA BALON 30/45 EST.  Presentación:  UNIDAD</t>
  </si>
  <si>
    <t>150Base032230003.5SONDA DE FOLEY Nº16 DOBLE VIA BALON 5/15 EST.  Presentación:  UNIDAD</t>
  </si>
  <si>
    <t>151Base032230003.6SONDA DE FOLEY Nº18 DOBLE VIA BALON 5/15 EST.  Presentación:  UNIDAD</t>
  </si>
  <si>
    <t>152Base032230003.7SONDA DE FOLEY Nº20 DOBLE VIA BALON 5/15 EST.  Presentación:  UNIDAD</t>
  </si>
  <si>
    <t>153Base032230003.8SONDA DE FOLEY Nº22 DOBLE VIA BALON 5/15 EST.  Presentación:  UNIDAD</t>
  </si>
  <si>
    <t>155Base032230005.4 SONDA URETRAL RECTA N° 12 (TIPO K 93)  Presentación:  UNIDAD</t>
  </si>
  <si>
    <t>156Base032230006.1BROCAL CON TAPA  Presentación: 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</si>
</sst>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theme="1" tint="0.1499984740745262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3" fillId="0" borderId="0"/>
    <xf numFmtId="44" fontId="4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4" applyNumberFormat="0" applyAlignment="0" applyProtection="0"/>
    <xf numFmtId="0" fontId="8" fillId="6" borderId="0" applyNumberFormat="0" applyBorder="0" applyAlignment="0" applyProtection="0"/>
    <xf numFmtId="0" fontId="9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0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9" fontId="4" fillId="0" borderId="0" applyFont="0" applyFill="0" applyBorder="0" applyAlignment="0" applyProtection="0"/>
  </cellStyleXfs>
  <cellXfs count="788">
    <xf numFmtId="0" fontId="0" fillId="0" borderId="0" xfId="0"/>
    <xf numFmtId="0" fontId="4" fillId="2" borderId="1" xfId="10" applyFont="1" applyFill="1" applyBorder="1" applyAlignment="1">
      <alignment horizontal="left"/>
    </xf>
    <xf numFmtId="0" fontId="11" fillId="2" borderId="1" xfId="5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4" fillId="2" borderId="1" xfId="4" applyFont="1" applyFill="1" applyBorder="1" applyAlignment="1">
      <alignment horizontal="left"/>
    </xf>
    <xf numFmtId="0" fontId="11" fillId="2" borderId="1" xfId="10" applyFont="1" applyFill="1" applyBorder="1" applyAlignment="1">
      <alignment horizontal="left"/>
    </xf>
    <xf numFmtId="0" fontId="4" fillId="2" borderId="1" xfId="5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0" xfId="0" applyFill="1" applyBorder="1"/>
    <xf numFmtId="0" fontId="5" fillId="2" borderId="0" xfId="4" applyFill="1" applyBorder="1"/>
    <xf numFmtId="0" fontId="0" fillId="2" borderId="0" xfId="0" applyFill="1"/>
    <xf numFmtId="0" fontId="14" fillId="2" borderId="0" xfId="0" applyFont="1" applyFill="1" applyBorder="1"/>
    <xf numFmtId="0" fontId="11" fillId="2" borderId="1" xfId="4" applyFont="1" applyFill="1" applyBorder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4" fontId="0" fillId="2" borderId="1" xfId="3" applyFont="1" applyFill="1" applyBorder="1" applyAlignment="1">
      <alignment horizontal="right"/>
    </xf>
    <xf numFmtId="44" fontId="0" fillId="2" borderId="1" xfId="3" applyFont="1" applyFill="1" applyBorder="1" applyAlignment="1">
      <alignment horizontal="right" vertical="center"/>
    </xf>
    <xf numFmtId="44" fontId="0" fillId="15" borderId="1" xfId="3" applyFont="1" applyFill="1" applyBorder="1" applyAlignment="1">
      <alignment horizontal="right"/>
    </xf>
    <xf numFmtId="44" fontId="0" fillId="2" borderId="1" xfId="3" applyFont="1" applyFill="1" applyBorder="1"/>
    <xf numFmtId="44" fontId="0" fillId="2" borderId="0" xfId="3" applyFont="1" applyFill="1"/>
    <xf numFmtId="44" fontId="0" fillId="0" borderId="0" xfId="3" applyFont="1"/>
    <xf numFmtId="44" fontId="16" fillId="2" borderId="1" xfId="3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3" fillId="0" borderId="0" xfId="2"/>
    <xf numFmtId="44" fontId="11" fillId="11" borderId="1" xfId="3" applyFont="1" applyFill="1" applyBorder="1" applyAlignment="1">
      <alignment horizontal="left"/>
    </xf>
    <xf numFmtId="0" fontId="11" fillId="0" borderId="1" xfId="8" applyFont="1" applyBorder="1" applyAlignment="1">
      <alignment horizontal="left"/>
    </xf>
    <xf numFmtId="0" fontId="11" fillId="0" borderId="1" xfId="8" applyFont="1" applyBorder="1" applyAlignment="1"/>
    <xf numFmtId="0" fontId="11" fillId="2" borderId="1" xfId="8" applyFont="1" applyFill="1" applyBorder="1" applyAlignment="1">
      <alignment horizontal="left"/>
    </xf>
    <xf numFmtId="0" fontId="11" fillId="2" borderId="1" xfId="12" applyFont="1" applyFill="1" applyBorder="1" applyAlignment="1"/>
    <xf numFmtId="0" fontId="11" fillId="0" borderId="1" xfId="8" applyFont="1" applyFill="1" applyBorder="1" applyAlignment="1">
      <alignment horizontal="left"/>
    </xf>
    <xf numFmtId="0" fontId="11" fillId="2" borderId="1" xfId="8" applyFont="1" applyFill="1" applyBorder="1" applyAlignment="1">
      <alignment horizontal="left" vertical="center"/>
    </xf>
    <xf numFmtId="44" fontId="11" fillId="11" borderId="1" xfId="3" applyFont="1" applyFill="1" applyBorder="1" applyAlignment="1">
      <alignment vertical="top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2" borderId="1" xfId="3" applyFont="1" applyFill="1" applyBorder="1" applyAlignment="1">
      <alignment horizontal="center"/>
    </xf>
    <xf numFmtId="44" fontId="0" fillId="2" borderId="1" xfId="3" applyFont="1" applyFill="1" applyBorder="1" applyAlignment="1"/>
    <xf numFmtId="0" fontId="4" fillId="2" borderId="1" xfId="10" applyFont="1" applyFill="1" applyBorder="1" applyAlignment="1">
      <alignment horizontal="left" vertical="top"/>
    </xf>
    <xf numFmtId="0" fontId="11" fillId="2" borderId="1" xfId="5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1" fillId="2" borderId="1" xfId="4" applyFont="1" applyFill="1" applyBorder="1" applyAlignment="1">
      <alignment horizontal="left" vertical="top"/>
    </xf>
    <xf numFmtId="0" fontId="4" fillId="2" borderId="1" xfId="4" applyFont="1" applyFill="1" applyBorder="1" applyAlignment="1">
      <alignment horizontal="left" vertical="top"/>
    </xf>
    <xf numFmtId="0" fontId="5" fillId="3" borderId="1" xfId="4" applyBorder="1" applyAlignment="1">
      <alignment horizontal="left" vertical="top"/>
    </xf>
    <xf numFmtId="0" fontId="0" fillId="2" borderId="1" xfId="10" applyFont="1" applyFill="1" applyBorder="1" applyAlignment="1">
      <alignment horizontal="left"/>
    </xf>
    <xf numFmtId="0" fontId="11" fillId="2" borderId="1" xfId="10" applyFont="1" applyFill="1" applyBorder="1" applyAlignment="1">
      <alignment horizontal="center" vertical="center"/>
    </xf>
    <xf numFmtId="0" fontId="11" fillId="2" borderId="1" xfId="1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7" borderId="1" xfId="0" applyFill="1" applyBorder="1" applyAlignment="1">
      <alignment vertical="center"/>
    </xf>
    <xf numFmtId="0" fontId="4" fillId="2" borderId="1" xfId="5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13" fillId="14" borderId="20" xfId="11" applyFont="1" applyFill="1" applyBorder="1" applyAlignment="1">
      <alignment horizontal="center" vertical="center"/>
    </xf>
    <xf numFmtId="0" fontId="13" fillId="14" borderId="13" xfId="11" applyFont="1" applyFill="1" applyBorder="1" applyAlignment="1">
      <alignment horizontal="center" vertical="center"/>
    </xf>
    <xf numFmtId="44" fontId="13" fillId="14" borderId="20" xfId="11" applyNumberFormat="1" applyFont="1" applyFill="1" applyBorder="1" applyAlignment="1">
      <alignment horizontal="center" vertical="center"/>
    </xf>
    <xf numFmtId="0" fontId="15" fillId="14" borderId="20" xfId="11" applyFont="1" applyFill="1" applyBorder="1" applyAlignment="1">
      <alignment horizontal="center" vertical="center"/>
    </xf>
    <xf numFmtId="0" fontId="13" fillId="14" borderId="20" xfId="8" applyFont="1" applyFill="1" applyBorder="1" applyAlignment="1">
      <alignment horizontal="center" vertical="center"/>
    </xf>
    <xf numFmtId="0" fontId="12" fillId="14" borderId="20" xfId="8" applyFont="1" applyFill="1" applyBorder="1" applyAlignment="1">
      <alignment horizontal="center" vertical="center"/>
    </xf>
    <xf numFmtId="44" fontId="19" fillId="14" borderId="20" xfId="11" applyNumberFormat="1" applyFont="1" applyFill="1" applyBorder="1" applyAlignment="1">
      <alignment horizontal="center" vertical="center"/>
    </xf>
    <xf numFmtId="0" fontId="19" fillId="14" borderId="20" xfId="11" applyFont="1" applyFill="1" applyBorder="1" applyAlignment="1">
      <alignment horizontal="center" vertical="center"/>
    </xf>
    <xf numFmtId="17" fontId="17" fillId="2" borderId="20" xfId="0" applyNumberFormat="1" applyFont="1" applyFill="1" applyBorder="1" applyAlignment="1">
      <alignment horizontal="center" vertical="center"/>
    </xf>
    <xf numFmtId="17" fontId="17" fillId="2" borderId="20" xfId="3" applyNumberFormat="1" applyFont="1" applyFill="1" applyBorder="1" applyAlignment="1">
      <alignment horizontal="center"/>
    </xf>
    <xf numFmtId="17" fontId="17" fillId="2" borderId="20" xfId="0" applyNumberFormat="1" applyFont="1" applyFill="1" applyBorder="1" applyAlignment="1">
      <alignment horizontal="center"/>
    </xf>
    <xf numFmtId="44" fontId="0" fillId="10" borderId="20" xfId="3" applyFont="1" applyFill="1" applyBorder="1" applyAlignment="1"/>
    <xf numFmtId="0" fontId="0" fillId="10" borderId="20" xfId="10" applyFont="1" applyFill="1" applyBorder="1" applyAlignment="1">
      <alignment horizontal="left"/>
    </xf>
    <xf numFmtId="0" fontId="12" fillId="14" borderId="20" xfId="11" applyFont="1" applyFill="1" applyBorder="1" applyAlignment="1">
      <alignment horizontal="center" vertical="center"/>
    </xf>
    <xf numFmtId="44" fontId="0" fillId="2" borderId="1" xfId="3" applyFont="1" applyFill="1" applyBorder="1" applyAlignment="1">
      <alignment horizontal="center"/>
    </xf>
    <xf numFmtId="0" fontId="7" fillId="2" borderId="1" xfId="6" applyFill="1" applyBorder="1" applyAlignment="1">
      <alignment horizontal="center"/>
    </xf>
    <xf numFmtId="0" fontId="11" fillId="2" borderId="1" xfId="6" applyFont="1" applyFill="1" applyBorder="1" applyAlignment="1">
      <alignment horizontal="left"/>
    </xf>
    <xf numFmtId="0" fontId="0" fillId="0" borderId="0" xfId="0"/>
    <xf numFmtId="0" fontId="0" fillId="0" borderId="1" xfId="0" applyBorder="1" applyAlignment="1">
      <alignment horizontal="center" vertical="center"/>
    </xf>
    <xf numFmtId="0" fontId="4" fillId="2" borderId="1" xfId="10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5" fillId="3" borderId="1" xfId="4" applyBorder="1" applyAlignment="1">
      <alignment horizontal="left"/>
    </xf>
    <xf numFmtId="0" fontId="0" fillId="2" borderId="1" xfId="4" applyFont="1" applyFill="1" applyBorder="1" applyAlignment="1">
      <alignment horizontal="left"/>
    </xf>
    <xf numFmtId="44" fontId="0" fillId="15" borderId="1" xfId="3" applyFont="1" applyFill="1" applyBorder="1" applyAlignment="1">
      <alignment horizontal="center"/>
    </xf>
    <xf numFmtId="44" fontId="0" fillId="15" borderId="1" xfId="3" applyFont="1" applyFill="1" applyBorder="1"/>
    <xf numFmtId="44" fontId="0" fillId="15" borderId="1" xfId="3" applyFont="1" applyFill="1" applyBorder="1" applyAlignment="1"/>
    <xf numFmtId="0" fontId="4" fillId="2" borderId="1" xfId="4" applyFont="1" applyFill="1" applyBorder="1" applyAlignment="1">
      <alignment horizontal="center"/>
    </xf>
    <xf numFmtId="0" fontId="4" fillId="2" borderId="1" xfId="4" applyFont="1" applyFill="1" applyBorder="1"/>
    <xf numFmtId="17" fontId="17" fillId="15" borderId="20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/>
    <xf numFmtId="0" fontId="9" fillId="2" borderId="1" xfId="8" applyFont="1" applyFill="1" applyBorder="1" applyAlignment="1"/>
    <xf numFmtId="0" fontId="9" fillId="0" borderId="11" xfId="8" applyFont="1" applyBorder="1" applyAlignment="1">
      <alignment horizontal="left"/>
    </xf>
    <xf numFmtId="44" fontId="11" fillId="11" borderId="11" xfId="3" applyFont="1" applyFill="1" applyBorder="1" applyAlignment="1">
      <alignment horizontal="left"/>
    </xf>
    <xf numFmtId="0" fontId="11" fillId="0" borderId="11" xfId="8" applyFont="1" applyBorder="1" applyAlignment="1">
      <alignment horizontal="left"/>
    </xf>
    <xf numFmtId="0" fontId="9" fillId="0" borderId="24" xfId="8" applyFont="1" applyBorder="1" applyAlignment="1">
      <alignment horizontal="left"/>
    </xf>
    <xf numFmtId="0" fontId="9" fillId="0" borderId="9" xfId="8" applyFont="1" applyBorder="1" applyAlignment="1">
      <alignment horizontal="left"/>
    </xf>
    <xf numFmtId="0" fontId="11" fillId="0" borderId="9" xfId="8" applyFont="1" applyBorder="1" applyAlignment="1">
      <alignment horizontal="left"/>
    </xf>
    <xf numFmtId="0" fontId="9" fillId="0" borderId="21" xfId="8" applyFont="1" applyBorder="1" applyAlignment="1">
      <alignment horizontal="left"/>
    </xf>
    <xf numFmtId="0" fontId="15" fillId="2" borderId="11" xfId="10" applyFont="1" applyFill="1" applyBorder="1" applyAlignment="1">
      <alignment horizontal="left"/>
    </xf>
    <xf numFmtId="0" fontId="9" fillId="2" borderId="11" xfId="8" applyFont="1" applyFill="1" applyBorder="1" applyAlignment="1">
      <alignment horizontal="left"/>
    </xf>
    <xf numFmtId="0" fontId="18" fillId="2" borderId="11" xfId="8" applyFont="1" applyFill="1" applyBorder="1" applyAlignment="1">
      <alignment horizontal="left"/>
    </xf>
    <xf numFmtId="0" fontId="9" fillId="2" borderId="21" xfId="8" applyFont="1" applyFill="1" applyBorder="1" applyAlignment="1"/>
    <xf numFmtId="0" fontId="9" fillId="2" borderId="9" xfId="8" applyFont="1" applyFill="1" applyBorder="1" applyAlignment="1"/>
    <xf numFmtId="0" fontId="11" fillId="2" borderId="9" xfId="8" applyFont="1" applyFill="1" applyBorder="1" applyAlignment="1">
      <alignment horizontal="left"/>
    </xf>
    <xf numFmtId="0" fontId="9" fillId="0" borderId="11" xfId="8" applyFont="1" applyBorder="1" applyAlignment="1"/>
    <xf numFmtId="44" fontId="11" fillId="11" borderId="11" xfId="3" applyFont="1" applyFill="1" applyBorder="1" applyAlignment="1"/>
    <xf numFmtId="0" fontId="9" fillId="0" borderId="1" xfId="8" applyFont="1" applyBorder="1" applyAlignment="1">
      <alignment horizontal="left"/>
    </xf>
    <xf numFmtId="0" fontId="9" fillId="0" borderId="1" xfId="8" applyFont="1" applyBorder="1" applyAlignment="1">
      <alignment vertical="top"/>
    </xf>
    <xf numFmtId="0" fontId="9" fillId="0" borderId="1" xfId="8" applyFont="1" applyBorder="1" applyAlignment="1">
      <alignment horizontal="center"/>
    </xf>
    <xf numFmtId="0" fontId="9" fillId="0" borderId="2" xfId="8" applyFont="1" applyBorder="1" applyAlignment="1">
      <alignment horizontal="left"/>
    </xf>
    <xf numFmtId="44" fontId="0" fillId="2" borderId="9" xfId="3" applyFont="1" applyFill="1" applyBorder="1" applyAlignment="1"/>
    <xf numFmtId="44" fontId="11" fillId="2" borderId="9" xfId="3" applyFont="1" applyFill="1" applyBorder="1" applyAlignment="1"/>
    <xf numFmtId="44" fontId="11" fillId="11" borderId="9" xfId="3" applyFont="1" applyFill="1" applyBorder="1" applyAlignment="1"/>
    <xf numFmtId="0" fontId="9" fillId="0" borderId="10" xfId="8" applyFont="1" applyBorder="1" applyAlignment="1">
      <alignment horizontal="left"/>
    </xf>
    <xf numFmtId="0" fontId="9" fillId="0" borderId="30" xfId="8" applyFont="1" applyBorder="1" applyAlignment="1">
      <alignment horizontal="left"/>
    </xf>
    <xf numFmtId="44" fontId="11" fillId="2" borderId="0" xfId="3" applyFont="1" applyFill="1" applyBorder="1" applyAlignment="1">
      <alignment horizontal="left"/>
    </xf>
    <xf numFmtId="0" fontId="11" fillId="0" borderId="0" xfId="8" applyFont="1" applyBorder="1" applyAlignment="1">
      <alignment horizontal="left"/>
    </xf>
    <xf numFmtId="0" fontId="9" fillId="0" borderId="0" xfId="8" applyFont="1" applyBorder="1" applyAlignment="1">
      <alignment horizontal="left"/>
    </xf>
    <xf numFmtId="44" fontId="9" fillId="0" borderId="11" xfId="8" applyNumberFormat="1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1" fillId="2" borderId="11" xfId="8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9" fillId="0" borderId="9" xfId="8" applyFont="1" applyBorder="1" applyAlignment="1">
      <alignment horizontal="left" vertical="top"/>
    </xf>
    <xf numFmtId="44" fontId="11" fillId="11" borderId="9" xfId="3" applyFont="1" applyFill="1" applyBorder="1" applyAlignment="1">
      <alignment horizontal="left"/>
    </xf>
    <xf numFmtId="0" fontId="9" fillId="0" borderId="1" xfId="8" applyFont="1" applyBorder="1" applyAlignment="1"/>
    <xf numFmtId="0" fontId="9" fillId="0" borderId="2" xfId="8" applyFont="1" applyBorder="1" applyAlignment="1"/>
    <xf numFmtId="0" fontId="15" fillId="0" borderId="0" xfId="0" applyFont="1" applyBorder="1" applyAlignment="1">
      <alignment horizontal="left"/>
    </xf>
    <xf numFmtId="0" fontId="9" fillId="0" borderId="30" xfId="8" applyFont="1" applyBorder="1" applyAlignment="1"/>
    <xf numFmtId="44" fontId="11" fillId="11" borderId="10" xfId="3" applyFont="1" applyFill="1" applyBorder="1" applyAlignment="1"/>
    <xf numFmtId="0" fontId="9" fillId="0" borderId="10" xfId="8" applyFont="1" applyBorder="1" applyAlignment="1"/>
    <xf numFmtId="0" fontId="11" fillId="0" borderId="10" xfId="8" applyFont="1" applyBorder="1" applyAlignment="1"/>
    <xf numFmtId="0" fontId="15" fillId="0" borderId="10" xfId="0" applyFont="1" applyBorder="1" applyAlignment="1">
      <alignment horizontal="left"/>
    </xf>
    <xf numFmtId="0" fontId="23" fillId="0" borderId="10" xfId="8" applyFont="1" applyBorder="1" applyAlignment="1"/>
    <xf numFmtId="0" fontId="18" fillId="0" borderId="10" xfId="8" applyFont="1" applyBorder="1" applyAlignment="1"/>
    <xf numFmtId="44" fontId="15" fillId="0" borderId="10" xfId="3" applyFont="1" applyBorder="1" applyAlignment="1">
      <alignment horizontal="left"/>
    </xf>
    <xf numFmtId="0" fontId="11" fillId="0" borderId="30" xfId="8" applyFont="1" applyBorder="1" applyAlignment="1">
      <alignment horizontal="left"/>
    </xf>
    <xf numFmtId="0" fontId="9" fillId="2" borderId="11" xfId="8" applyFont="1" applyFill="1" applyBorder="1" applyAlignment="1"/>
    <xf numFmtId="0" fontId="11" fillId="2" borderId="11" xfId="12" applyFont="1" applyFill="1" applyBorder="1" applyAlignment="1"/>
    <xf numFmtId="0" fontId="0" fillId="2" borderId="11" xfId="12" applyFont="1" applyFill="1" applyBorder="1" applyAlignment="1"/>
    <xf numFmtId="0" fontId="9" fillId="2" borderId="10" xfId="8" applyFont="1" applyFill="1" applyBorder="1" applyAlignment="1">
      <alignment horizontal="left"/>
    </xf>
    <xf numFmtId="0" fontId="9" fillId="2" borderId="10" xfId="8" applyFont="1" applyFill="1" applyBorder="1" applyAlignment="1"/>
    <xf numFmtId="0" fontId="11" fillId="2" borderId="10" xfId="8" applyFont="1" applyFill="1" applyBorder="1" applyAlignment="1"/>
    <xf numFmtId="0" fontId="11" fillId="0" borderId="10" xfId="8" applyFont="1" applyBorder="1" applyAlignment="1">
      <alignment horizontal="center"/>
    </xf>
    <xf numFmtId="0" fontId="9" fillId="0" borderId="10" xfId="8" applyFont="1" applyBorder="1" applyAlignment="1">
      <alignment horizontal="center"/>
    </xf>
    <xf numFmtId="0" fontId="9" fillId="0" borderId="34" xfId="8" applyFont="1" applyBorder="1" applyAlignment="1"/>
    <xf numFmtId="0" fontId="11" fillId="0" borderId="34" xfId="8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8" fillId="2" borderId="9" xfId="8" applyFont="1" applyFill="1" applyBorder="1" applyAlignment="1">
      <alignment horizontal="left"/>
    </xf>
    <xf numFmtId="0" fontId="11" fillId="0" borderId="11" xfId="8" applyFont="1" applyBorder="1" applyAlignment="1">
      <alignment horizontal="left" vertical="center"/>
    </xf>
    <xf numFmtId="0" fontId="9" fillId="0" borderId="21" xfId="8" applyFont="1" applyBorder="1" applyAlignment="1"/>
    <xf numFmtId="0" fontId="9" fillId="0" borderId="22" xfId="8" applyFont="1" applyBorder="1" applyAlignment="1"/>
    <xf numFmtId="0" fontId="9" fillId="0" borderId="9" xfId="8" applyFont="1" applyBorder="1" applyAlignment="1"/>
    <xf numFmtId="0" fontId="9" fillId="0" borderId="10" xfId="8" applyFont="1" applyBorder="1" applyAlignment="1">
      <alignment horizontal="left" vertical="top"/>
    </xf>
    <xf numFmtId="0" fontId="18" fillId="0" borderId="10" xfId="8" applyFont="1" applyBorder="1" applyAlignment="1">
      <alignment horizontal="left"/>
    </xf>
    <xf numFmtId="0" fontId="9" fillId="2" borderId="9" xfId="8" applyFont="1" applyFill="1" applyBorder="1" applyAlignment="1">
      <alignment horizontal="left"/>
    </xf>
    <xf numFmtId="0" fontId="0" fillId="2" borderId="11" xfId="0" applyFont="1" applyFill="1" applyBorder="1"/>
    <xf numFmtId="0" fontId="11" fillId="2" borderId="11" xfId="8" applyFont="1" applyFill="1" applyBorder="1" applyAlignment="1">
      <alignment horizontal="left" vertical="center"/>
    </xf>
    <xf numFmtId="0" fontId="9" fillId="2" borderId="11" xfId="8" applyFont="1" applyFill="1" applyBorder="1" applyAlignment="1">
      <alignment horizontal="left" vertical="center"/>
    </xf>
    <xf numFmtId="0" fontId="9" fillId="0" borderId="10" xfId="8" applyFont="1" applyBorder="1" applyAlignment="1">
      <alignment vertical="center"/>
    </xf>
    <xf numFmtId="0" fontId="9" fillId="0" borderId="11" xfId="8" applyFont="1" applyBorder="1" applyAlignment="1">
      <alignment vertical="center"/>
    </xf>
    <xf numFmtId="0" fontId="9" fillId="0" borderId="24" xfId="8" applyFont="1" applyBorder="1" applyAlignment="1">
      <alignment horizontal="left" vertical="center"/>
    </xf>
    <xf numFmtId="0" fontId="9" fillId="0" borderId="5" xfId="8" applyFont="1" applyBorder="1" applyAlignment="1"/>
    <xf numFmtId="0" fontId="15" fillId="2" borderId="10" xfId="0" applyFont="1" applyFill="1" applyBorder="1" applyAlignment="1">
      <alignment horizontal="left"/>
    </xf>
    <xf numFmtId="0" fontId="11" fillId="0" borderId="10" xfId="8" applyFont="1" applyBorder="1" applyAlignment="1">
      <alignment horizontal="left"/>
    </xf>
    <xf numFmtId="44" fontId="11" fillId="11" borderId="34" xfId="3" applyFont="1" applyFill="1" applyBorder="1" applyAlignment="1">
      <alignment horizontal="left"/>
    </xf>
    <xf numFmtId="0" fontId="9" fillId="2" borderId="0" xfId="8" applyFont="1" applyFill="1" applyBorder="1" applyAlignment="1">
      <alignment horizontal="left"/>
    </xf>
    <xf numFmtId="0" fontId="9" fillId="2" borderId="2" xfId="8" applyFont="1" applyFill="1" applyBorder="1" applyAlignment="1"/>
    <xf numFmtId="0" fontId="9" fillId="2" borderId="34" xfId="8" applyFont="1" applyFill="1" applyBorder="1" applyAlignment="1"/>
    <xf numFmtId="0" fontId="11" fillId="2" borderId="34" xfId="8" applyFont="1" applyFill="1" applyBorder="1" applyAlignment="1">
      <alignment horizontal="left"/>
    </xf>
    <xf numFmtId="0" fontId="1" fillId="2" borderId="0" xfId="8" applyFont="1" applyFill="1" applyBorder="1" applyAlignment="1"/>
    <xf numFmtId="0" fontId="9" fillId="0" borderId="11" xfId="8" applyFont="1" applyFill="1" applyBorder="1" applyAlignment="1">
      <alignment horizontal="left"/>
    </xf>
    <xf numFmtId="0" fontId="9" fillId="0" borderId="1" xfId="8" applyFont="1" applyFill="1" applyBorder="1" applyAlignment="1">
      <alignment horizontal="left"/>
    </xf>
    <xf numFmtId="0" fontId="0" fillId="2" borderId="1" xfId="12" applyFont="1" applyFill="1" applyBorder="1" applyAlignment="1"/>
    <xf numFmtId="0" fontId="9" fillId="0" borderId="1" xfId="8" applyFont="1" applyFill="1" applyBorder="1" applyAlignment="1"/>
    <xf numFmtId="0" fontId="9" fillId="0" borderId="2" xfId="8" applyFont="1" applyFill="1" applyBorder="1" applyAlignment="1">
      <alignment horizontal="left"/>
    </xf>
    <xf numFmtId="0" fontId="0" fillId="10" borderId="20" xfId="0" applyFont="1" applyFill="1" applyBorder="1" applyAlignment="1">
      <alignment horizontal="left"/>
    </xf>
    <xf numFmtId="0" fontId="1" fillId="2" borderId="10" xfId="12" applyFont="1" applyFill="1" applyBorder="1" applyAlignment="1">
      <alignment horizontal="left"/>
    </xf>
    <xf numFmtId="0" fontId="9" fillId="2" borderId="30" xfId="8" applyFont="1" applyFill="1" applyBorder="1" applyAlignment="1"/>
    <xf numFmtId="0" fontId="0" fillId="2" borderId="0" xfId="12" applyFont="1" applyFill="1" applyBorder="1" applyAlignment="1"/>
    <xf numFmtId="0" fontId="0" fillId="2" borderId="29" xfId="12" applyFont="1" applyFill="1" applyBorder="1" applyAlignment="1"/>
    <xf numFmtId="0" fontId="0" fillId="2" borderId="0" xfId="12" applyFont="1" applyFill="1" applyBorder="1" applyAlignment="1">
      <alignment horizontal="left"/>
    </xf>
    <xf numFmtId="0" fontId="11" fillId="0" borderId="9" xfId="8" applyFont="1" applyBorder="1" applyAlignment="1"/>
    <xf numFmtId="44" fontId="9" fillId="2" borderId="9" xfId="8" applyNumberFormat="1" applyFont="1" applyFill="1" applyBorder="1" applyAlignment="1"/>
    <xf numFmtId="44" fontId="0" fillId="2" borderId="21" xfId="3" applyFont="1" applyFill="1" applyBorder="1" applyAlignment="1"/>
    <xf numFmtId="0" fontId="9" fillId="2" borderId="11" xfId="8" applyFont="1" applyFill="1" applyBorder="1" applyAlignment="1">
      <alignment vertical="center"/>
    </xf>
    <xf numFmtId="0" fontId="9" fillId="2" borderId="1" xfId="8" applyFont="1" applyFill="1" applyBorder="1" applyAlignment="1">
      <alignment vertical="center"/>
    </xf>
    <xf numFmtId="0" fontId="9" fillId="2" borderId="1" xfId="8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44" fontId="0" fillId="2" borderId="47" xfId="3" applyFont="1" applyFill="1" applyBorder="1" applyAlignment="1"/>
    <xf numFmtId="0" fontId="0" fillId="10" borderId="51" xfId="0" applyFont="1" applyFill="1" applyBorder="1" applyAlignment="1">
      <alignment horizontal="left"/>
    </xf>
    <xf numFmtId="0" fontId="0" fillId="10" borderId="49" xfId="0" applyFont="1" applyFill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0" fillId="0" borderId="47" xfId="0" applyFont="1" applyBorder="1" applyAlignment="1">
      <alignment horizontal="left"/>
    </xf>
    <xf numFmtId="0" fontId="9" fillId="2" borderId="47" xfId="8" applyFont="1" applyFill="1" applyBorder="1" applyAlignment="1"/>
    <xf numFmtId="0" fontId="0" fillId="0" borderId="52" xfId="0" applyFont="1" applyBorder="1" applyAlignment="1">
      <alignment horizontal="left"/>
    </xf>
    <xf numFmtId="0" fontId="0" fillId="0" borderId="43" xfId="0" applyFont="1" applyBorder="1" applyAlignment="1">
      <alignment horizontal="left"/>
    </xf>
    <xf numFmtId="0" fontId="0" fillId="2" borderId="34" xfId="0" applyFont="1" applyFill="1" applyBorder="1"/>
    <xf numFmtId="0" fontId="0" fillId="10" borderId="20" xfId="0" applyFont="1" applyFill="1" applyBorder="1" applyAlignment="1">
      <alignment vertical="center"/>
    </xf>
    <xf numFmtId="0" fontId="0" fillId="2" borderId="52" xfId="12" applyFont="1" applyFill="1" applyBorder="1" applyAlignment="1"/>
    <xf numFmtId="0" fontId="0" fillId="2" borderId="42" xfId="12" applyFont="1" applyFill="1" applyBorder="1" applyAlignment="1"/>
    <xf numFmtId="0" fontId="0" fillId="2" borderId="43" xfId="12" applyFont="1" applyFill="1" applyBorder="1" applyAlignment="1"/>
    <xf numFmtId="0" fontId="0" fillId="0" borderId="42" xfId="0" applyFont="1" applyBorder="1" applyAlignment="1">
      <alignment horizontal="left"/>
    </xf>
    <xf numFmtId="0" fontId="0" fillId="2" borderId="43" xfId="0" applyFont="1" applyFill="1" applyBorder="1" applyAlignment="1">
      <alignment horizontal="left"/>
    </xf>
    <xf numFmtId="0" fontId="0" fillId="2" borderId="47" xfId="12" applyFont="1" applyFill="1" applyBorder="1" applyAlignment="1">
      <alignment horizontal="left"/>
    </xf>
    <xf numFmtId="0" fontId="9" fillId="0" borderId="43" xfId="8" applyFont="1" applyBorder="1" applyAlignment="1"/>
    <xf numFmtId="0" fontId="0" fillId="0" borderId="34" xfId="0" applyFont="1" applyBorder="1" applyAlignment="1">
      <alignment horizontal="left"/>
    </xf>
    <xf numFmtId="0" fontId="9" fillId="0" borderId="44" xfId="8" applyFont="1" applyBorder="1" applyAlignment="1"/>
    <xf numFmtId="0" fontId="15" fillId="2" borderId="55" xfId="0" applyFont="1" applyFill="1" applyBorder="1" applyAlignment="1">
      <alignment horizontal="left"/>
    </xf>
    <xf numFmtId="0" fontId="9" fillId="0" borderId="55" xfId="8" applyFont="1" applyBorder="1" applyAlignment="1">
      <alignment horizontal="left"/>
    </xf>
    <xf numFmtId="0" fontId="9" fillId="0" borderId="55" xfId="8" applyFont="1" applyBorder="1" applyAlignment="1"/>
    <xf numFmtId="0" fontId="11" fillId="0" borderId="55" xfId="8" applyFont="1" applyBorder="1" applyAlignment="1"/>
    <xf numFmtId="0" fontId="9" fillId="0" borderId="50" xfId="8" applyFont="1" applyBorder="1" applyAlignment="1"/>
    <xf numFmtId="0" fontId="4" fillId="2" borderId="42" xfId="10" applyFont="1" applyFill="1" applyBorder="1" applyAlignment="1">
      <alignment horizontal="left" vertical="top"/>
    </xf>
    <xf numFmtId="0" fontId="11" fillId="2" borderId="42" xfId="5" applyFont="1" applyFill="1" applyBorder="1" applyAlignment="1">
      <alignment horizontal="left" vertical="top"/>
    </xf>
    <xf numFmtId="0" fontId="0" fillId="0" borderId="42" xfId="0" applyBorder="1"/>
    <xf numFmtId="0" fontId="0" fillId="0" borderId="42" xfId="0" applyBorder="1" applyAlignment="1">
      <alignment horizontal="left" vertical="top"/>
    </xf>
    <xf numFmtId="0" fontId="11" fillId="2" borderId="42" xfId="4" applyFont="1" applyFill="1" applyBorder="1" applyAlignment="1">
      <alignment horizontal="left" vertical="top"/>
    </xf>
    <xf numFmtId="0" fontId="4" fillId="2" borderId="42" xfId="4" applyFont="1" applyFill="1" applyBorder="1" applyAlignment="1">
      <alignment horizontal="left" vertical="top"/>
    </xf>
    <xf numFmtId="0" fontId="5" fillId="3" borderId="42" xfId="4" applyBorder="1" applyAlignment="1">
      <alignment horizontal="left" vertical="top"/>
    </xf>
    <xf numFmtId="0" fontId="7" fillId="2" borderId="41" xfId="6" applyFill="1" applyBorder="1" applyAlignment="1">
      <alignment horizontal="center"/>
    </xf>
    <xf numFmtId="0" fontId="11" fillId="2" borderId="42" xfId="6" applyFont="1" applyFill="1" applyBorder="1" applyAlignment="1">
      <alignment horizontal="left"/>
    </xf>
    <xf numFmtId="0" fontId="11" fillId="2" borderId="41" xfId="10" applyFont="1" applyFill="1" applyBorder="1" applyAlignment="1">
      <alignment horizontal="center" vertical="center"/>
    </xf>
    <xf numFmtId="0" fontId="11" fillId="2" borderId="42" xfId="10" applyFont="1" applyFill="1" applyBorder="1" applyAlignment="1">
      <alignment horizontal="left" vertical="top"/>
    </xf>
    <xf numFmtId="0" fontId="0" fillId="2" borderId="42" xfId="0" applyFill="1" applyBorder="1" applyAlignment="1">
      <alignment horizontal="left" vertical="top"/>
    </xf>
    <xf numFmtId="0" fontId="0" fillId="7" borderId="41" xfId="0" applyFill="1" applyBorder="1" applyAlignment="1">
      <alignment vertical="center"/>
    </xf>
    <xf numFmtId="0" fontId="0" fillId="7" borderId="42" xfId="0" applyFill="1" applyBorder="1" applyAlignment="1">
      <alignment vertical="center"/>
    </xf>
    <xf numFmtId="0" fontId="4" fillId="2" borderId="42" xfId="5" applyFont="1" applyFill="1" applyBorder="1" applyAlignment="1">
      <alignment horizontal="left" vertical="top"/>
    </xf>
    <xf numFmtId="0" fontId="0" fillId="0" borderId="42" xfId="0" applyFill="1" applyBorder="1" applyAlignment="1">
      <alignment horizontal="left" vertical="top"/>
    </xf>
    <xf numFmtId="0" fontId="0" fillId="0" borderId="55" xfId="0" applyBorder="1" applyAlignment="1">
      <alignment horizontal="left"/>
    </xf>
    <xf numFmtId="0" fontId="0" fillId="0" borderId="58" xfId="0" applyBorder="1" applyAlignment="1">
      <alignment horizontal="left" vertical="top"/>
    </xf>
    <xf numFmtId="0" fontId="0" fillId="10" borderId="48" xfId="0" applyFont="1" applyFill="1" applyBorder="1" applyAlignment="1">
      <alignment horizontal="left"/>
    </xf>
    <xf numFmtId="0" fontId="0" fillId="14" borderId="20" xfId="0" applyFill="1" applyBorder="1" applyAlignment="1">
      <alignment horizontal="center" wrapText="1"/>
    </xf>
    <xf numFmtId="44" fontId="0" fillId="0" borderId="1" xfId="0" applyNumberFormat="1" applyBorder="1"/>
    <xf numFmtId="44" fontId="0" fillId="14" borderId="20" xfId="3" applyFont="1" applyFill="1" applyBorder="1" applyAlignment="1">
      <alignment horizontal="center" wrapText="1"/>
    </xf>
    <xf numFmtId="44" fontId="0" fillId="0" borderId="1" xfId="3" applyFont="1" applyBorder="1"/>
    <xf numFmtId="0" fontId="0" fillId="2" borderId="0" xfId="0" applyFont="1" applyFill="1"/>
    <xf numFmtId="0" fontId="0" fillId="2" borderId="1" xfId="10" applyFont="1" applyFill="1" applyBorder="1" applyAlignment="1">
      <alignment horizontal="center" vertical="center"/>
    </xf>
    <xf numFmtId="0" fontId="0" fillId="2" borderId="1" xfId="10" applyFont="1" applyFill="1" applyBorder="1" applyAlignment="1">
      <alignment horizontal="left" vertical="top"/>
    </xf>
    <xf numFmtId="0" fontId="0" fillId="2" borderId="1" xfId="5" applyFont="1" applyFill="1" applyBorder="1" applyAlignment="1">
      <alignment horizontal="left"/>
    </xf>
    <xf numFmtId="0" fontId="0" fillId="2" borderId="1" xfId="5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4" applyFont="1" applyFill="1" applyBorder="1" applyAlignment="1">
      <alignment horizontal="center"/>
    </xf>
    <xf numFmtId="0" fontId="0" fillId="2" borderId="1" xfId="4" applyFont="1" applyFill="1" applyBorder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top"/>
    </xf>
    <xf numFmtId="0" fontId="0" fillId="2" borderId="1" xfId="4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center"/>
    </xf>
    <xf numFmtId="0" fontId="0" fillId="2" borderId="1" xfId="4" applyFont="1" applyFill="1" applyBorder="1" applyAlignment="1">
      <alignment horizontal="center" vertical="center"/>
    </xf>
    <xf numFmtId="0" fontId="0" fillId="2" borderId="1" xfId="4" applyFont="1" applyFill="1" applyBorder="1" applyAlignment="1"/>
    <xf numFmtId="0" fontId="1" fillId="2" borderId="1" xfId="6" applyFont="1" applyFill="1" applyBorder="1" applyAlignment="1">
      <alignment horizontal="center"/>
    </xf>
    <xf numFmtId="0" fontId="0" fillId="2" borderId="1" xfId="6" applyFont="1" applyFill="1" applyBorder="1" applyAlignment="1">
      <alignment horizontal="left"/>
    </xf>
    <xf numFmtId="0" fontId="0" fillId="2" borderId="1" xfId="0" applyFont="1" applyFill="1" applyBorder="1" applyAlignment="1">
      <alignment vertical="center"/>
    </xf>
    <xf numFmtId="0" fontId="0" fillId="2" borderId="1" xfId="5" applyFont="1" applyFill="1" applyBorder="1" applyAlignment="1">
      <alignment horizontal="center" vertical="center"/>
    </xf>
    <xf numFmtId="0" fontId="12" fillId="14" borderId="13" xfId="11" applyFont="1" applyFill="1" applyBorder="1" applyAlignment="1">
      <alignment horizontal="center" vertical="center"/>
    </xf>
    <xf numFmtId="44" fontId="4" fillId="14" borderId="20" xfId="3" applyFont="1" applyFill="1" applyBorder="1" applyAlignment="1">
      <alignment horizontal="center" wrapText="1"/>
    </xf>
    <xf numFmtId="44" fontId="4" fillId="13" borderId="0" xfId="3" applyFont="1" applyFill="1"/>
    <xf numFmtId="44" fontId="4" fillId="13" borderId="1" xfId="3" applyFont="1" applyFill="1" applyBorder="1"/>
    <xf numFmtId="44" fontId="4" fillId="2" borderId="0" xfId="3" applyFont="1" applyFill="1"/>
    <xf numFmtId="0" fontId="0" fillId="0" borderId="0" xfId="0"/>
    <xf numFmtId="0" fontId="9" fillId="2" borderId="24" xfId="8" applyFont="1" applyFill="1" applyBorder="1" applyAlignment="1">
      <alignment horizontal="left"/>
    </xf>
    <xf numFmtId="0" fontId="9" fillId="2" borderId="2" xfId="8" applyFont="1" applyFill="1" applyBorder="1" applyAlignment="1">
      <alignment horizontal="left"/>
    </xf>
    <xf numFmtId="0" fontId="9" fillId="2" borderId="21" xfId="8" applyFont="1" applyFill="1" applyBorder="1" applyAlignment="1">
      <alignment horizontal="left"/>
    </xf>
    <xf numFmtId="0" fontId="4" fillId="0" borderId="1" xfId="4" applyFont="1" applyFill="1" applyBorder="1" applyAlignment="1">
      <alignment horizontal="left"/>
    </xf>
    <xf numFmtId="44" fontId="5" fillId="3" borderId="1" xfId="4" applyNumberFormat="1" applyBorder="1"/>
    <xf numFmtId="0" fontId="5" fillId="3" borderId="41" xfId="4" applyBorder="1" applyAlignment="1">
      <alignment horizontal="center" vertical="center"/>
    </xf>
    <xf numFmtId="0" fontId="9" fillId="0" borderId="9" xfId="8" applyFont="1" applyFill="1" applyBorder="1" applyAlignment="1">
      <alignment horizontal="left"/>
    </xf>
    <xf numFmtId="0" fontId="1" fillId="0" borderId="11" xfId="10" applyFont="1" applyFill="1" applyBorder="1" applyAlignment="1">
      <alignment horizontal="left"/>
    </xf>
    <xf numFmtId="44" fontId="0" fillId="0" borderId="1" xfId="3" applyFont="1" applyFill="1" applyBorder="1"/>
    <xf numFmtId="44" fontId="0" fillId="0" borderId="11" xfId="0" applyNumberFormat="1" applyFont="1" applyFill="1" applyBorder="1"/>
    <xf numFmtId="44" fontId="0" fillId="0" borderId="1" xfId="0" applyNumberFormat="1" applyFont="1" applyFill="1" applyBorder="1"/>
    <xf numFmtId="44" fontId="0" fillId="0" borderId="1" xfId="4" applyNumberFormat="1" applyFont="1" applyFill="1" applyBorder="1"/>
    <xf numFmtId="0" fontId="0" fillId="0" borderId="20" xfId="0" applyFill="1" applyBorder="1" applyAlignment="1">
      <alignment horizontal="center" vertical="center" wrapText="1"/>
    </xf>
    <xf numFmtId="0" fontId="4" fillId="0" borderId="42" xfId="4" applyFont="1" applyFill="1" applyBorder="1" applyAlignment="1">
      <alignment horizontal="left" vertical="top"/>
    </xf>
    <xf numFmtId="44" fontId="4" fillId="0" borderId="1" xfId="4" applyNumberFormat="1" applyFont="1" applyFill="1" applyBorder="1"/>
    <xf numFmtId="0" fontId="0" fillId="0" borderId="11" xfId="12" applyFont="1" applyFill="1" applyBorder="1" applyAlignment="1">
      <alignment horizontal="left"/>
    </xf>
    <xf numFmtId="44" fontId="0" fillId="0" borderId="11" xfId="12" applyNumberFormat="1" applyFont="1" applyFill="1" applyBorder="1" applyAlignment="1">
      <alignment horizontal="left"/>
    </xf>
    <xf numFmtId="0" fontId="0" fillId="0" borderId="24" xfId="12" applyFont="1" applyFill="1" applyBorder="1" applyAlignment="1">
      <alignment horizontal="left"/>
    </xf>
    <xf numFmtId="0" fontId="0" fillId="0" borderId="1" xfId="12" applyFont="1" applyFill="1" applyBorder="1" applyAlignment="1">
      <alignment horizontal="left"/>
    </xf>
    <xf numFmtId="0" fontId="0" fillId="0" borderId="2" xfId="12" applyFont="1" applyFill="1" applyBorder="1" applyAlignment="1">
      <alignment horizontal="left"/>
    </xf>
    <xf numFmtId="0" fontId="0" fillId="0" borderId="9" xfId="12" applyFont="1" applyFill="1" applyBorder="1" applyAlignment="1">
      <alignment horizontal="left"/>
    </xf>
    <xf numFmtId="0" fontId="0" fillId="0" borderId="21" xfId="12" applyFont="1" applyFill="1" applyBorder="1" applyAlignment="1">
      <alignment horizontal="left"/>
    </xf>
    <xf numFmtId="0" fontId="0" fillId="10" borderId="20" xfId="12" applyFont="1" applyFill="1" applyBorder="1" applyAlignment="1">
      <alignment horizontal="left"/>
    </xf>
    <xf numFmtId="0" fontId="0" fillId="10" borderId="48" xfId="12" applyFont="1" applyFill="1" applyBorder="1" applyAlignment="1">
      <alignment horizontal="left"/>
    </xf>
    <xf numFmtId="44" fontId="11" fillId="11" borderId="10" xfId="3" applyFont="1" applyFill="1" applyBorder="1" applyAlignment="1">
      <alignment horizontal="left"/>
    </xf>
    <xf numFmtId="0" fontId="0" fillId="0" borderId="0" xfId="0"/>
    <xf numFmtId="0" fontId="4" fillId="2" borderId="41" xfId="1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3" borderId="1" xfId="4" applyBorder="1" applyAlignment="1">
      <alignment horizontal="left"/>
    </xf>
    <xf numFmtId="0" fontId="0" fillId="2" borderId="41" xfId="0" applyFill="1" applyBorder="1" applyAlignment="1">
      <alignment horizontal="center" vertical="center"/>
    </xf>
    <xf numFmtId="0" fontId="4" fillId="2" borderId="41" xfId="4" applyFont="1" applyFill="1" applyBorder="1" applyAlignment="1">
      <alignment horizontal="center" vertical="center"/>
    </xf>
    <xf numFmtId="0" fontId="11" fillId="2" borderId="41" xfId="4" applyFont="1" applyFill="1" applyBorder="1" applyAlignment="1">
      <alignment horizontal="center" vertical="center"/>
    </xf>
    <xf numFmtId="2" fontId="0" fillId="0" borderId="42" xfId="0" applyNumberFormat="1" applyFont="1" applyFill="1" applyBorder="1"/>
    <xf numFmtId="0" fontId="11" fillId="2" borderId="41" xfId="5" applyFont="1" applyFill="1" applyBorder="1" applyAlignment="1">
      <alignment horizontal="center" vertical="center"/>
    </xf>
    <xf numFmtId="2" fontId="5" fillId="3" borderId="42" xfId="4" applyNumberFormat="1" applyBorder="1"/>
    <xf numFmtId="44" fontId="0" fillId="0" borderId="55" xfId="0" applyNumberFormat="1" applyFont="1" applyFill="1" applyBorder="1"/>
    <xf numFmtId="2" fontId="0" fillId="0" borderId="58" xfId="0" applyNumberFormat="1" applyFont="1" applyFill="1" applyBorder="1"/>
    <xf numFmtId="0" fontId="4" fillId="2" borderId="37" xfId="10" applyFont="1" applyFill="1" applyBorder="1" applyAlignment="1">
      <alignment horizontal="center" vertical="center"/>
    </xf>
    <xf numFmtId="0" fontId="4" fillId="2" borderId="11" xfId="10" applyFont="1" applyFill="1" applyBorder="1" applyAlignment="1">
      <alignment horizontal="left"/>
    </xf>
    <xf numFmtId="0" fontId="0" fillId="14" borderId="20" xfId="0" applyFill="1" applyBorder="1" applyAlignment="1">
      <alignment horizontal="center" vertical="center" wrapText="1"/>
    </xf>
    <xf numFmtId="0" fontId="4" fillId="2" borderId="52" xfId="10" applyFont="1" applyFill="1" applyBorder="1" applyAlignment="1">
      <alignment horizontal="left" vertical="top"/>
    </xf>
    <xf numFmtId="44" fontId="0" fillId="0" borderId="37" xfId="0" applyNumberFormat="1" applyFont="1" applyFill="1" applyBorder="1"/>
    <xf numFmtId="44" fontId="0" fillId="0" borderId="41" xfId="0" applyNumberFormat="1" applyFont="1" applyFill="1" applyBorder="1"/>
    <xf numFmtId="44" fontId="4" fillId="0" borderId="41" xfId="4" applyNumberFormat="1" applyFont="1" applyFill="1" applyBorder="1"/>
    <xf numFmtId="44" fontId="5" fillId="3" borderId="41" xfId="4" applyNumberFormat="1" applyBorder="1"/>
    <xf numFmtId="44" fontId="0" fillId="0" borderId="41" xfId="4" applyNumberFormat="1" applyFont="1" applyFill="1" applyBorder="1"/>
    <xf numFmtId="44" fontId="0" fillId="0" borderId="57" xfId="0" applyNumberFormat="1" applyFont="1" applyFill="1" applyBorder="1"/>
    <xf numFmtId="0" fontId="1" fillId="0" borderId="10" xfId="8" applyFont="1" applyFill="1" applyBorder="1" applyAlignment="1"/>
    <xf numFmtId="0" fontId="15" fillId="0" borderId="11" xfId="0" applyFont="1" applyFill="1" applyBorder="1" applyAlignment="1">
      <alignment horizontal="left"/>
    </xf>
    <xf numFmtId="0" fontId="15" fillId="0" borderId="9" xfId="0" applyFont="1" applyFill="1" applyBorder="1" applyAlignment="1">
      <alignment horizontal="left"/>
    </xf>
    <xf numFmtId="0" fontId="15" fillId="0" borderId="11" xfId="1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44" fontId="1" fillId="0" borderId="9" xfId="12" applyNumberFormat="1" applyFont="1" applyFill="1" applyBorder="1" applyAlignment="1">
      <alignment horizontal="left" vertical="center"/>
    </xf>
    <xf numFmtId="0" fontId="18" fillId="0" borderId="11" xfId="8" applyFont="1" applyFill="1" applyBorder="1" applyAlignment="1"/>
    <xf numFmtId="0" fontId="18" fillId="0" borderId="1" xfId="8" applyFont="1" applyFill="1" applyBorder="1" applyAlignment="1">
      <alignment vertical="top"/>
    </xf>
    <xf numFmtId="0" fontId="18" fillId="0" borderId="1" xfId="8" applyFont="1" applyFill="1" applyBorder="1" applyAlignment="1">
      <alignment horizontal="left"/>
    </xf>
    <xf numFmtId="0" fontId="18" fillId="0" borderId="11" xfId="8" applyFont="1" applyFill="1" applyBorder="1" applyAlignment="1">
      <alignment horizontal="left"/>
    </xf>
    <xf numFmtId="0" fontId="15" fillId="0" borderId="10" xfId="0" applyFont="1" applyFill="1" applyBorder="1" applyAlignment="1">
      <alignment horizontal="left"/>
    </xf>
    <xf numFmtId="0" fontId="15" fillId="0" borderId="24" xfId="0" applyFont="1" applyFill="1" applyBorder="1" applyAlignment="1">
      <alignment horizontal="left"/>
    </xf>
    <xf numFmtId="0" fontId="1" fillId="0" borderId="11" xfId="12" applyFont="1" applyFill="1" applyBorder="1" applyAlignment="1">
      <alignment horizontal="left"/>
    </xf>
    <xf numFmtId="0" fontId="15" fillId="0" borderId="10" xfId="10" applyFont="1" applyFill="1" applyBorder="1" applyAlignment="1">
      <alignment horizontal="left"/>
    </xf>
    <xf numFmtId="0" fontId="1" fillId="0" borderId="11" xfId="0" applyFont="1" applyFill="1" applyBorder="1" applyAlignment="1">
      <alignment wrapText="1"/>
    </xf>
    <xf numFmtId="0" fontId="15" fillId="0" borderId="10" xfId="0" applyFont="1" applyFill="1" applyBorder="1" applyAlignment="1">
      <alignment vertical="center"/>
    </xf>
    <xf numFmtId="0" fontId="15" fillId="0" borderId="1" xfId="10" applyFont="1" applyFill="1" applyBorder="1" applyAlignment="1">
      <alignment horizontal="left"/>
    </xf>
    <xf numFmtId="0" fontId="15" fillId="0" borderId="9" xfId="10" applyFont="1" applyFill="1" applyBorder="1" applyAlignment="1">
      <alignment horizontal="left"/>
    </xf>
    <xf numFmtId="0" fontId="1" fillId="0" borderId="11" xfId="8" applyFont="1" applyFill="1" applyBorder="1" applyAlignment="1"/>
    <xf numFmtId="0" fontId="1" fillId="0" borderId="1" xfId="8" applyFont="1" applyFill="1" applyBorder="1" applyAlignment="1"/>
    <xf numFmtId="0" fontId="1" fillId="0" borderId="0" xfId="8" applyFont="1" applyFill="1" applyBorder="1" applyAlignment="1"/>
    <xf numFmtId="0" fontId="18" fillId="0" borderId="34" xfId="8" applyFont="1" applyFill="1" applyBorder="1" applyAlignment="1">
      <alignment horizontal="left"/>
    </xf>
    <xf numFmtId="0" fontId="1" fillId="0" borderId="1" xfId="12" applyFont="1" applyFill="1" applyBorder="1" applyAlignment="1">
      <alignment horizontal="left"/>
    </xf>
    <xf numFmtId="0" fontId="18" fillId="0" borderId="10" xfId="8" applyFont="1" applyFill="1" applyBorder="1" applyAlignment="1"/>
    <xf numFmtId="0" fontId="15" fillId="0" borderId="55" xfId="0" applyFont="1" applyFill="1" applyBorder="1" applyAlignment="1">
      <alignment horizontal="left"/>
    </xf>
    <xf numFmtId="0" fontId="1" fillId="0" borderId="11" xfId="4" applyFont="1" applyFill="1" applyBorder="1" applyAlignment="1">
      <alignment horizontal="left"/>
    </xf>
    <xf numFmtId="0" fontId="1" fillId="0" borderId="1" xfId="4" applyFont="1" applyFill="1" applyBorder="1" applyAlignment="1">
      <alignment horizontal="left"/>
    </xf>
    <xf numFmtId="0" fontId="11" fillId="2" borderId="60" xfId="4" applyFont="1" applyFill="1" applyBorder="1" applyAlignment="1">
      <alignment horizontal="left" vertical="top"/>
    </xf>
    <xf numFmtId="0" fontId="0" fillId="0" borderId="3" xfId="0" applyBorder="1"/>
    <xf numFmtId="0" fontId="1" fillId="0" borderId="11" xfId="0" applyFont="1" applyBorder="1"/>
    <xf numFmtId="0" fontId="1" fillId="0" borderId="1" xfId="0" applyFont="1" applyBorder="1"/>
    <xf numFmtId="44" fontId="0" fillId="2" borderId="41" xfId="0" applyNumberFormat="1" applyFont="1" applyFill="1" applyBorder="1" applyAlignment="1">
      <alignment horizontal="center"/>
    </xf>
    <xf numFmtId="44" fontId="0" fillId="2" borderId="1" xfId="0" applyNumberFormat="1" applyFont="1" applyFill="1" applyBorder="1" applyAlignment="1">
      <alignment horizontal="center"/>
    </xf>
    <xf numFmtId="0" fontId="4" fillId="0" borderId="11" xfId="4" applyFont="1" applyFill="1" applyBorder="1" applyAlignment="1">
      <alignment horizontal="left"/>
    </xf>
    <xf numFmtId="0" fontId="4" fillId="0" borderId="52" xfId="4" applyFont="1" applyFill="1" applyBorder="1" applyAlignment="1">
      <alignment horizontal="left"/>
    </xf>
    <xf numFmtId="44" fontId="0" fillId="7" borderId="41" xfId="0" applyNumberFormat="1" applyFont="1" applyFill="1" applyBorder="1" applyAlignment="1"/>
    <xf numFmtId="44" fontId="0" fillId="7" borderId="1" xfId="0" applyNumberFormat="1" applyFont="1" applyFill="1" applyBorder="1" applyAlignment="1"/>
    <xf numFmtId="44" fontId="0" fillId="7" borderId="42" xfId="0" applyNumberFormat="1" applyFont="1" applyFill="1" applyBorder="1" applyAlignment="1"/>
    <xf numFmtId="0" fontId="0" fillId="0" borderId="0" xfId="0"/>
    <xf numFmtId="0" fontId="0" fillId="0" borderId="0" xfId="0"/>
    <xf numFmtId="0" fontId="1" fillId="0" borderId="10" xfId="12" applyFont="1" applyFill="1" applyBorder="1" applyAlignment="1">
      <alignment horizontal="left"/>
    </xf>
    <xf numFmtId="0" fontId="1" fillId="0" borderId="30" xfId="12" applyFont="1" applyFill="1" applyBorder="1" applyAlignment="1">
      <alignment horizontal="left"/>
    </xf>
    <xf numFmtId="0" fontId="1" fillId="0" borderId="1" xfId="12" applyFont="1" applyFill="1" applyBorder="1" applyAlignment="1"/>
    <xf numFmtId="0" fontId="1" fillId="2" borderId="9" xfId="12" applyFont="1" applyFill="1" applyBorder="1" applyAlignment="1">
      <alignment horizontal="left"/>
    </xf>
    <xf numFmtId="0" fontId="15" fillId="2" borderId="9" xfId="10" applyFont="1" applyFill="1" applyBorder="1" applyAlignment="1">
      <alignment horizontal="left"/>
    </xf>
    <xf numFmtId="0" fontId="11" fillId="2" borderId="9" xfId="8" applyFont="1" applyFill="1" applyBorder="1" applyAlignment="1"/>
    <xf numFmtId="0" fontId="9" fillId="2" borderId="43" xfId="8" applyFont="1" applyFill="1" applyBorder="1" applyAlignment="1"/>
    <xf numFmtId="0" fontId="0" fillId="17" borderId="20" xfId="0" applyFill="1" applyBorder="1" applyAlignment="1">
      <alignment horizontal="center" vertical="center" wrapText="1"/>
    </xf>
    <xf numFmtId="0" fontId="0" fillId="0" borderId="0" xfId="0" applyFill="1" applyBorder="1"/>
    <xf numFmtId="0" fontId="0" fillId="2" borderId="52" xfId="10" applyFont="1" applyFill="1" applyBorder="1" applyAlignment="1">
      <alignment horizontal="center"/>
    </xf>
    <xf numFmtId="0" fontId="0" fillId="2" borderId="47" xfId="10" applyFont="1" applyFill="1" applyBorder="1" applyAlignment="1">
      <alignment horizontal="center"/>
    </xf>
    <xf numFmtId="2" fontId="11" fillId="0" borderId="42" xfId="0" applyNumberFormat="1" applyFont="1" applyFill="1" applyBorder="1"/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44" fontId="11" fillId="11" borderId="12" xfId="3" applyFont="1" applyFill="1" applyBorder="1" applyAlignment="1">
      <alignment horizontal="right" vertical="center"/>
    </xf>
    <xf numFmtId="44" fontId="11" fillId="11" borderId="29" xfId="3" applyFont="1" applyFill="1" applyBorder="1" applyAlignment="1">
      <alignment horizontal="right" vertical="center"/>
    </xf>
    <xf numFmtId="44" fontId="0" fillId="13" borderId="49" xfId="0" applyNumberFormat="1" applyFont="1" applyFill="1" applyBorder="1" applyAlignment="1">
      <alignment horizontal="right" vertical="center"/>
    </xf>
    <xf numFmtId="44" fontId="0" fillId="11" borderId="36" xfId="3" applyFont="1" applyFill="1" applyBorder="1" applyAlignment="1">
      <alignment horizontal="right" vertical="center"/>
    </xf>
    <xf numFmtId="44" fontId="0" fillId="11" borderId="10" xfId="3" applyFont="1" applyFill="1" applyBorder="1" applyAlignment="1">
      <alignment horizontal="right" vertical="center"/>
    </xf>
    <xf numFmtId="0" fontId="9" fillId="2" borderId="11" xfId="8" applyFont="1" applyFill="1" applyBorder="1" applyAlignment="1">
      <alignment horizontal="right" vertical="center"/>
    </xf>
    <xf numFmtId="0" fontId="9" fillId="2" borderId="1" xfId="8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44" fontId="0" fillId="13" borderId="20" xfId="10" applyNumberFormat="1" applyFont="1" applyFill="1" applyBorder="1" applyAlignment="1">
      <alignment horizontal="right" vertical="center"/>
    </xf>
    <xf numFmtId="44" fontId="0" fillId="13" borderId="20" xfId="3" applyFont="1" applyFill="1" applyBorder="1" applyAlignment="1">
      <alignment horizontal="right" vertical="center"/>
    </xf>
    <xf numFmtId="44" fontId="0" fillId="11" borderId="12" xfId="10" applyNumberFormat="1" applyFont="1" applyFill="1" applyBorder="1" applyAlignment="1">
      <alignment horizontal="right" vertical="center"/>
    </xf>
    <xf numFmtId="44" fontId="0" fillId="11" borderId="3" xfId="3" applyFont="1" applyFill="1" applyBorder="1" applyAlignment="1">
      <alignment horizontal="right" vertical="center"/>
    </xf>
    <xf numFmtId="44" fontId="0" fillId="11" borderId="12" xfId="3" applyFont="1" applyFill="1" applyBorder="1" applyAlignment="1">
      <alignment horizontal="right" vertical="center"/>
    </xf>
    <xf numFmtId="44" fontId="0" fillId="11" borderId="23" xfId="3" applyFont="1" applyFill="1" applyBorder="1" applyAlignment="1">
      <alignment horizontal="right" vertical="center"/>
    </xf>
    <xf numFmtId="44" fontId="0" fillId="13" borderId="20" xfId="0" applyNumberFormat="1" applyFont="1" applyFill="1" applyBorder="1" applyAlignment="1">
      <alignment horizontal="right" vertical="center"/>
    </xf>
    <xf numFmtId="44" fontId="0" fillId="13" borderId="20" xfId="12" applyNumberFormat="1" applyFont="1" applyFill="1" applyBorder="1" applyAlignment="1">
      <alignment horizontal="right" vertical="center"/>
    </xf>
    <xf numFmtId="44" fontId="0" fillId="11" borderId="23" xfId="12" applyNumberFormat="1" applyFont="1" applyFill="1" applyBorder="1" applyAlignment="1">
      <alignment horizontal="right" vertical="center"/>
    </xf>
    <xf numFmtId="44" fontId="0" fillId="13" borderId="48" xfId="0" applyNumberFormat="1" applyFont="1" applyFill="1" applyBorder="1" applyAlignment="1">
      <alignment horizontal="right" vertical="center"/>
    </xf>
    <xf numFmtId="44" fontId="0" fillId="11" borderId="29" xfId="3" applyFont="1" applyFill="1" applyBorder="1" applyAlignment="1">
      <alignment horizontal="right" vertical="center"/>
    </xf>
    <xf numFmtId="44" fontId="0" fillId="11" borderId="0" xfId="3" applyFont="1" applyFill="1" applyBorder="1" applyAlignment="1">
      <alignment horizontal="right" vertical="center"/>
    </xf>
    <xf numFmtId="44" fontId="0" fillId="11" borderId="29" xfId="10" applyNumberFormat="1" applyFont="1" applyFill="1" applyBorder="1" applyAlignment="1">
      <alignment horizontal="right" vertical="center"/>
    </xf>
    <xf numFmtId="44" fontId="4" fillId="13" borderId="20" xfId="3" applyFont="1" applyFill="1" applyBorder="1" applyAlignment="1">
      <alignment horizontal="right" vertical="center"/>
    </xf>
    <xf numFmtId="44" fontId="4" fillId="11" borderId="12" xfId="3" applyFont="1" applyFill="1" applyBorder="1" applyAlignment="1">
      <alignment horizontal="right" vertical="center"/>
    </xf>
    <xf numFmtId="44" fontId="4" fillId="11" borderId="3" xfId="3" applyFont="1" applyFill="1" applyBorder="1" applyAlignment="1">
      <alignment horizontal="right" vertical="center"/>
    </xf>
    <xf numFmtId="44" fontId="0" fillId="11" borderId="29" xfId="3" applyNumberFormat="1" applyFont="1" applyFill="1" applyBorder="1" applyAlignment="1">
      <alignment horizontal="right" vertical="center"/>
    </xf>
    <xf numFmtId="44" fontId="0" fillId="13" borderId="49" xfId="12" applyNumberFormat="1" applyFont="1" applyFill="1" applyBorder="1" applyAlignment="1">
      <alignment horizontal="right" vertical="center"/>
    </xf>
    <xf numFmtId="44" fontId="0" fillId="11" borderId="29" xfId="12" applyNumberFormat="1" applyFont="1" applyFill="1" applyBorder="1" applyAlignment="1">
      <alignment horizontal="right" vertical="center"/>
    </xf>
    <xf numFmtId="44" fontId="0" fillId="11" borderId="3" xfId="12" applyNumberFormat="1" applyFont="1" applyFill="1" applyBorder="1" applyAlignment="1">
      <alignment horizontal="right" vertical="center"/>
    </xf>
    <xf numFmtId="44" fontId="0" fillId="13" borderId="51" xfId="0" applyNumberFormat="1" applyFont="1" applyFill="1" applyBorder="1" applyAlignment="1">
      <alignment horizontal="right" vertical="center"/>
    </xf>
    <xf numFmtId="44" fontId="0" fillId="13" borderId="48" xfId="10" applyNumberFormat="1" applyFont="1" applyFill="1" applyBorder="1" applyAlignment="1">
      <alignment horizontal="right" vertical="center"/>
    </xf>
    <xf numFmtId="44" fontId="0" fillId="11" borderId="3" xfId="10" applyNumberFormat="1" applyFont="1" applyFill="1" applyBorder="1" applyAlignment="1">
      <alignment horizontal="right" vertical="center"/>
    </xf>
    <xf numFmtId="44" fontId="0" fillId="13" borderId="51" xfId="10" applyNumberFormat="1" applyFont="1" applyFill="1" applyBorder="1" applyAlignment="1">
      <alignment horizontal="right" vertical="center"/>
    </xf>
    <xf numFmtId="44" fontId="0" fillId="11" borderId="23" xfId="10" applyNumberFormat="1" applyFont="1" applyFill="1" applyBorder="1" applyAlignment="1">
      <alignment horizontal="right" vertical="center"/>
    </xf>
    <xf numFmtId="44" fontId="0" fillId="13" borderId="49" xfId="10" applyNumberFormat="1" applyFont="1" applyFill="1" applyBorder="1" applyAlignment="1">
      <alignment horizontal="right" vertical="center"/>
    </xf>
    <xf numFmtId="44" fontId="0" fillId="11" borderId="54" xfId="3" applyFont="1" applyFill="1" applyBorder="1" applyAlignment="1">
      <alignment horizontal="right" vertical="center"/>
    </xf>
    <xf numFmtId="44" fontId="11" fillId="11" borderId="10" xfId="3" applyFont="1" applyFill="1" applyBorder="1" applyAlignment="1">
      <alignment horizontal="right" vertical="center"/>
    </xf>
    <xf numFmtId="44" fontId="0" fillId="0" borderId="9" xfId="10" applyNumberFormat="1" applyFont="1" applyFill="1" applyBorder="1" applyAlignment="1">
      <alignment horizontal="right" vertical="center"/>
    </xf>
    <xf numFmtId="44" fontId="0" fillId="11" borderId="11" xfId="3" applyFont="1" applyFill="1" applyBorder="1" applyAlignment="1">
      <alignment horizontal="right" vertical="center"/>
    </xf>
    <xf numFmtId="44" fontId="0" fillId="11" borderId="9" xfId="3" applyFont="1" applyFill="1" applyBorder="1" applyAlignment="1">
      <alignment horizontal="right" vertical="center"/>
    </xf>
    <xf numFmtId="44" fontId="0" fillId="11" borderId="11" xfId="10" applyNumberFormat="1" applyFont="1" applyFill="1" applyBorder="1" applyAlignment="1">
      <alignment horizontal="right" vertical="center"/>
    </xf>
    <xf numFmtId="0" fontId="9" fillId="2" borderId="9" xfId="8" applyFont="1" applyFill="1" applyBorder="1" applyAlignment="1">
      <alignment horizontal="right" vertical="center"/>
    </xf>
    <xf numFmtId="44" fontId="11" fillId="11" borderId="11" xfId="3" applyFont="1" applyFill="1" applyBorder="1" applyAlignment="1">
      <alignment horizontal="right" vertical="center"/>
    </xf>
    <xf numFmtId="44" fontId="0" fillId="11" borderId="1" xfId="3" applyFont="1" applyFill="1" applyBorder="1" applyAlignment="1">
      <alignment horizontal="right" vertical="center"/>
    </xf>
    <xf numFmtId="0" fontId="9" fillId="0" borderId="1" xfId="8" applyFont="1" applyBorder="1" applyAlignment="1">
      <alignment horizontal="right" vertical="center"/>
    </xf>
    <xf numFmtId="44" fontId="0" fillId="11" borderId="10" xfId="10" applyNumberFormat="1" applyFont="1" applyFill="1" applyBorder="1" applyAlignment="1">
      <alignment horizontal="right" vertical="center"/>
    </xf>
    <xf numFmtId="0" fontId="9" fillId="0" borderId="10" xfId="8" applyFont="1" applyBorder="1" applyAlignment="1">
      <alignment horizontal="right" vertical="center"/>
    </xf>
    <xf numFmtId="0" fontId="9" fillId="0" borderId="22" xfId="8" applyFont="1" applyBorder="1" applyAlignment="1">
      <alignment horizontal="right" vertical="center"/>
    </xf>
    <xf numFmtId="44" fontId="0" fillId="11" borderId="10" xfId="12" applyNumberFormat="1" applyFont="1" applyFill="1" applyBorder="1" applyAlignment="1">
      <alignment horizontal="right" vertical="center"/>
    </xf>
    <xf numFmtId="44" fontId="0" fillId="11" borderId="1" xfId="12" applyNumberFormat="1" applyFont="1" applyFill="1" applyBorder="1" applyAlignment="1">
      <alignment horizontal="right" vertical="center"/>
    </xf>
    <xf numFmtId="0" fontId="0" fillId="2" borderId="11" xfId="0" applyFont="1" applyFill="1" applyBorder="1" applyAlignment="1">
      <alignment horizontal="right" vertical="center"/>
    </xf>
    <xf numFmtId="0" fontId="9" fillId="0" borderId="5" xfId="8" applyFont="1" applyBorder="1" applyAlignment="1">
      <alignment horizontal="right" vertical="center"/>
    </xf>
    <xf numFmtId="0" fontId="0" fillId="2" borderId="0" xfId="8" applyFont="1" applyFill="1" applyBorder="1" applyAlignment="1">
      <alignment horizontal="right" vertical="center"/>
    </xf>
    <xf numFmtId="0" fontId="9" fillId="0" borderId="9" xfId="8" applyFont="1" applyBorder="1" applyAlignment="1">
      <alignment horizontal="right" vertical="center"/>
    </xf>
    <xf numFmtId="0" fontId="9" fillId="0" borderId="11" xfId="8" applyFont="1" applyBorder="1" applyAlignment="1">
      <alignment horizontal="right" vertical="center"/>
    </xf>
    <xf numFmtId="0" fontId="0" fillId="2" borderId="0" xfId="12" applyFont="1" applyFill="1" applyBorder="1" applyAlignment="1">
      <alignment horizontal="right" vertical="center"/>
    </xf>
    <xf numFmtId="44" fontId="0" fillId="2" borderId="9" xfId="3" applyFont="1" applyFill="1" applyBorder="1" applyAlignment="1">
      <alignment horizontal="right" vertical="center"/>
    </xf>
    <xf numFmtId="0" fontId="9" fillId="2" borderId="10" xfId="8" applyFont="1" applyFill="1" applyBorder="1" applyAlignment="1">
      <alignment horizontal="right" vertical="center"/>
    </xf>
    <xf numFmtId="44" fontId="0" fillId="11" borderId="55" xfId="3" applyFont="1" applyFill="1" applyBorder="1" applyAlignment="1">
      <alignment horizontal="right" vertical="center"/>
    </xf>
    <xf numFmtId="0" fontId="9" fillId="0" borderId="11" xfId="8" applyBorder="1"/>
    <xf numFmtId="0" fontId="9" fillId="0" borderId="11" xfId="8" applyFill="1" applyBorder="1" applyAlignment="1">
      <alignment horizontal="left"/>
    </xf>
    <xf numFmtId="0" fontId="9" fillId="0" borderId="10" xfId="8" applyFill="1" applyBorder="1" applyAlignment="1">
      <alignment horizontal="left"/>
    </xf>
    <xf numFmtId="0" fontId="9" fillId="0" borderId="1" xfId="8" applyFill="1" applyBorder="1" applyAlignment="1"/>
    <xf numFmtId="0" fontId="9" fillId="0" borderId="9" xfId="8" applyFill="1" applyBorder="1" applyAlignment="1">
      <alignment horizontal="left"/>
    </xf>
    <xf numFmtId="0" fontId="9" fillId="2" borderId="9" xfId="8" applyFill="1" applyBorder="1" applyAlignment="1">
      <alignment horizontal="left"/>
    </xf>
    <xf numFmtId="0" fontId="9" fillId="0" borderId="11" xfId="8" applyBorder="1" applyAlignment="1">
      <alignment horizontal="left"/>
    </xf>
    <xf numFmtId="0" fontId="0" fillId="0" borderId="0" xfId="0"/>
    <xf numFmtId="9" fontId="0" fillId="0" borderId="0" xfId="13" applyFont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/>
    <xf numFmtId="0" fontId="1" fillId="0" borderId="3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/>
    </xf>
    <xf numFmtId="0" fontId="1" fillId="0" borderId="51" xfId="13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9" fontId="0" fillId="0" borderId="63" xfId="13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9" fontId="0" fillId="0" borderId="64" xfId="13" applyFont="1" applyFill="1" applyBorder="1" applyAlignment="1">
      <alignment vertical="center"/>
    </xf>
    <xf numFmtId="0" fontId="4" fillId="0" borderId="0" xfId="13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right"/>
    </xf>
    <xf numFmtId="0" fontId="9" fillId="0" borderId="1" xfId="8" applyBorder="1" applyAlignment="1"/>
    <xf numFmtId="44" fontId="0" fillId="13" borderId="51" xfId="3" applyFont="1" applyFill="1" applyBorder="1" applyAlignment="1">
      <alignment horizontal="right" vertical="center"/>
    </xf>
    <xf numFmtId="0" fontId="9" fillId="0" borderId="14" xfId="8" applyFont="1" applyBorder="1" applyAlignment="1"/>
    <xf numFmtId="0" fontId="9" fillId="0" borderId="13" xfId="8" applyFont="1" applyBorder="1" applyAlignment="1"/>
    <xf numFmtId="0" fontId="9" fillId="0" borderId="16" xfId="8" applyFont="1" applyBorder="1" applyAlignment="1"/>
    <xf numFmtId="0" fontId="18" fillId="0" borderId="9" xfId="8" applyFont="1" applyFill="1" applyBorder="1" applyAlignment="1"/>
    <xf numFmtId="0" fontId="5" fillId="0" borderId="0" xfId="4" applyFill="1" applyBorder="1"/>
    <xf numFmtId="0" fontId="11" fillId="0" borderId="42" xfId="4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center"/>
    </xf>
    <xf numFmtId="44" fontId="0" fillId="11" borderId="3" xfId="3" applyFont="1" applyFill="1" applyBorder="1" applyAlignment="1">
      <alignment vertical="center"/>
    </xf>
    <xf numFmtId="44" fontId="0" fillId="13" borderId="20" xfId="3" applyFont="1" applyFill="1" applyBorder="1" applyAlignment="1">
      <alignment vertical="center"/>
    </xf>
    <xf numFmtId="0" fontId="11" fillId="0" borderId="42" xfId="4" applyFont="1" applyFill="1" applyBorder="1"/>
    <xf numFmtId="0" fontId="0" fillId="0" borderId="0" xfId="0" applyBorder="1" applyAlignment="1">
      <alignment horizontal="right" vertical="center"/>
    </xf>
    <xf numFmtId="0" fontId="0" fillId="0" borderId="0" xfId="0" applyBorder="1"/>
    <xf numFmtId="44" fontId="0" fillId="11" borderId="0" xfId="3" applyFont="1" applyFill="1" applyBorder="1"/>
    <xf numFmtId="2" fontId="11" fillId="0" borderId="42" xfId="4" applyNumberFormat="1" applyFont="1" applyFill="1" applyBorder="1"/>
    <xf numFmtId="0" fontId="0" fillId="0" borderId="0" xfId="0"/>
    <xf numFmtId="0" fontId="5" fillId="3" borderId="1" xfId="4" applyBorder="1" applyAlignment="1">
      <alignment horizontal="left"/>
    </xf>
    <xf numFmtId="0" fontId="0" fillId="0" borderId="0" xfId="0"/>
    <xf numFmtId="0" fontId="0" fillId="0" borderId="41" xfId="0" applyBorder="1" applyAlignment="1">
      <alignment horizontal="center" vertical="center"/>
    </xf>
    <xf numFmtId="0" fontId="11" fillId="2" borderId="41" xfId="4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4" fillId="2" borderId="41" xfId="4" applyFont="1" applyFill="1" applyBorder="1" applyAlignment="1">
      <alignment horizontal="center" vertical="center"/>
    </xf>
    <xf numFmtId="0" fontId="4" fillId="2" borderId="41" xfId="10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left"/>
    </xf>
    <xf numFmtId="0" fontId="5" fillId="3" borderId="1" xfId="4" applyBorder="1" applyAlignment="1">
      <alignment horizontal="left"/>
    </xf>
    <xf numFmtId="2" fontId="0" fillId="2" borderId="42" xfId="13" applyNumberFormat="1" applyFont="1" applyFill="1" applyBorder="1" applyAlignment="1">
      <alignment horizontal="right"/>
    </xf>
    <xf numFmtId="44" fontId="0" fillId="11" borderId="1" xfId="3" applyFont="1" applyFill="1" applyBorder="1"/>
    <xf numFmtId="2" fontId="0" fillId="2" borderId="42" xfId="0" applyNumberFormat="1" applyFont="1" applyFill="1" applyBorder="1"/>
    <xf numFmtId="0" fontId="1" fillId="0" borderId="1" xfId="8" applyFont="1" applyBorder="1" applyAlignment="1"/>
    <xf numFmtId="44" fontId="4" fillId="2" borderId="1" xfId="4" applyNumberFormat="1" applyFont="1" applyFill="1" applyBorder="1" applyAlignment="1">
      <alignment vertical="center"/>
    </xf>
    <xf numFmtId="44" fontId="1" fillId="2" borderId="1" xfId="4" applyNumberFormat="1" applyFont="1" applyFill="1" applyBorder="1" applyAlignment="1">
      <alignment vertical="center"/>
    </xf>
    <xf numFmtId="44" fontId="4" fillId="2" borderId="2" xfId="4" applyNumberFormat="1" applyFont="1" applyFill="1" applyBorder="1" applyAlignment="1">
      <alignment vertical="center"/>
    </xf>
    <xf numFmtId="44" fontId="0" fillId="10" borderId="20" xfId="4" applyNumberFormat="1" applyFont="1" applyFill="1" applyBorder="1" applyAlignment="1">
      <alignment vertical="center"/>
    </xf>
    <xf numFmtId="44" fontId="4" fillId="11" borderId="3" xfId="4" applyNumberFormat="1" applyFont="1" applyFill="1" applyBorder="1" applyAlignment="1">
      <alignment vertical="center"/>
    </xf>
    <xf numFmtId="44" fontId="4" fillId="13" borderId="20" xfId="4" applyNumberFormat="1" applyFont="1" applyFill="1" applyBorder="1" applyAlignment="1">
      <alignment vertical="center"/>
    </xf>
    <xf numFmtId="2" fontId="4" fillId="0" borderId="42" xfId="4" applyNumberFormat="1" applyFont="1" applyFill="1" applyBorder="1"/>
    <xf numFmtId="44" fontId="9" fillId="2" borderId="1" xfId="8" applyNumberFormat="1" applyFill="1" applyBorder="1" applyAlignment="1">
      <alignment vertical="center"/>
    </xf>
    <xf numFmtId="0" fontId="9" fillId="2" borderId="2" xfId="8" applyFill="1" applyBorder="1" applyAlignment="1"/>
    <xf numFmtId="44" fontId="0" fillId="0" borderId="11" xfId="12" applyNumberFormat="1" applyFont="1" applyFill="1" applyBorder="1" applyAlignment="1">
      <alignment horizontal="right" vertical="center"/>
    </xf>
    <xf numFmtId="44" fontId="0" fillId="0" borderId="1" xfId="12" applyNumberFormat="1" applyFont="1" applyFill="1" applyBorder="1" applyAlignment="1">
      <alignment horizontal="right" vertical="center"/>
    </xf>
    <xf numFmtId="0" fontId="5" fillId="3" borderId="42" xfId="4" applyBorder="1"/>
    <xf numFmtId="0" fontId="5" fillId="3" borderId="19" xfId="4" applyBorder="1" applyAlignment="1"/>
    <xf numFmtId="0" fontId="0" fillId="0" borderId="5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5" fillId="3" borderId="19" xfId="4" applyBorder="1" applyAlignment="1">
      <alignment horizontal="left"/>
    </xf>
    <xf numFmtId="0" fontId="4" fillId="0" borderId="25" xfId="4" applyFont="1" applyFill="1" applyBorder="1" applyAlignment="1">
      <alignment horizontal="left"/>
    </xf>
    <xf numFmtId="0" fontId="11" fillId="0" borderId="22" xfId="5" applyFont="1" applyFill="1" applyBorder="1" applyAlignment="1">
      <alignment horizontal="left"/>
    </xf>
    <xf numFmtId="0" fontId="4" fillId="0" borderId="25" xfId="10" applyFont="1" applyFill="1" applyBorder="1" applyAlignment="1">
      <alignment horizontal="left"/>
    </xf>
    <xf numFmtId="0" fontId="4" fillId="0" borderId="5" xfId="10" applyFont="1" applyFill="1" applyBorder="1" applyAlignment="1">
      <alignment horizontal="left"/>
    </xf>
    <xf numFmtId="0" fontId="0" fillId="0" borderId="5" xfId="5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5" fillId="3" borderId="13" xfId="4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5" xfId="4" applyFont="1" applyFill="1" applyBorder="1" applyAlignment="1">
      <alignment horizontal="left"/>
    </xf>
    <xf numFmtId="0" fontId="4" fillId="0" borderId="22" xfId="4" applyFont="1" applyFill="1" applyBorder="1" applyAlignment="1">
      <alignment horizontal="left"/>
    </xf>
    <xf numFmtId="0" fontId="4" fillId="0" borderId="0" xfId="1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1" fillId="0" borderId="32" xfId="4" applyFont="1" applyFill="1" applyBorder="1" applyAlignment="1">
      <alignment horizontal="left"/>
    </xf>
    <xf numFmtId="9" fontId="5" fillId="3" borderId="20" xfId="4" applyNumberFormat="1" applyBorder="1" applyAlignment="1">
      <alignment horizontal="center"/>
    </xf>
    <xf numFmtId="9" fontId="5" fillId="3" borderId="63" xfId="4" applyNumberFormat="1" applyBorder="1" applyAlignment="1">
      <alignment horizontal="center"/>
    </xf>
    <xf numFmtId="9" fontId="4" fillId="0" borderId="63" xfId="13" applyFont="1" applyFill="1" applyBorder="1" applyAlignment="1">
      <alignment horizontal="center"/>
    </xf>
    <xf numFmtId="9" fontId="4" fillId="0" borderId="66" xfId="13" applyFont="1" applyFill="1" applyBorder="1" applyAlignment="1">
      <alignment horizontal="center"/>
    </xf>
    <xf numFmtId="9" fontId="5" fillId="3" borderId="20" xfId="4" applyNumberFormat="1" applyBorder="1" applyAlignment="1">
      <alignment horizontal="center" vertical="center"/>
    </xf>
    <xf numFmtId="9" fontId="4" fillId="0" borderId="65" xfId="13" applyFont="1" applyFill="1" applyBorder="1" applyAlignment="1">
      <alignment horizontal="center"/>
    </xf>
    <xf numFmtId="9" fontId="4" fillId="0" borderId="65" xfId="13" applyFont="1" applyFill="1" applyBorder="1" applyAlignment="1">
      <alignment horizontal="center" vertical="center"/>
    </xf>
    <xf numFmtId="9" fontId="4" fillId="0" borderId="66" xfId="13" applyFont="1" applyFill="1" applyBorder="1" applyAlignment="1">
      <alignment horizontal="center" vertical="center"/>
    </xf>
    <xf numFmtId="9" fontId="4" fillId="0" borderId="63" xfId="13" applyFont="1" applyFill="1" applyBorder="1" applyAlignment="1">
      <alignment horizontal="center" vertical="center"/>
    </xf>
    <xf numFmtId="9" fontId="4" fillId="0" borderId="49" xfId="13" applyFont="1" applyFill="1" applyBorder="1" applyAlignment="1">
      <alignment horizontal="center" vertical="center"/>
    </xf>
    <xf numFmtId="9" fontId="4" fillId="0" borderId="48" xfId="13" applyFont="1" applyFill="1" applyBorder="1" applyAlignment="1">
      <alignment horizontal="center" vertical="center"/>
    </xf>
    <xf numFmtId="9" fontId="0" fillId="0" borderId="65" xfId="13" applyFont="1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9" fontId="5" fillId="3" borderId="62" xfId="4" applyNumberFormat="1" applyBorder="1" applyAlignment="1">
      <alignment horizontal="center" vertical="center"/>
    </xf>
    <xf numFmtId="9" fontId="0" fillId="0" borderId="63" xfId="13" applyFont="1" applyFill="1" applyBorder="1" applyAlignment="1">
      <alignment horizontal="center" vertical="center"/>
    </xf>
    <xf numFmtId="9" fontId="5" fillId="3" borderId="63" xfId="13" applyFont="1" applyFill="1" applyBorder="1" applyAlignment="1">
      <alignment horizontal="center" vertical="center"/>
    </xf>
    <xf numFmtId="2" fontId="5" fillId="3" borderId="64" xfId="4" applyNumberFormat="1" applyBorder="1"/>
    <xf numFmtId="0" fontId="0" fillId="0" borderId="45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5" fillId="3" borderId="62" xfId="4" applyBorder="1" applyAlignment="1">
      <alignment horizontal="left"/>
    </xf>
    <xf numFmtId="0" fontId="0" fillId="0" borderId="63" xfId="0" applyFill="1" applyBorder="1"/>
    <xf numFmtId="0" fontId="0" fillId="0" borderId="63" xfId="0" applyFill="1" applyBorder="1" applyAlignment="1">
      <alignment horizontal="left"/>
    </xf>
    <xf numFmtId="0" fontId="5" fillId="3" borderId="63" xfId="4" applyBorder="1" applyAlignment="1">
      <alignment horizontal="left"/>
    </xf>
    <xf numFmtId="0" fontId="0" fillId="0" borderId="63" xfId="0" applyBorder="1" applyAlignment="1">
      <alignment horizontal="left"/>
    </xf>
    <xf numFmtId="0" fontId="5" fillId="3" borderId="64" xfId="4" applyBorder="1" applyAlignment="1">
      <alignment horizontal="left"/>
    </xf>
    <xf numFmtId="0" fontId="0" fillId="0" borderId="34" xfId="0" applyFill="1" applyBorder="1" applyAlignment="1">
      <alignment horizontal="center" vertical="center"/>
    </xf>
    <xf numFmtId="0" fontId="1" fillId="0" borderId="10" xfId="10" applyFont="1" applyFill="1" applyBorder="1" applyAlignment="1">
      <alignment horizontal="left"/>
    </xf>
    <xf numFmtId="0" fontId="9" fillId="0" borderId="30" xfId="8" applyFill="1" applyBorder="1" applyAlignment="1"/>
    <xf numFmtId="0" fontId="9" fillId="0" borderId="0" xfId="8" applyFont="1" applyFill="1" applyBorder="1" applyAlignment="1"/>
    <xf numFmtId="0" fontId="9" fillId="0" borderId="29" xfId="8" applyFont="1" applyFill="1" applyBorder="1" applyAlignment="1"/>
    <xf numFmtId="0" fontId="9" fillId="0" borderId="30" xfId="8" applyFont="1" applyFill="1" applyBorder="1" applyAlignment="1"/>
    <xf numFmtId="44" fontId="0" fillId="0" borderId="10" xfId="10" applyNumberFormat="1" applyFont="1" applyFill="1" applyBorder="1" applyAlignment="1">
      <alignment horizontal="right" vertical="center"/>
    </xf>
    <xf numFmtId="0" fontId="0" fillId="2" borderId="47" xfId="10" applyFont="1" applyFill="1" applyBorder="1" applyAlignment="1">
      <alignment horizontal="left"/>
    </xf>
    <xf numFmtId="0" fontId="9" fillId="0" borderId="10" xfId="8" applyFont="1" applyFill="1" applyBorder="1" applyAlignment="1">
      <alignment horizontal="left"/>
    </xf>
    <xf numFmtId="44" fontId="11" fillId="0" borderId="10" xfId="3" applyFont="1" applyFill="1" applyBorder="1" applyAlignment="1">
      <alignment horizontal="left"/>
    </xf>
    <xf numFmtId="0" fontId="18" fillId="0" borderId="10" xfId="8" applyFont="1" applyFill="1" applyBorder="1" applyAlignment="1">
      <alignment horizontal="left"/>
    </xf>
    <xf numFmtId="0" fontId="0" fillId="10" borderId="49" xfId="10" applyFont="1" applyFill="1" applyBorder="1" applyAlignment="1">
      <alignment horizontal="left"/>
    </xf>
    <xf numFmtId="44" fontId="0" fillId="11" borderId="37" xfId="10" applyNumberFormat="1" applyFont="1" applyFill="1" applyBorder="1" applyAlignment="1">
      <alignment horizontal="right" vertical="center"/>
    </xf>
    <xf numFmtId="0" fontId="9" fillId="2" borderId="11" xfId="8" applyFill="1" applyBorder="1" applyAlignment="1"/>
    <xf numFmtId="0" fontId="11" fillId="2" borderId="11" xfId="8" applyFont="1" applyFill="1" applyBorder="1" applyAlignment="1"/>
    <xf numFmtId="0" fontId="11" fillId="2" borderId="9" xfId="4" applyFont="1" applyFill="1" applyBorder="1" applyAlignment="1">
      <alignment horizontal="left"/>
    </xf>
    <xf numFmtId="0" fontId="11" fillId="2" borderId="43" xfId="4" applyFont="1" applyFill="1" applyBorder="1" applyAlignment="1">
      <alignment horizontal="left" vertical="top"/>
    </xf>
    <xf numFmtId="0" fontId="11" fillId="2" borderId="11" xfId="5" applyFont="1" applyFill="1" applyBorder="1" applyAlignment="1">
      <alignment horizontal="left"/>
    </xf>
    <xf numFmtId="0" fontId="11" fillId="2" borderId="52" xfId="5" applyFont="1" applyFill="1" applyBorder="1" applyAlignment="1">
      <alignment horizontal="left" vertical="top"/>
    </xf>
    <xf numFmtId="0" fontId="0" fillId="0" borderId="42" xfId="0" applyBorder="1" applyAlignment="1">
      <alignment vertical="center"/>
    </xf>
    <xf numFmtId="0" fontId="0" fillId="0" borderId="58" xfId="0" applyBorder="1" applyAlignment="1">
      <alignment vertical="center"/>
    </xf>
    <xf numFmtId="44" fontId="9" fillId="0" borderId="9" xfId="8" applyNumberFormat="1" applyFill="1" applyBorder="1" applyAlignment="1"/>
    <xf numFmtId="9" fontId="4" fillId="0" borderId="64" xfId="13" applyFont="1" applyFill="1" applyBorder="1" applyAlignment="1">
      <alignment horizontal="center"/>
    </xf>
    <xf numFmtId="0" fontId="9" fillId="0" borderId="30" xfId="8" applyFont="1" applyFill="1" applyBorder="1" applyAlignment="1">
      <alignment horizontal="left"/>
    </xf>
    <xf numFmtId="44" fontId="0" fillId="13" borderId="49" xfId="3" applyFont="1" applyFill="1" applyBorder="1" applyAlignment="1">
      <alignment horizontal="right" vertical="center"/>
    </xf>
    <xf numFmtId="44" fontId="0" fillId="13" borderId="48" xfId="3" applyFont="1" applyFill="1" applyBorder="1" applyAlignment="1">
      <alignment horizontal="right" vertical="center"/>
    </xf>
    <xf numFmtId="2" fontId="0" fillId="0" borderId="52" xfId="0" applyNumberFormat="1" applyFont="1" applyFill="1" applyBorder="1"/>
    <xf numFmtId="0" fontId="1" fillId="2" borderId="9" xfId="8" applyFont="1" applyFill="1" applyBorder="1" applyAlignment="1"/>
    <xf numFmtId="44" fontId="4" fillId="11" borderId="9" xfId="3" applyFont="1" applyFill="1" applyBorder="1" applyAlignment="1">
      <alignment horizontal="right" vertical="center"/>
    </xf>
    <xf numFmtId="44" fontId="1" fillId="2" borderId="9" xfId="3" applyFont="1" applyFill="1" applyBorder="1" applyAlignment="1"/>
    <xf numFmtId="44" fontId="4" fillId="11" borderId="9" xfId="12" applyNumberFormat="1" applyFont="1" applyFill="1" applyBorder="1" applyAlignment="1">
      <alignment horizontal="right" vertical="center"/>
    </xf>
    <xf numFmtId="44" fontId="4" fillId="11" borderId="11" xfId="3" applyFont="1" applyFill="1" applyBorder="1" applyAlignment="1">
      <alignment horizontal="right" vertical="center"/>
    </xf>
    <xf numFmtId="0" fontId="9" fillId="0" borderId="2" xfId="8" applyFill="1" applyBorder="1" applyAlignment="1">
      <alignment horizontal="left"/>
    </xf>
    <xf numFmtId="0" fontId="4" fillId="0" borderId="46" xfId="4" applyFont="1" applyFill="1" applyBorder="1" applyAlignment="1">
      <alignment horizontal="left"/>
    </xf>
    <xf numFmtId="44" fontId="4" fillId="11" borderId="1" xfId="3" applyFont="1" applyFill="1" applyBorder="1" applyAlignment="1">
      <alignment horizontal="right" vertical="center"/>
    </xf>
    <xf numFmtId="0" fontId="0" fillId="10" borderId="18" xfId="0" applyFont="1" applyFill="1" applyBorder="1" applyAlignment="1">
      <alignment horizontal="left"/>
    </xf>
    <xf numFmtId="44" fontId="4" fillId="11" borderId="13" xfId="3" applyFont="1" applyFill="1" applyBorder="1" applyAlignment="1"/>
    <xf numFmtId="0" fontId="1" fillId="0" borderId="11" xfId="8" applyFont="1" applyBorder="1" applyAlignment="1"/>
    <xf numFmtId="9" fontId="0" fillId="0" borderId="0" xfId="0" applyNumberFormat="1"/>
    <xf numFmtId="44" fontId="9" fillId="2" borderId="9" xfId="8" applyNumberFormat="1" applyFill="1" applyBorder="1" applyAlignment="1"/>
    <xf numFmtId="44" fontId="4" fillId="13" borderId="49" xfId="3" applyFont="1" applyFill="1" applyBorder="1" applyAlignment="1">
      <alignment horizontal="right" vertical="center"/>
    </xf>
    <xf numFmtId="44" fontId="4" fillId="11" borderId="29" xfId="3" applyFont="1" applyFill="1" applyBorder="1" applyAlignment="1">
      <alignment horizontal="right" vertical="center"/>
    </xf>
    <xf numFmtId="0" fontId="14" fillId="0" borderId="10" xfId="0" applyFont="1" applyBorder="1" applyAlignment="1">
      <alignment horizontal="left"/>
    </xf>
    <xf numFmtId="0" fontId="0" fillId="0" borderId="42" xfId="0" applyFont="1" applyFill="1" applyBorder="1" applyAlignment="1">
      <alignment horizontal="left"/>
    </xf>
    <xf numFmtId="0" fontId="9" fillId="0" borderId="10" xfId="8" applyBorder="1" applyAlignment="1">
      <alignment horizontal="left"/>
    </xf>
    <xf numFmtId="0" fontId="0" fillId="18" borderId="1" xfId="0" applyFill="1" applyBorder="1" applyAlignment="1">
      <alignment horizontal="left"/>
    </xf>
    <xf numFmtId="0" fontId="0" fillId="18" borderId="42" xfId="0" applyFill="1" applyBorder="1" applyAlignment="1">
      <alignment horizontal="left" vertical="top"/>
    </xf>
    <xf numFmtId="0" fontId="9" fillId="0" borderId="11" xfId="8" applyBorder="1" applyAlignment="1"/>
    <xf numFmtId="0" fontId="0" fillId="0" borderId="0" xfId="0"/>
    <xf numFmtId="0" fontId="11" fillId="0" borderId="1" xfId="4" applyFont="1" applyFill="1" applyBorder="1" applyAlignment="1">
      <alignment horizontal="left"/>
    </xf>
    <xf numFmtId="9" fontId="0" fillId="0" borderId="0" xfId="13" applyFont="1"/>
    <xf numFmtId="0" fontId="9" fillId="0" borderId="73" xfId="8" applyFont="1" applyBorder="1" applyAlignment="1"/>
    <xf numFmtId="0" fontId="9" fillId="0" borderId="32" xfId="8" applyFont="1" applyBorder="1" applyAlignment="1"/>
    <xf numFmtId="0" fontId="9" fillId="0" borderId="35" xfId="8" applyFont="1" applyBorder="1" applyAlignment="1"/>
    <xf numFmtId="44" fontId="11" fillId="0" borderId="39" xfId="4" applyNumberFormat="1" applyFont="1" applyFill="1" applyBorder="1" applyAlignment="1">
      <alignment vertical="center"/>
    </xf>
    <xf numFmtId="44" fontId="11" fillId="0" borderId="40" xfId="4" applyNumberFormat="1" applyFont="1" applyFill="1" applyBorder="1" applyAlignment="1">
      <alignment vertical="center"/>
    </xf>
    <xf numFmtId="44" fontId="11" fillId="0" borderId="55" xfId="4" applyNumberFormat="1" applyFont="1" applyFill="1" applyBorder="1" applyAlignment="1">
      <alignment vertical="center"/>
    </xf>
    <xf numFmtId="44" fontId="11" fillId="0" borderId="58" xfId="4" applyNumberFormat="1" applyFont="1" applyFill="1" applyBorder="1" applyAlignment="1">
      <alignment vertical="center"/>
    </xf>
    <xf numFmtId="44" fontId="11" fillId="13" borderId="20" xfId="4" applyNumberFormat="1" applyFont="1" applyFill="1" applyBorder="1" applyAlignment="1">
      <alignment vertical="center"/>
    </xf>
    <xf numFmtId="44" fontId="11" fillId="11" borderId="74" xfId="4" applyNumberFormat="1" applyFont="1" applyFill="1" applyBorder="1" applyAlignment="1">
      <alignment vertical="center"/>
    </xf>
    <xf numFmtId="44" fontId="11" fillId="11" borderId="54" xfId="4" applyNumberFormat="1" applyFont="1" applyFill="1" applyBorder="1" applyAlignment="1">
      <alignment vertical="center"/>
    </xf>
    <xf numFmtId="44" fontId="11" fillId="0" borderId="41" xfId="4" applyNumberFormat="1" applyFont="1" applyFill="1" applyBorder="1"/>
    <xf numFmtId="44" fontId="11" fillId="0" borderId="1" xfId="4" applyNumberFormat="1" applyFont="1" applyFill="1" applyBorder="1"/>
    <xf numFmtId="0" fontId="11" fillId="0" borderId="25" xfId="4" applyFont="1" applyFill="1" applyBorder="1" applyAlignment="1">
      <alignment horizontal="left"/>
    </xf>
    <xf numFmtId="9" fontId="11" fillId="0" borderId="65" xfId="4" applyNumberFormat="1" applyFont="1" applyFill="1" applyBorder="1" applyAlignment="1">
      <alignment horizontal="center"/>
    </xf>
    <xf numFmtId="0" fontId="11" fillId="0" borderId="5" xfId="4" applyFont="1" applyFill="1" applyBorder="1" applyAlignment="1">
      <alignment horizontal="left"/>
    </xf>
    <xf numFmtId="9" fontId="11" fillId="0" borderId="63" xfId="4" applyNumberFormat="1" applyFont="1" applyFill="1" applyBorder="1" applyAlignment="1">
      <alignment horizontal="center"/>
    </xf>
    <xf numFmtId="0" fontId="21" fillId="12" borderId="19" xfId="0" applyFont="1" applyFill="1" applyBorder="1" applyAlignment="1">
      <alignment horizontal="center" vertical="center"/>
    </xf>
    <xf numFmtId="0" fontId="21" fillId="12" borderId="13" xfId="0" applyFont="1" applyFill="1" applyBorder="1" applyAlignment="1">
      <alignment horizontal="center" vertical="center"/>
    </xf>
    <xf numFmtId="0" fontId="21" fillId="12" borderId="16" xfId="0" applyFont="1" applyFill="1" applyBorder="1" applyAlignment="1">
      <alignment horizontal="center" vertical="center"/>
    </xf>
    <xf numFmtId="0" fontId="12" fillId="14" borderId="15" xfId="0" applyFont="1" applyFill="1" applyBorder="1" applyAlignment="1">
      <alignment horizontal="center" vertical="center"/>
    </xf>
    <xf numFmtId="0" fontId="12" fillId="14" borderId="13" xfId="0" applyFont="1" applyFill="1" applyBorder="1" applyAlignment="1">
      <alignment horizontal="center" vertical="center"/>
    </xf>
    <xf numFmtId="0" fontId="12" fillId="14" borderId="16" xfId="0" applyFont="1" applyFill="1" applyBorder="1" applyAlignment="1">
      <alignment horizontal="center" vertical="center"/>
    </xf>
    <xf numFmtId="0" fontId="12" fillId="14" borderId="19" xfId="0" applyFont="1" applyFill="1" applyBorder="1" applyAlignment="1">
      <alignment horizontal="center" vertical="center"/>
    </xf>
    <xf numFmtId="44" fontId="0" fillId="2" borderId="1" xfId="3" applyFont="1" applyFill="1" applyBorder="1" applyAlignment="1">
      <alignment horizontal="center"/>
    </xf>
    <xf numFmtId="44" fontId="0" fillId="2" borderId="2" xfId="3" applyFont="1" applyFill="1" applyBorder="1" applyAlignment="1">
      <alignment horizontal="center"/>
    </xf>
    <xf numFmtId="44" fontId="0" fillId="2" borderId="5" xfId="3" applyFont="1" applyFill="1" applyBorder="1" applyAlignment="1">
      <alignment horizontal="center"/>
    </xf>
    <xf numFmtId="44" fontId="0" fillId="2" borderId="3" xfId="3" applyFont="1" applyFill="1" applyBorder="1" applyAlignment="1">
      <alignment horizontal="center"/>
    </xf>
    <xf numFmtId="44" fontId="12" fillId="14" borderId="19" xfId="3" applyFont="1" applyFill="1" applyBorder="1" applyAlignment="1">
      <alignment horizontal="center" vertical="center"/>
    </xf>
    <xf numFmtId="44" fontId="12" fillId="14" borderId="13" xfId="3" applyFont="1" applyFill="1" applyBorder="1" applyAlignment="1">
      <alignment horizontal="center" vertical="center"/>
    </xf>
    <xf numFmtId="44" fontId="12" fillId="14" borderId="16" xfId="3" applyFont="1" applyFill="1" applyBorder="1" applyAlignment="1">
      <alignment horizontal="center" vertical="center"/>
    </xf>
    <xf numFmtId="0" fontId="4" fillId="2" borderId="1" xfId="10" applyFont="1" applyFill="1" applyBorder="1" applyAlignment="1">
      <alignment horizontal="center" vertical="center"/>
    </xf>
    <xf numFmtId="0" fontId="15" fillId="7" borderId="1" xfId="6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1" fillId="2" borderId="9" xfId="5" applyFont="1" applyFill="1" applyBorder="1" applyAlignment="1">
      <alignment horizontal="center" vertical="center"/>
    </xf>
    <xf numFmtId="0" fontId="11" fillId="2" borderId="10" xfId="5" applyFont="1" applyFill="1" applyBorder="1" applyAlignment="1">
      <alignment horizontal="center" vertical="center"/>
    </xf>
    <xf numFmtId="0" fontId="11" fillId="2" borderId="11" xfId="5" applyFont="1" applyFill="1" applyBorder="1" applyAlignment="1">
      <alignment horizontal="center" vertical="center"/>
    </xf>
    <xf numFmtId="0" fontId="1" fillId="7" borderId="1" xfId="6" applyFont="1" applyFill="1" applyBorder="1" applyAlignment="1">
      <alignment horizontal="center"/>
    </xf>
    <xf numFmtId="0" fontId="7" fillId="7" borderId="1" xfId="6" applyFill="1" applyBorder="1" applyAlignment="1">
      <alignment horizontal="center"/>
    </xf>
    <xf numFmtId="0" fontId="22" fillId="10" borderId="19" xfId="0" applyFont="1" applyFill="1" applyBorder="1" applyAlignment="1">
      <alignment horizontal="center"/>
    </xf>
    <xf numFmtId="0" fontId="22" fillId="10" borderId="13" xfId="0" applyFont="1" applyFill="1" applyBorder="1" applyAlignment="1">
      <alignment horizontal="center"/>
    </xf>
    <xf numFmtId="0" fontId="22" fillId="10" borderId="16" xfId="0" applyFont="1" applyFill="1" applyBorder="1" applyAlignment="1">
      <alignment horizontal="center"/>
    </xf>
    <xf numFmtId="0" fontId="11" fillId="2" borderId="1" xfId="4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15" fillId="7" borderId="41" xfId="6" applyFont="1" applyFill="1" applyBorder="1" applyAlignment="1">
      <alignment horizontal="center"/>
    </xf>
    <xf numFmtId="0" fontId="15" fillId="7" borderId="42" xfId="6" applyFont="1" applyFill="1" applyBorder="1" applyAlignment="1">
      <alignment horizontal="center"/>
    </xf>
    <xf numFmtId="0" fontId="0" fillId="7" borderId="53" xfId="0" applyFont="1" applyFill="1" applyBorder="1" applyAlignment="1">
      <alignment horizontal="left"/>
    </xf>
    <xf numFmtId="0" fontId="0" fillId="7" borderId="32" xfId="0" applyFont="1" applyFill="1" applyBorder="1" applyAlignment="1">
      <alignment horizontal="left"/>
    </xf>
    <xf numFmtId="0" fontId="0" fillId="7" borderId="35" xfId="0" applyFont="1" applyFill="1" applyBorder="1" applyAlignment="1">
      <alignment horizontal="left"/>
    </xf>
    <xf numFmtId="0" fontId="0" fillId="7" borderId="19" xfId="0" applyFont="1" applyFill="1" applyBorder="1" applyAlignment="1">
      <alignment horizontal="left"/>
    </xf>
    <xf numFmtId="0" fontId="0" fillId="7" borderId="13" xfId="0" applyFont="1" applyFill="1" applyBorder="1" applyAlignment="1">
      <alignment horizontal="left"/>
    </xf>
    <xf numFmtId="0" fontId="0" fillId="7" borderId="16" xfId="0" applyFont="1" applyFill="1" applyBorder="1" applyAlignment="1">
      <alignment horizontal="left"/>
    </xf>
    <xf numFmtId="0" fontId="11" fillId="2" borderId="56" xfId="5" applyFont="1" applyFill="1" applyBorder="1" applyAlignment="1">
      <alignment horizontal="center" vertical="center"/>
    </xf>
    <xf numFmtId="0" fontId="11" fillId="2" borderId="36" xfId="5" applyFont="1" applyFill="1" applyBorder="1" applyAlignment="1">
      <alignment horizontal="center" vertical="center"/>
    </xf>
    <xf numFmtId="0" fontId="11" fillId="2" borderId="37" xfId="5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5" fillId="7" borderId="38" xfId="6" applyFont="1" applyFill="1" applyBorder="1" applyAlignment="1">
      <alignment horizontal="center"/>
    </xf>
    <xf numFmtId="0" fontId="15" fillId="7" borderId="39" xfId="6" applyFont="1" applyFill="1" applyBorder="1" applyAlignment="1">
      <alignment horizontal="center"/>
    </xf>
    <xf numFmtId="0" fontId="15" fillId="7" borderId="40" xfId="6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9" fillId="0" borderId="30" xfId="8" applyFont="1" applyFill="1" applyBorder="1" applyAlignment="1">
      <alignment horizontal="left"/>
    </xf>
    <xf numFmtId="0" fontId="9" fillId="0" borderId="0" xfId="8" applyFont="1" applyFill="1" applyBorder="1" applyAlignment="1">
      <alignment horizontal="left"/>
    </xf>
    <xf numFmtId="0" fontId="9" fillId="0" borderId="29" xfId="8" applyFont="1" applyFill="1" applyBorder="1" applyAlignment="1">
      <alignment horizontal="left"/>
    </xf>
    <xf numFmtId="0" fontId="4" fillId="2" borderId="41" xfId="10" applyFont="1" applyFill="1" applyBorder="1" applyAlignment="1">
      <alignment horizontal="center" vertical="center"/>
    </xf>
    <xf numFmtId="0" fontId="0" fillId="7" borderId="68" xfId="0" applyFont="1" applyFill="1" applyBorder="1" applyAlignment="1">
      <alignment horizontal="left"/>
    </xf>
    <xf numFmtId="0" fontId="0" fillId="7" borderId="69" xfId="0" applyFont="1" applyFill="1" applyBorder="1" applyAlignment="1">
      <alignment horizontal="left"/>
    </xf>
    <xf numFmtId="0" fontId="0" fillId="7" borderId="70" xfId="0" applyFont="1" applyFill="1" applyBorder="1" applyAlignment="1">
      <alignment horizontal="left"/>
    </xf>
    <xf numFmtId="0" fontId="0" fillId="0" borderId="41" xfId="0" applyBorder="1" applyAlignment="1">
      <alignment horizontal="center" vertical="center"/>
    </xf>
    <xf numFmtId="44" fontId="5" fillId="3" borderId="6" xfId="4" applyNumberFormat="1" applyBorder="1" applyAlignment="1">
      <alignment horizontal="center" vertical="center"/>
    </xf>
    <xf numFmtId="44" fontId="5" fillId="3" borderId="7" xfId="4" applyNumberFormat="1" applyBorder="1" applyAlignment="1">
      <alignment horizontal="center" vertical="center"/>
    </xf>
    <xf numFmtId="44" fontId="5" fillId="3" borderId="8" xfId="4" applyNumberFormat="1" applyBorder="1" applyAlignment="1">
      <alignment horizontal="center" vertical="center"/>
    </xf>
    <xf numFmtId="44" fontId="5" fillId="3" borderId="61" xfId="4" applyNumberFormat="1" applyBorder="1" applyAlignment="1">
      <alignment horizontal="center"/>
    </xf>
    <xf numFmtId="44" fontId="5" fillId="3" borderId="5" xfId="4" applyNumberFormat="1" applyBorder="1" applyAlignment="1">
      <alignment horizontal="center"/>
    </xf>
    <xf numFmtId="44" fontId="5" fillId="3" borderId="60" xfId="4" applyNumberFormat="1" applyBorder="1" applyAlignment="1">
      <alignment horizontal="center"/>
    </xf>
    <xf numFmtId="0" fontId="24" fillId="12" borderId="6" xfId="7" applyFont="1" applyFill="1" applyBorder="1" applyAlignment="1">
      <alignment horizontal="center" vertical="center"/>
    </xf>
    <xf numFmtId="0" fontId="24" fillId="12" borderId="7" xfId="7" applyFont="1" applyFill="1" applyBorder="1" applyAlignment="1">
      <alignment horizontal="center" vertical="center"/>
    </xf>
    <xf numFmtId="0" fontId="24" fillId="12" borderId="14" xfId="7" applyFont="1" applyFill="1" applyBorder="1" applyAlignment="1">
      <alignment horizontal="center" vertical="center"/>
    </xf>
    <xf numFmtId="0" fontId="24" fillId="12" borderId="8" xfId="7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 vertical="center"/>
    </xf>
    <xf numFmtId="0" fontId="12" fillId="15" borderId="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26" xfId="8" applyFont="1" applyBorder="1" applyAlignment="1">
      <alignment horizontal="left"/>
    </xf>
    <xf numFmtId="0" fontId="9" fillId="0" borderId="45" xfId="8" applyFont="1" applyBorder="1" applyAlignment="1">
      <alignment horizontal="left"/>
    </xf>
    <xf numFmtId="0" fontId="9" fillId="0" borderId="28" xfId="8" applyFont="1" applyBorder="1" applyAlignment="1">
      <alignment horizontal="left"/>
    </xf>
    <xf numFmtId="0" fontId="9" fillId="0" borderId="50" xfId="8" applyFont="1" applyBorder="1" applyAlignment="1">
      <alignment horizontal="left"/>
    </xf>
    <xf numFmtId="0" fontId="9" fillId="0" borderId="31" xfId="8" applyFont="1" applyBorder="1" applyAlignment="1">
      <alignment horizontal="left"/>
    </xf>
    <xf numFmtId="0" fontId="9" fillId="0" borderId="18" xfId="8" applyFont="1" applyBorder="1" applyAlignment="1">
      <alignment horizontal="left"/>
    </xf>
    <xf numFmtId="0" fontId="9" fillId="0" borderId="30" xfId="8" applyFont="1" applyBorder="1" applyAlignment="1">
      <alignment horizontal="center"/>
    </xf>
    <xf numFmtId="0" fontId="9" fillId="0" borderId="0" xfId="8" applyFont="1" applyBorder="1" applyAlignment="1">
      <alignment horizontal="center"/>
    </xf>
    <xf numFmtId="0" fontId="9" fillId="0" borderId="34" xfId="8" applyFont="1" applyBorder="1" applyAlignment="1">
      <alignment horizontal="center"/>
    </xf>
    <xf numFmtId="0" fontId="11" fillId="0" borderId="1" xfId="4" applyFont="1" applyFill="1" applyBorder="1" applyAlignment="1">
      <alignment horizontal="left"/>
    </xf>
    <xf numFmtId="0" fontId="11" fillId="0" borderId="42" xfId="4" applyFont="1" applyFill="1" applyBorder="1" applyAlignment="1">
      <alignment horizontal="left"/>
    </xf>
    <xf numFmtId="0" fontId="9" fillId="0" borderId="27" xfId="8" applyFont="1" applyBorder="1" applyAlignment="1">
      <alignment horizontal="left"/>
    </xf>
    <xf numFmtId="0" fontId="9" fillId="0" borderId="21" xfId="8" applyFont="1" applyBorder="1" applyAlignment="1">
      <alignment horizontal="left" vertical="top"/>
    </xf>
    <xf numFmtId="0" fontId="9" fillId="0" borderId="46" xfId="8" applyFont="1" applyBorder="1" applyAlignment="1">
      <alignment horizontal="left" vertical="top"/>
    </xf>
    <xf numFmtId="0" fontId="7" fillId="7" borderId="41" xfId="6" applyFill="1" applyBorder="1" applyAlignment="1">
      <alignment horizontal="center"/>
    </xf>
    <xf numFmtId="0" fontId="7" fillId="7" borderId="11" xfId="6" applyFill="1" applyBorder="1" applyAlignment="1">
      <alignment horizontal="center"/>
    </xf>
    <xf numFmtId="0" fontId="7" fillId="7" borderId="42" xfId="6" applyFill="1" applyBorder="1" applyAlignment="1">
      <alignment horizontal="center"/>
    </xf>
    <xf numFmtId="0" fontId="0" fillId="7" borderId="17" xfId="0" applyFont="1" applyFill="1" applyBorder="1" applyAlignment="1">
      <alignment horizontal="left"/>
    </xf>
    <xf numFmtId="0" fontId="1" fillId="7" borderId="41" xfId="6" applyFont="1" applyFill="1" applyBorder="1" applyAlignment="1">
      <alignment horizontal="center"/>
    </xf>
    <xf numFmtId="0" fontId="1" fillId="7" borderId="42" xfId="6" applyFont="1" applyFill="1" applyBorder="1" applyAlignment="1">
      <alignment horizontal="center"/>
    </xf>
    <xf numFmtId="0" fontId="4" fillId="2" borderId="56" xfId="10" applyFont="1" applyFill="1" applyBorder="1" applyAlignment="1">
      <alignment horizontal="center" vertical="center"/>
    </xf>
    <xf numFmtId="0" fontId="4" fillId="2" borderId="36" xfId="10" applyFont="1" applyFill="1" applyBorder="1" applyAlignment="1">
      <alignment horizontal="center" vertical="center"/>
    </xf>
    <xf numFmtId="0" fontId="4" fillId="2" borderId="37" xfId="10" applyFont="1" applyFill="1" applyBorder="1" applyAlignment="1">
      <alignment horizontal="center" vertical="center"/>
    </xf>
    <xf numFmtId="0" fontId="9" fillId="0" borderId="2" xfId="8" applyBorder="1" applyAlignment="1">
      <alignment horizontal="left"/>
    </xf>
    <xf numFmtId="0" fontId="9" fillId="0" borderId="5" xfId="8" applyBorder="1" applyAlignment="1">
      <alignment horizontal="left"/>
    </xf>
    <xf numFmtId="0" fontId="9" fillId="0" borderId="60" xfId="8" applyBorder="1" applyAlignment="1">
      <alignment horizontal="left"/>
    </xf>
    <xf numFmtId="0" fontId="9" fillId="0" borderId="26" xfId="8" applyBorder="1" applyAlignment="1">
      <alignment horizontal="left"/>
    </xf>
    <xf numFmtId="0" fontId="9" fillId="0" borderId="27" xfId="8" applyBorder="1" applyAlignment="1">
      <alignment horizontal="left"/>
    </xf>
    <xf numFmtId="0" fontId="9" fillId="0" borderId="45" xfId="8" applyBorder="1" applyAlignment="1">
      <alignment horizontal="left"/>
    </xf>
    <xf numFmtId="0" fontId="5" fillId="7" borderId="6" xfId="4" applyFont="1" applyFill="1" applyBorder="1" applyAlignment="1">
      <alignment horizontal="left"/>
    </xf>
    <xf numFmtId="0" fontId="5" fillId="7" borderId="7" xfId="4" applyFont="1" applyFill="1" applyBorder="1" applyAlignment="1">
      <alignment horizontal="left"/>
    </xf>
    <xf numFmtId="0" fontId="5" fillId="7" borderId="59" xfId="4" applyFont="1" applyFill="1" applyBorder="1" applyAlignment="1">
      <alignment horizontal="left"/>
    </xf>
    <xf numFmtId="0" fontId="5" fillId="7" borderId="72" xfId="4" applyFont="1" applyFill="1" applyBorder="1" applyAlignment="1">
      <alignment horizontal="left"/>
    </xf>
    <xf numFmtId="0" fontId="0" fillId="7" borderId="0" xfId="0" applyFont="1" applyFill="1" applyBorder="1" applyAlignment="1">
      <alignment horizontal="left"/>
    </xf>
    <xf numFmtId="44" fontId="5" fillId="3" borderId="19" xfId="4" applyNumberFormat="1" applyBorder="1" applyAlignment="1">
      <alignment horizontal="center" vertical="center"/>
    </xf>
    <xf numFmtId="44" fontId="5" fillId="3" borderId="13" xfId="4" applyNumberFormat="1" applyBorder="1" applyAlignment="1">
      <alignment horizontal="center" vertical="center"/>
    </xf>
    <xf numFmtId="44" fontId="5" fillId="3" borderId="16" xfId="4" applyNumberFormat="1" applyBorder="1" applyAlignment="1">
      <alignment horizontal="center" vertical="center"/>
    </xf>
    <xf numFmtId="0" fontId="0" fillId="7" borderId="53" xfId="4" applyFont="1" applyFill="1" applyBorder="1" applyAlignment="1">
      <alignment horizontal="center"/>
    </xf>
    <xf numFmtId="0" fontId="0" fillId="7" borderId="32" xfId="4" applyFont="1" applyFill="1" applyBorder="1" applyAlignment="1">
      <alignment horizontal="center"/>
    </xf>
    <xf numFmtId="0" fontId="0" fillId="7" borderId="35" xfId="4" applyFont="1" applyFill="1" applyBorder="1" applyAlignment="1">
      <alignment horizontal="center"/>
    </xf>
    <xf numFmtId="0" fontId="9" fillId="2" borderId="14" xfId="8" applyFont="1" applyFill="1" applyBorder="1" applyAlignment="1">
      <alignment horizontal="left"/>
    </xf>
    <xf numFmtId="0" fontId="9" fillId="2" borderId="13" xfId="8" applyFont="1" applyFill="1" applyBorder="1" applyAlignment="1">
      <alignment horizontal="left"/>
    </xf>
    <xf numFmtId="0" fontId="9" fillId="2" borderId="16" xfId="8" applyFont="1" applyFill="1" applyBorder="1" applyAlignment="1">
      <alignment horizontal="left"/>
    </xf>
    <xf numFmtId="0" fontId="0" fillId="7" borderId="19" xfId="0" applyFont="1" applyFill="1" applyBorder="1" applyAlignment="1">
      <alignment horizontal="center"/>
    </xf>
    <xf numFmtId="0" fontId="0" fillId="7" borderId="13" xfId="0" applyFont="1" applyFill="1" applyBorder="1" applyAlignment="1">
      <alignment horizontal="center"/>
    </xf>
    <xf numFmtId="0" fontId="0" fillId="7" borderId="16" xfId="0" applyFont="1" applyFill="1" applyBorder="1" applyAlignment="1">
      <alignment horizontal="center"/>
    </xf>
    <xf numFmtId="0" fontId="9" fillId="0" borderId="14" xfId="8" applyFont="1" applyBorder="1" applyAlignment="1">
      <alignment horizontal="center"/>
    </xf>
    <xf numFmtId="0" fontId="9" fillId="0" borderId="13" xfId="8" applyFont="1" applyBorder="1" applyAlignment="1">
      <alignment horizontal="center"/>
    </xf>
    <xf numFmtId="0" fontId="9" fillId="0" borderId="16" xfId="8" applyFont="1" applyBorder="1" applyAlignment="1">
      <alignment horizontal="center"/>
    </xf>
    <xf numFmtId="0" fontId="0" fillId="0" borderId="41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4" fillId="2" borderId="41" xfId="4" applyFont="1" applyFill="1" applyBorder="1" applyAlignment="1">
      <alignment horizontal="center" vertical="center"/>
    </xf>
    <xf numFmtId="0" fontId="7" fillId="7" borderId="19" xfId="6" applyFont="1" applyFill="1" applyBorder="1" applyAlignment="1">
      <alignment horizontal="left"/>
    </xf>
    <xf numFmtId="0" fontId="7" fillId="7" borderId="13" xfId="6" applyFont="1" applyFill="1" applyBorder="1" applyAlignment="1">
      <alignment horizontal="left"/>
    </xf>
    <xf numFmtId="0" fontId="7" fillId="7" borderId="16" xfId="6" applyFont="1" applyFill="1" applyBorder="1" applyAlignment="1">
      <alignment horizontal="left"/>
    </xf>
    <xf numFmtId="0" fontId="9" fillId="0" borderId="26" xfId="8" applyFont="1" applyBorder="1" applyAlignment="1">
      <alignment horizontal="center"/>
    </xf>
    <xf numFmtId="0" fontId="9" fillId="0" borderId="45" xfId="8" applyFont="1" applyBorder="1" applyAlignment="1">
      <alignment horizontal="center"/>
    </xf>
    <xf numFmtId="0" fontId="9" fillId="2" borderId="14" xfId="8" applyFont="1" applyFill="1" applyBorder="1" applyAlignment="1">
      <alignment horizontal="center"/>
    </xf>
    <xf numFmtId="0" fontId="9" fillId="2" borderId="13" xfId="8" applyFont="1" applyFill="1" applyBorder="1" applyAlignment="1">
      <alignment horizontal="center"/>
    </xf>
    <xf numFmtId="0" fontId="9" fillId="2" borderId="16" xfId="8" applyFont="1" applyFill="1" applyBorder="1" applyAlignment="1">
      <alignment horizontal="center"/>
    </xf>
    <xf numFmtId="0" fontId="7" fillId="7" borderId="17" xfId="6" applyFont="1" applyFill="1" applyBorder="1" applyAlignment="1">
      <alignment horizontal="left"/>
    </xf>
    <xf numFmtId="0" fontId="7" fillId="7" borderId="33" xfId="6" applyFont="1" applyFill="1" applyBorder="1" applyAlignment="1">
      <alignment horizontal="left"/>
    </xf>
    <xf numFmtId="0" fontId="9" fillId="0" borderId="14" xfId="8" applyFont="1" applyBorder="1" applyAlignment="1">
      <alignment horizontal="left"/>
    </xf>
    <xf numFmtId="0" fontId="9" fillId="0" borderId="16" xfId="8" applyFont="1" applyBorder="1" applyAlignment="1">
      <alignment horizontal="left"/>
    </xf>
    <xf numFmtId="0" fontId="11" fillId="2" borderId="41" xfId="4" applyFont="1" applyFill="1" applyBorder="1" applyAlignment="1">
      <alignment horizontal="center" vertical="center"/>
    </xf>
    <xf numFmtId="0" fontId="15" fillId="0" borderId="59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7" borderId="61" xfId="6" applyFont="1" applyFill="1" applyBorder="1" applyAlignment="1">
      <alignment horizontal="center"/>
    </xf>
    <xf numFmtId="0" fontId="15" fillId="7" borderId="5" xfId="6" applyFont="1" applyFill="1" applyBorder="1" applyAlignment="1">
      <alignment horizontal="center"/>
    </xf>
    <xf numFmtId="0" fontId="15" fillId="7" borderId="60" xfId="6" applyFont="1" applyFill="1" applyBorder="1" applyAlignment="1">
      <alignment horizontal="center"/>
    </xf>
    <xf numFmtId="44" fontId="7" fillId="7" borderId="19" xfId="3" applyFont="1" applyFill="1" applyBorder="1" applyAlignment="1">
      <alignment horizontal="left"/>
    </xf>
    <xf numFmtId="44" fontId="7" fillId="7" borderId="13" xfId="3" applyFont="1" applyFill="1" applyBorder="1" applyAlignment="1">
      <alignment horizontal="left"/>
    </xf>
    <xf numFmtId="44" fontId="7" fillId="7" borderId="16" xfId="3" applyFont="1" applyFill="1" applyBorder="1" applyAlignment="1">
      <alignment horizontal="left"/>
    </xf>
    <xf numFmtId="0" fontId="11" fillId="2" borderId="71" xfId="5" applyFont="1" applyFill="1" applyBorder="1" applyAlignment="1">
      <alignment horizontal="center" vertical="center"/>
    </xf>
    <xf numFmtId="0" fontId="11" fillId="2" borderId="67" xfId="5" applyFont="1" applyFill="1" applyBorder="1" applyAlignment="1">
      <alignment horizontal="center" vertical="center"/>
    </xf>
    <xf numFmtId="44" fontId="0" fillId="13" borderId="67" xfId="3" applyFont="1" applyFill="1" applyBorder="1" applyAlignment="1">
      <alignment horizontal="right" vertical="center"/>
    </xf>
    <xf numFmtId="44" fontId="0" fillId="13" borderId="53" xfId="3" applyFont="1" applyFill="1" applyBorder="1" applyAlignment="1">
      <alignment horizontal="right" vertical="center"/>
    </xf>
    <xf numFmtId="44" fontId="0" fillId="11" borderId="1" xfId="12" applyNumberFormat="1" applyFont="1" applyFill="1" applyBorder="1" applyAlignment="1">
      <alignment horizontal="right" vertical="center"/>
    </xf>
    <xf numFmtId="0" fontId="1" fillId="2" borderId="1" xfId="12" applyFont="1" applyFill="1" applyBorder="1" applyAlignment="1">
      <alignment horizontal="center" vertical="center"/>
    </xf>
    <xf numFmtId="44" fontId="4" fillId="11" borderId="1" xfId="3" applyFont="1" applyFill="1" applyBorder="1" applyAlignment="1">
      <alignment horizontal="center" vertical="center"/>
    </xf>
    <xf numFmtId="0" fontId="9" fillId="2" borderId="1" xfId="8" applyFill="1" applyBorder="1" applyAlignment="1">
      <alignment horizontal="left" vertical="center"/>
    </xf>
    <xf numFmtId="0" fontId="9" fillId="2" borderId="43" xfId="8" applyFill="1" applyBorder="1" applyAlignment="1">
      <alignment horizontal="center" vertical="center"/>
    </xf>
    <xf numFmtId="0" fontId="9" fillId="2" borderId="47" xfId="8" applyFill="1" applyBorder="1" applyAlignment="1">
      <alignment horizontal="center" vertical="center"/>
    </xf>
    <xf numFmtId="0" fontId="9" fillId="2" borderId="52" xfId="8" applyFill="1" applyBorder="1" applyAlignment="1">
      <alignment horizontal="center" vertical="center"/>
    </xf>
    <xf numFmtId="0" fontId="9" fillId="2" borderId="9" xfId="8" applyFill="1" applyBorder="1" applyAlignment="1">
      <alignment horizontal="center" vertical="center"/>
    </xf>
    <xf numFmtId="0" fontId="9" fillId="2" borderId="10" xfId="8" applyFill="1" applyBorder="1" applyAlignment="1">
      <alignment horizontal="center" vertical="center"/>
    </xf>
    <xf numFmtId="0" fontId="9" fillId="2" borderId="11" xfId="8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4" fillId="7" borderId="61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7" borderId="60" xfId="0" applyFont="1" applyFill="1" applyBorder="1" applyAlignment="1">
      <alignment horizontal="center"/>
    </xf>
    <xf numFmtId="0" fontId="15" fillId="7" borderId="6" xfId="6" applyFont="1" applyFill="1" applyBorder="1" applyAlignment="1">
      <alignment horizontal="center"/>
    </xf>
    <xf numFmtId="0" fontId="15" fillId="7" borderId="7" xfId="6" applyFont="1" applyFill="1" applyBorder="1" applyAlignment="1">
      <alignment horizontal="center"/>
    </xf>
    <xf numFmtId="0" fontId="15" fillId="7" borderId="8" xfId="6" applyFont="1" applyFill="1" applyBorder="1" applyAlignment="1">
      <alignment horizontal="center"/>
    </xf>
    <xf numFmtId="0" fontId="5" fillId="3" borderId="1" xfId="4" applyBorder="1" applyAlignment="1">
      <alignment horizontal="left"/>
    </xf>
    <xf numFmtId="0" fontId="5" fillId="3" borderId="42" xfId="4" applyBorder="1" applyAlignment="1">
      <alignment horizontal="left"/>
    </xf>
    <xf numFmtId="0" fontId="7" fillId="7" borderId="56" xfId="6" applyFill="1" applyBorder="1" applyAlignment="1">
      <alignment horizontal="center"/>
    </xf>
    <xf numFmtId="0" fontId="7" fillId="7" borderId="37" xfId="6" applyFill="1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4" fillId="7" borderId="41" xfId="0" applyFont="1" applyFill="1" applyBorder="1" applyAlignment="1">
      <alignment horizontal="center"/>
    </xf>
    <xf numFmtId="0" fontId="14" fillId="7" borderId="42" xfId="0" applyFont="1" applyFill="1" applyBorder="1" applyAlignment="1">
      <alignment horizontal="center"/>
    </xf>
    <xf numFmtId="9" fontId="0" fillId="0" borderId="51" xfId="13" applyFont="1" applyFill="1" applyBorder="1" applyAlignment="1">
      <alignment horizontal="center" vertical="center"/>
    </xf>
    <xf numFmtId="9" fontId="0" fillId="0" borderId="49" xfId="13" applyFont="1" applyFill="1" applyBorder="1" applyAlignment="1">
      <alignment horizontal="center" vertical="center"/>
    </xf>
    <xf numFmtId="9" fontId="0" fillId="0" borderId="48" xfId="13" applyFont="1" applyFill="1" applyBorder="1" applyAlignment="1">
      <alignment horizontal="center" vertical="center"/>
    </xf>
    <xf numFmtId="9" fontId="0" fillId="0" borderId="51" xfId="0" applyNumberFormat="1" applyBorder="1" applyAlignment="1">
      <alignment horizontal="center" vertical="center"/>
    </xf>
    <xf numFmtId="9" fontId="0" fillId="0" borderId="49" xfId="0" applyNumberFormat="1" applyBorder="1" applyAlignment="1">
      <alignment horizontal="center" vertical="center"/>
    </xf>
    <xf numFmtId="9" fontId="0" fillId="0" borderId="48" xfId="0" applyNumberFormat="1" applyBorder="1" applyAlignment="1">
      <alignment horizontal="center" vertical="center"/>
    </xf>
    <xf numFmtId="0" fontId="11" fillId="0" borderId="62" xfId="4" applyFont="1" applyFill="1" applyBorder="1" applyAlignment="1">
      <alignment horizontal="center" vertical="center"/>
    </xf>
    <xf numFmtId="0" fontId="11" fillId="0" borderId="63" xfId="4" applyFont="1" applyFill="1" applyBorder="1" applyAlignment="1">
      <alignment horizontal="center" vertical="center"/>
    </xf>
    <xf numFmtId="0" fontId="11" fillId="0" borderId="66" xfId="4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4" fillId="0" borderId="62" xfId="4" applyFont="1" applyFill="1" applyBorder="1" applyAlignment="1">
      <alignment horizontal="center" vertical="center"/>
    </xf>
    <xf numFmtId="0" fontId="4" fillId="0" borderId="63" xfId="4" applyFont="1" applyFill="1" applyBorder="1" applyAlignment="1">
      <alignment horizontal="center" vertical="center"/>
    </xf>
    <xf numFmtId="0" fontId="4" fillId="0" borderId="64" xfId="4" applyFont="1" applyFill="1" applyBorder="1" applyAlignment="1">
      <alignment horizontal="center" vertical="center"/>
    </xf>
    <xf numFmtId="0" fontId="1" fillId="2" borderId="1" xfId="6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4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" xfId="1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9" xfId="5" applyFont="1" applyFill="1" applyBorder="1" applyAlignment="1">
      <alignment horizontal="center" vertical="center"/>
    </xf>
    <xf numFmtId="0" fontId="0" fillId="2" borderId="10" xfId="5" applyFont="1" applyFill="1" applyBorder="1" applyAlignment="1">
      <alignment horizontal="center" vertical="center"/>
    </xf>
    <xf numFmtId="0" fontId="0" fillId="2" borderId="11" xfId="5" applyFont="1" applyFill="1" applyBorder="1" applyAlignment="1">
      <alignment horizontal="center" vertical="center"/>
    </xf>
  </cellXfs>
  <cellStyles count="14">
    <cellStyle name="60% - Énfasis1" xfId="11" builtinId="32"/>
    <cellStyle name="Buena" xfId="10" builtinId="26"/>
    <cellStyle name="Celda de comprobación" xfId="6" builtinId="23"/>
    <cellStyle name="Énfasis1" xfId="7" builtinId="29"/>
    <cellStyle name="Énfasis2" xfId="12" builtinId="33"/>
    <cellStyle name="Hipervínculo" xfId="8" builtinId="8"/>
    <cellStyle name="Incorrecto" xfId="4" builtinId="27"/>
    <cellStyle name="Moneda" xfId="3" builtinId="4"/>
    <cellStyle name="Moneda 2" xfId="9"/>
    <cellStyle name="Neutral" xfId="5" builtinId="28"/>
    <cellStyle name="Normal" xfId="0" builtinId="0"/>
    <cellStyle name="Normal 2" xfId="2"/>
    <cellStyle name="Normal 2 2" xfId="1"/>
    <cellStyle name="Porcentaje" xfId="13" builtinId="5"/>
  </cellStyles>
  <dxfs count="0"/>
  <tableStyles count="0" defaultTableStyle="TableStyleMedium9" defaultPivotStyle="PivotStyleLight16"/>
  <colors>
    <mruColors>
      <color rgb="FFFFFF99"/>
      <color rgb="FFCC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195790</xdr:rowOff>
    </xdr:from>
    <xdr:to>
      <xdr:col>29</xdr:col>
      <xdr:colOff>28576</xdr:colOff>
      <xdr:row>4</xdr:row>
      <xdr:rowOff>19050</xdr:rowOff>
    </xdr:to>
    <xdr:sp macro="" textlink="">
      <xdr:nvSpPr>
        <xdr:cNvPr id="2" name="Rectángulo 1"/>
        <xdr:cNvSpPr/>
      </xdr:nvSpPr>
      <xdr:spPr>
        <a:xfrm>
          <a:off x="771525" y="595840"/>
          <a:ext cx="23231476" cy="22331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AR" sz="1200" b="1">
              <a:solidFill>
                <a:schemeClr val="tx1">
                  <a:lumMod val="50000"/>
                  <a:lumOff val="50000"/>
                </a:schemeClr>
              </a:solidFill>
            </a:rPr>
            <a:t>PRECIOS DE COMPR.AR MENDOZA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endasaludonline.com.ar/productos/jeringas-5cc-sin-aguja-caja-x-100-novamed/" TargetMode="External"/><Relationship Id="rId13" Type="http://schemas.openxmlformats.org/officeDocument/2006/relationships/hyperlink" Target="https://cirugiarex.com.ar/producto/macrogotero-venosil-s-aguja-tipo-v14/" TargetMode="External"/><Relationship Id="rId18" Type="http://schemas.openxmlformats.org/officeDocument/2006/relationships/hyperlink" Target="https://www.tiendasaludonline.com.ar/productos/aguja-hipodermica-15-5-25g5-8-caja-x-100u-greetmed/" TargetMode="External"/><Relationship Id="rId26" Type="http://schemas.openxmlformats.org/officeDocument/2006/relationships/hyperlink" Target="https://www.lilis.com.ar/llave-de-3-vias" TargetMode="External"/><Relationship Id="rId3" Type="http://schemas.openxmlformats.org/officeDocument/2006/relationships/hyperlink" Target="https://www.tiendasaludonline.com.ar/productos/camisolin-descartabe-azul-hemorrepelente-puno-elastico-sms-30-gr-x-10unidades/" TargetMode="External"/><Relationship Id="rId21" Type="http://schemas.openxmlformats.org/officeDocument/2006/relationships/hyperlink" Target="https://www.tiendasaludonline.com.ar/productos/sonda-foley-2-vias-100-silicona-pura-n-16-caja-x-10ps-star-kangyuang/" TargetMode="External"/><Relationship Id="rId7" Type="http://schemas.openxmlformats.org/officeDocument/2006/relationships/hyperlink" Target="https://www.lilis.com.ar/gel-neutro-1-2-kg-con-dispenser" TargetMode="External"/><Relationship Id="rId12" Type="http://schemas.openxmlformats.org/officeDocument/2006/relationships/hyperlink" Target="https://www.tiendasaludonline.com.ar/productos/tubo-endotraqueal-con-balon-reforzado-8-0-kangyuan/" TargetMode="External"/><Relationship Id="rId17" Type="http://schemas.openxmlformats.org/officeDocument/2006/relationships/hyperlink" Target="https://cirugiarex.com.ar/producto/mascara-oxigeno-100/" TargetMode="External"/><Relationship Id="rId25" Type="http://schemas.openxmlformats.org/officeDocument/2006/relationships/hyperlink" Target="https://www.tiendahospimed.com.ar/MLA-677207028-venda-cambric-10cm-x-3mt-de-algodon-x-25-u-_JM?utm_source=google&amp;utm_medium=cpc&amp;utm_campaign=darwin_ss" TargetMode="External"/><Relationship Id="rId2" Type="http://schemas.openxmlformats.org/officeDocument/2006/relationships/hyperlink" Target="https://www.lilis.com.ar/collar-de-filadelfia-coltex-mediano" TargetMode="External"/><Relationship Id="rId16" Type="http://schemas.openxmlformats.org/officeDocument/2006/relationships/hyperlink" Target="https://www.tiendahospimed.com.ar/MLA-756022976-histerometro-sims-32-cm-instrumental-quirurgico-_JM" TargetMode="External"/><Relationship Id="rId20" Type="http://schemas.openxmlformats.org/officeDocument/2006/relationships/hyperlink" Target="https://www.tiendasaludonline.com.ar/productos/aguja-puncion-lumbar-25g-importada-aurinco/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tiendasaludonline.com.ar/productos/collar-tipo-filadelfia-s-m-l-body-care/" TargetMode="External"/><Relationship Id="rId6" Type="http://schemas.openxmlformats.org/officeDocument/2006/relationships/hyperlink" Target="https://www.tiendasaludonline.com.ar/productos/algodon-hidrofilo-x-500grs-x-10-paq-insumos-xxi/" TargetMode="External"/><Relationship Id="rId11" Type="http://schemas.openxmlformats.org/officeDocument/2006/relationships/hyperlink" Target="https://www.tiendasaludonline.com.ar/productos/jeringas-3cc-sin-aguja-novamed-caja-x-100u/" TargetMode="External"/><Relationship Id="rId24" Type="http://schemas.openxmlformats.org/officeDocument/2006/relationships/hyperlink" Target="https://btinsumosonline.ar/producto/mango-para-electrobisturi-covidien/" TargetMode="External"/><Relationship Id="rId5" Type="http://schemas.openxmlformats.org/officeDocument/2006/relationships/hyperlink" Target="https://www.tiendasaludonline.com.ar/productos/algodon-hidrofilo-x-500grs-doncella-x-10u/" TargetMode="External"/><Relationship Id="rId15" Type="http://schemas.openxmlformats.org/officeDocument/2006/relationships/hyperlink" Target="https://cirugiarex.com.ar/producto/mascara-oxigeno-con-reservorio-adulto-y-pediatrico/" TargetMode="External"/><Relationship Id="rId23" Type="http://schemas.openxmlformats.org/officeDocument/2006/relationships/hyperlink" Target="https://cirugiarex.com.ar/producto/tegaderm-1624-6x-7cm-3m/" TargetMode="External"/><Relationship Id="rId28" Type="http://schemas.openxmlformats.org/officeDocument/2006/relationships/hyperlink" Target="https://www.lilis.com.ar/hojas-de-bisturi-printex-100-todos-los-tama-os" TargetMode="External"/><Relationship Id="rId10" Type="http://schemas.openxmlformats.org/officeDocument/2006/relationships/hyperlink" Target="https://www.tiendasaludonline.com.ar/productos/jeringas-3-elementos-10cc-s-aguja-medeco-caja-x-100u/" TargetMode="External"/><Relationship Id="rId19" Type="http://schemas.openxmlformats.org/officeDocument/2006/relationships/hyperlink" Target="https://www.tiendasaludonline.com.ar/productos/venoclisis-macrogotero-s-aguj-c-filtro-con-venteo-20-gotas-caja-x-100u-rymco/" TargetMode="External"/><Relationship Id="rId4" Type="http://schemas.openxmlformats.org/officeDocument/2006/relationships/hyperlink" Target="https://www.tiendasaludonline.com.ar/productos/cofias-plizadas-hemoreplente-sms-pack-x-1000unidades/" TargetMode="External"/><Relationship Id="rId9" Type="http://schemas.openxmlformats.org/officeDocument/2006/relationships/hyperlink" Target="https://www.tiendasaludonline.com.ar/productos/jeringas-3-elementos-sin-aguja-20cc-medeco-caja-x-50u/" TargetMode="External"/><Relationship Id="rId14" Type="http://schemas.openxmlformats.org/officeDocument/2006/relationships/hyperlink" Target="https://www.lilis.com.ar/hojas-de-bisturi-ribbel-todos-los-tama-os" TargetMode="External"/><Relationship Id="rId22" Type="http://schemas.openxmlformats.org/officeDocument/2006/relationships/hyperlink" Target="https://www.tiendasaludonline.com.ar/productos/aposito-iht-oper-easy-5-x-72-cm-caja-x-100-unidades/" TargetMode="External"/><Relationship Id="rId27" Type="http://schemas.openxmlformats.org/officeDocument/2006/relationships/hyperlink" Target="https://www.lilis.com.ar/sutura-de-nylon-supralon-todos-los-tama-o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7"/>
  <sheetViews>
    <sheetView showGridLines="0" zoomScaleNormal="100" workbookViewId="0">
      <selection activeCell="F9" sqref="F9"/>
    </sheetView>
  </sheetViews>
  <sheetFormatPr baseColWidth="10" defaultRowHeight="15" x14ac:dyDescent="0.25"/>
  <cols>
    <col min="1" max="1" width="6" style="70" customWidth="1"/>
    <col min="2" max="2" width="13.7109375" style="70" customWidth="1"/>
    <col min="3" max="3" width="45" style="70" customWidth="1"/>
    <col min="4" max="4" width="21.5703125" style="70" customWidth="1"/>
    <col min="5" max="5" width="3.5703125" style="70" customWidth="1"/>
  </cols>
  <sheetData>
    <row r="1" spans="1:29" s="70" customFormat="1" ht="15.75" thickBot="1" x14ac:dyDescent="0.3"/>
    <row r="2" spans="1:29" ht="16.5" thickBot="1" x14ac:dyDescent="0.3">
      <c r="A2" s="614" t="s">
        <v>370</v>
      </c>
      <c r="B2" s="615"/>
      <c r="C2" s="616"/>
      <c r="F2" s="15"/>
      <c r="G2" s="15"/>
      <c r="H2" s="24"/>
      <c r="I2" s="34"/>
      <c r="J2" s="34"/>
      <c r="K2" s="10"/>
      <c r="L2" s="34"/>
      <c r="M2" s="34"/>
      <c r="N2" s="10"/>
      <c r="O2" s="10"/>
      <c r="P2" s="34"/>
      <c r="Q2" s="10"/>
      <c r="R2" s="34"/>
      <c r="S2" s="34"/>
      <c r="T2" s="10"/>
      <c r="U2" s="22"/>
      <c r="V2" s="22"/>
      <c r="W2" s="22"/>
      <c r="X2" s="22"/>
      <c r="Y2" s="22"/>
      <c r="Z2" s="34"/>
      <c r="AA2" s="34"/>
      <c r="AB2" s="34"/>
      <c r="AC2" s="34"/>
    </row>
    <row r="3" spans="1:29" s="70" customFormat="1" ht="15.75" thickBot="1" x14ac:dyDescent="0.3">
      <c r="F3" s="15"/>
      <c r="G3" s="15"/>
      <c r="H3" s="24"/>
      <c r="K3" s="10"/>
      <c r="N3" s="10"/>
      <c r="O3" s="10"/>
      <c r="Q3" s="10"/>
      <c r="T3" s="10"/>
      <c r="U3" s="22"/>
      <c r="V3" s="22"/>
      <c r="W3" s="22"/>
      <c r="X3" s="22"/>
      <c r="Y3" s="22"/>
    </row>
    <row r="4" spans="1:29" ht="15.75" thickBot="1" x14ac:dyDescent="0.3">
      <c r="F4" s="591" t="s">
        <v>359</v>
      </c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  <c r="AC4" s="593"/>
    </row>
    <row r="5" spans="1:29" ht="15.75" thickBot="1" x14ac:dyDescent="0.3">
      <c r="F5" s="16"/>
      <c r="G5" s="16"/>
      <c r="H5" s="2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21"/>
      <c r="V5" s="21"/>
      <c r="W5" s="21"/>
      <c r="X5" s="21"/>
      <c r="Y5" s="21"/>
      <c r="Z5" s="10"/>
      <c r="AA5" s="10"/>
      <c r="AB5" s="10"/>
      <c r="AC5" s="10"/>
    </row>
    <row r="6" spans="1:29" ht="15.75" thickBot="1" x14ac:dyDescent="0.3">
      <c r="B6" s="66" t="s">
        <v>123</v>
      </c>
      <c r="C6" s="54" t="s">
        <v>124</v>
      </c>
      <c r="D6" s="53" t="s">
        <v>134</v>
      </c>
      <c r="F6" s="597" t="s">
        <v>294</v>
      </c>
      <c r="G6" s="595"/>
      <c r="H6" s="596"/>
      <c r="I6" s="597" t="s">
        <v>295</v>
      </c>
      <c r="J6" s="595"/>
      <c r="K6" s="596"/>
      <c r="L6" s="597" t="s">
        <v>296</v>
      </c>
      <c r="M6" s="595"/>
      <c r="N6" s="596"/>
      <c r="O6" s="597" t="s">
        <v>298</v>
      </c>
      <c r="P6" s="595"/>
      <c r="Q6" s="596"/>
      <c r="R6" s="597" t="s">
        <v>299</v>
      </c>
      <c r="S6" s="595"/>
      <c r="T6" s="596"/>
      <c r="U6" s="602" t="s">
        <v>301</v>
      </c>
      <c r="V6" s="603"/>
      <c r="W6" s="604"/>
      <c r="X6" s="602" t="s">
        <v>302</v>
      </c>
      <c r="Y6" s="603"/>
      <c r="Z6" s="603"/>
      <c r="AA6" s="594" t="s">
        <v>306</v>
      </c>
      <c r="AB6" s="595"/>
      <c r="AC6" s="596"/>
    </row>
    <row r="7" spans="1:29" ht="15.75" thickBot="1" x14ac:dyDescent="0.3">
      <c r="B7" s="608"/>
      <c r="C7" s="608"/>
      <c r="D7" s="608"/>
      <c r="F7" s="61">
        <v>44562</v>
      </c>
      <c r="G7" s="61">
        <v>44593</v>
      </c>
      <c r="H7" s="83">
        <v>44621</v>
      </c>
      <c r="I7" s="61">
        <v>44562</v>
      </c>
      <c r="J7" s="61">
        <v>44593</v>
      </c>
      <c r="K7" s="61">
        <v>44621</v>
      </c>
      <c r="L7" s="61">
        <v>44562</v>
      </c>
      <c r="M7" s="61">
        <v>44593</v>
      </c>
      <c r="N7" s="83">
        <v>44621</v>
      </c>
      <c r="O7" s="61">
        <v>44562</v>
      </c>
      <c r="P7" s="61">
        <v>44593</v>
      </c>
      <c r="Q7" s="61">
        <v>44621</v>
      </c>
      <c r="R7" s="61">
        <v>44562</v>
      </c>
      <c r="S7" s="61">
        <v>44593</v>
      </c>
      <c r="T7" s="83">
        <v>44621</v>
      </c>
      <c r="U7" s="62">
        <v>44562</v>
      </c>
      <c r="V7" s="62">
        <v>44593</v>
      </c>
      <c r="W7" s="61">
        <v>44621</v>
      </c>
      <c r="X7" s="62">
        <v>44562</v>
      </c>
      <c r="Y7" s="62">
        <v>44593</v>
      </c>
      <c r="Z7" s="61">
        <v>44621</v>
      </c>
      <c r="AA7" s="63">
        <v>44562</v>
      </c>
      <c r="AB7" s="63">
        <v>44593</v>
      </c>
      <c r="AC7" s="63">
        <v>44621</v>
      </c>
    </row>
    <row r="8" spans="1:29" x14ac:dyDescent="0.25">
      <c r="B8" s="606" t="s">
        <v>243</v>
      </c>
      <c r="C8" s="606"/>
      <c r="D8" s="606"/>
      <c r="F8" s="16"/>
      <c r="G8" s="16"/>
      <c r="H8" s="2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21"/>
      <c r="V8" s="21"/>
      <c r="W8" s="21"/>
      <c r="X8" s="21"/>
      <c r="Y8" s="21"/>
      <c r="Z8" s="10"/>
      <c r="AA8" s="10"/>
      <c r="AB8" s="10"/>
      <c r="AC8" s="10"/>
    </row>
    <row r="9" spans="1:29" x14ac:dyDescent="0.25">
      <c r="B9" s="72">
        <v>321200019</v>
      </c>
      <c r="C9" s="1" t="s">
        <v>97</v>
      </c>
      <c r="D9" s="39" t="s">
        <v>62</v>
      </c>
      <c r="F9" s="17"/>
      <c r="G9" s="17"/>
      <c r="H9" s="17"/>
      <c r="I9" s="17"/>
      <c r="J9" s="17"/>
      <c r="K9" s="17"/>
      <c r="L9" s="17"/>
      <c r="M9" s="17"/>
      <c r="N9" s="19">
        <v>171.5</v>
      </c>
      <c r="O9" s="17"/>
      <c r="P9" s="17"/>
      <c r="Q9" s="17"/>
      <c r="R9" s="17"/>
      <c r="S9" s="17"/>
      <c r="T9" s="17"/>
      <c r="U9" s="20"/>
      <c r="V9" s="20"/>
      <c r="W9" s="20"/>
      <c r="X9" s="20"/>
      <c r="Y9" s="20"/>
      <c r="Z9" s="20"/>
      <c r="AA9" s="20"/>
      <c r="AB9" s="20"/>
      <c r="AC9" s="20"/>
    </row>
    <row r="10" spans="1:29" x14ac:dyDescent="0.25">
      <c r="B10" s="609">
        <v>320700022</v>
      </c>
      <c r="C10" s="2" t="s">
        <v>260</v>
      </c>
      <c r="D10" s="41" t="s">
        <v>45</v>
      </c>
      <c r="F10" s="598"/>
      <c r="G10" s="598"/>
      <c r="H10" s="598"/>
      <c r="I10" s="598"/>
      <c r="J10" s="598"/>
      <c r="K10" s="598"/>
      <c r="L10" s="598"/>
      <c r="M10" s="598"/>
      <c r="N10" s="598"/>
      <c r="O10" s="598"/>
      <c r="P10" s="598"/>
      <c r="Q10" s="598"/>
      <c r="R10" s="598"/>
      <c r="S10" s="598"/>
      <c r="T10" s="598"/>
      <c r="U10" s="598"/>
      <c r="V10" s="598"/>
      <c r="W10" s="598"/>
      <c r="X10" s="598"/>
      <c r="Y10" s="598"/>
      <c r="Z10" s="598"/>
      <c r="AA10" s="598"/>
      <c r="AB10" s="598"/>
      <c r="AC10" s="598"/>
    </row>
    <row r="11" spans="1:29" x14ac:dyDescent="0.25">
      <c r="B11" s="610"/>
      <c r="C11" s="36" t="s">
        <v>361</v>
      </c>
      <c r="D11" s="35" t="s">
        <v>62</v>
      </c>
      <c r="F11" s="17"/>
      <c r="G11" s="17">
        <v>1.69</v>
      </c>
      <c r="H11" s="17"/>
      <c r="I11" s="17"/>
      <c r="J11" s="23"/>
      <c r="K11" s="23"/>
      <c r="L11" s="17"/>
      <c r="M11" s="17"/>
      <c r="N11" s="17"/>
      <c r="O11" s="17"/>
      <c r="P11" s="17"/>
      <c r="Q11" s="19">
        <v>1.86</v>
      </c>
      <c r="R11" s="17"/>
      <c r="S11" s="17"/>
      <c r="T11" s="19">
        <v>1.52</v>
      </c>
      <c r="U11" s="20"/>
      <c r="V11" s="20"/>
      <c r="W11" s="20"/>
      <c r="X11" s="20"/>
      <c r="Y11" s="20"/>
      <c r="Z11" s="20"/>
      <c r="AA11" s="20"/>
      <c r="AB11" s="20"/>
      <c r="AC11" s="20"/>
    </row>
    <row r="12" spans="1:29" x14ac:dyDescent="0.25">
      <c r="B12" s="610"/>
      <c r="C12" s="36" t="s">
        <v>362</v>
      </c>
      <c r="D12" s="35" t="s">
        <v>62</v>
      </c>
      <c r="F12" s="17"/>
      <c r="G12" s="17"/>
      <c r="H12" s="17"/>
      <c r="I12" s="17"/>
      <c r="J12" s="23"/>
      <c r="K12" s="23"/>
      <c r="L12" s="17"/>
      <c r="M12" s="17"/>
      <c r="N12" s="19">
        <v>1.69</v>
      </c>
      <c r="O12" s="17"/>
      <c r="P12" s="17"/>
      <c r="Q12" s="17"/>
      <c r="R12" s="17"/>
      <c r="S12" s="17"/>
      <c r="T12" s="17"/>
      <c r="U12" s="20"/>
      <c r="V12" s="20"/>
      <c r="W12" s="20"/>
      <c r="X12" s="20"/>
      <c r="Y12" s="20"/>
      <c r="Z12" s="20"/>
      <c r="AA12" s="20"/>
      <c r="AB12" s="20"/>
      <c r="AC12" s="20"/>
    </row>
    <row r="13" spans="1:29" x14ac:dyDescent="0.25">
      <c r="B13" s="610"/>
      <c r="C13" s="36" t="s">
        <v>363</v>
      </c>
      <c r="D13" s="35" t="s">
        <v>62</v>
      </c>
      <c r="F13" s="17"/>
      <c r="G13" s="17">
        <v>1.72</v>
      </c>
      <c r="H13" s="17"/>
      <c r="I13" s="17"/>
      <c r="J13" s="23">
        <v>18.95</v>
      </c>
      <c r="K13" s="23"/>
      <c r="L13" s="17"/>
      <c r="M13" s="17"/>
      <c r="N13" s="19">
        <v>19.89</v>
      </c>
      <c r="O13" s="17"/>
      <c r="P13" s="17">
        <v>1.83</v>
      </c>
      <c r="Q13" s="17"/>
      <c r="R13" s="17">
        <v>1.75</v>
      </c>
      <c r="S13" s="17">
        <v>1.41</v>
      </c>
      <c r="T13" s="17"/>
      <c r="U13" s="20">
        <v>1.76</v>
      </c>
      <c r="V13" s="20"/>
      <c r="W13" s="20"/>
      <c r="X13" s="20"/>
      <c r="Y13" s="20">
        <v>1.8</v>
      </c>
      <c r="Z13" s="20"/>
      <c r="AA13" s="20"/>
      <c r="AB13" s="20"/>
      <c r="AC13" s="20"/>
    </row>
    <row r="14" spans="1:29" x14ac:dyDescent="0.25">
      <c r="B14" s="610"/>
      <c r="C14" s="81" t="s">
        <v>364</v>
      </c>
      <c r="D14" s="82" t="s">
        <v>62</v>
      </c>
      <c r="F14" s="17"/>
      <c r="G14" s="17"/>
      <c r="H14" s="17"/>
      <c r="I14" s="17"/>
      <c r="J14" s="23"/>
      <c r="K14" s="23"/>
      <c r="L14" s="17"/>
      <c r="M14" s="17"/>
      <c r="N14" s="19">
        <v>1.74</v>
      </c>
      <c r="O14" s="17"/>
      <c r="P14" s="17"/>
      <c r="Q14" s="17"/>
      <c r="R14" s="17"/>
      <c r="S14" s="17"/>
      <c r="T14" s="17"/>
      <c r="U14" s="20"/>
      <c r="V14" s="20"/>
      <c r="W14" s="20"/>
      <c r="X14" s="20"/>
      <c r="Y14" s="20"/>
      <c r="Z14" s="20"/>
      <c r="AA14" s="20"/>
      <c r="AB14" s="20"/>
      <c r="AC14" s="20"/>
    </row>
    <row r="15" spans="1:29" x14ac:dyDescent="0.25">
      <c r="B15" s="610"/>
      <c r="C15" s="36" t="s">
        <v>365</v>
      </c>
      <c r="D15" s="35" t="s">
        <v>62</v>
      </c>
      <c r="F15" s="17"/>
      <c r="G15" s="17"/>
      <c r="H15" s="17"/>
      <c r="I15" s="17"/>
      <c r="J15" s="23"/>
      <c r="K15" s="23"/>
      <c r="L15" s="17"/>
      <c r="M15" s="17"/>
      <c r="N15" s="19">
        <v>1.64</v>
      </c>
      <c r="O15" s="17"/>
      <c r="P15" s="17"/>
      <c r="Q15" s="17"/>
      <c r="R15" s="17"/>
      <c r="S15" s="17"/>
      <c r="T15" s="19">
        <v>1.64</v>
      </c>
      <c r="U15" s="20"/>
      <c r="V15" s="20"/>
      <c r="W15" s="20"/>
      <c r="X15" s="20"/>
      <c r="Y15" s="20"/>
      <c r="Z15" s="20"/>
      <c r="AA15" s="20"/>
      <c r="AB15" s="20"/>
      <c r="AC15" s="20"/>
    </row>
    <row r="16" spans="1:29" x14ac:dyDescent="0.25">
      <c r="B16" s="611"/>
      <c r="C16" s="36" t="s">
        <v>366</v>
      </c>
      <c r="D16" s="35" t="s">
        <v>62</v>
      </c>
      <c r="F16" s="17"/>
      <c r="G16" s="17"/>
      <c r="H16" s="17"/>
      <c r="I16" s="17"/>
      <c r="J16" s="23"/>
      <c r="K16" s="23"/>
      <c r="L16" s="17"/>
      <c r="M16" s="17"/>
      <c r="N16" s="17"/>
      <c r="O16" s="17"/>
      <c r="P16" s="17"/>
      <c r="Q16" s="19">
        <v>2.0299999999999998</v>
      </c>
      <c r="R16" s="17"/>
      <c r="S16" s="17"/>
      <c r="T16" s="19">
        <v>2.09</v>
      </c>
      <c r="U16" s="20"/>
      <c r="V16" s="20"/>
      <c r="W16" s="20"/>
      <c r="X16" s="20"/>
      <c r="Y16" s="20"/>
      <c r="Z16" s="20"/>
      <c r="AA16" s="20"/>
      <c r="AB16" s="20"/>
      <c r="AC16" s="20"/>
    </row>
    <row r="17" spans="2:29" x14ac:dyDescent="0.25">
      <c r="B17" s="606" t="s">
        <v>244</v>
      </c>
      <c r="C17" s="606"/>
      <c r="D17" s="606"/>
      <c r="F17" s="598"/>
      <c r="G17" s="598"/>
      <c r="H17" s="598"/>
      <c r="I17" s="598"/>
      <c r="J17" s="598"/>
      <c r="K17" s="598"/>
      <c r="L17" s="598"/>
      <c r="M17" s="598"/>
      <c r="N17" s="598"/>
      <c r="O17" s="598"/>
      <c r="P17" s="598"/>
      <c r="Q17" s="598"/>
      <c r="R17" s="598"/>
      <c r="S17" s="598"/>
      <c r="T17" s="598"/>
      <c r="U17" s="598"/>
      <c r="V17" s="598"/>
      <c r="W17" s="598"/>
      <c r="X17" s="598"/>
      <c r="Y17" s="598"/>
      <c r="Z17" s="598"/>
      <c r="AA17" s="598"/>
      <c r="AB17" s="598"/>
      <c r="AC17" s="598"/>
    </row>
    <row r="18" spans="2:29" x14ac:dyDescent="0.25">
      <c r="B18" s="607">
        <v>31290027</v>
      </c>
      <c r="C18" s="3" t="s">
        <v>42</v>
      </c>
      <c r="D18" s="42" t="s">
        <v>43</v>
      </c>
      <c r="F18" s="17"/>
      <c r="G18" s="17">
        <v>164.43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20"/>
      <c r="V18" s="20"/>
      <c r="W18" s="20"/>
      <c r="X18" s="20"/>
      <c r="Y18" s="20"/>
      <c r="Z18" s="20"/>
      <c r="AA18" s="20"/>
      <c r="AB18" s="20"/>
      <c r="AC18" s="20"/>
    </row>
    <row r="19" spans="2:29" x14ac:dyDescent="0.25">
      <c r="B19" s="607"/>
      <c r="C19" s="3" t="s">
        <v>40</v>
      </c>
      <c r="D19" s="42" t="s">
        <v>41</v>
      </c>
      <c r="F19" s="17"/>
      <c r="G19" s="17">
        <v>186</v>
      </c>
      <c r="H19" s="17"/>
      <c r="I19" s="17"/>
      <c r="J19" s="17"/>
      <c r="K19" s="17"/>
      <c r="L19" s="17">
        <v>198.6</v>
      </c>
      <c r="M19" s="17"/>
      <c r="N19" s="17"/>
      <c r="O19" s="17"/>
      <c r="P19" s="17"/>
      <c r="Q19" s="17"/>
      <c r="R19" s="17"/>
      <c r="S19" s="17"/>
      <c r="T19" s="17"/>
      <c r="U19" s="20">
        <v>188.18</v>
      </c>
      <c r="V19" s="20"/>
      <c r="W19" s="20"/>
      <c r="X19" s="20">
        <v>189.72</v>
      </c>
      <c r="Y19" s="20">
        <v>186.61</v>
      </c>
      <c r="Z19" s="20"/>
      <c r="AA19" s="20"/>
      <c r="AB19" s="20"/>
      <c r="AC19" s="20"/>
    </row>
    <row r="20" spans="2:29" x14ac:dyDescent="0.25">
      <c r="B20" s="606" t="s">
        <v>245</v>
      </c>
      <c r="C20" s="606"/>
      <c r="D20" s="606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</row>
    <row r="21" spans="2:29" x14ac:dyDescent="0.25">
      <c r="B21" s="605">
        <v>32020001</v>
      </c>
      <c r="C21" s="1" t="s">
        <v>51</v>
      </c>
      <c r="D21" s="39" t="s">
        <v>52</v>
      </c>
      <c r="F21" s="17"/>
      <c r="G21" s="17">
        <v>249.89</v>
      </c>
      <c r="H21" s="17"/>
      <c r="I21" s="17"/>
      <c r="J21" s="17">
        <v>238</v>
      </c>
      <c r="K21" s="17"/>
      <c r="L21" s="17"/>
      <c r="M21" s="17"/>
      <c r="N21" s="19">
        <v>279.22000000000003</v>
      </c>
      <c r="O21" s="17"/>
      <c r="P21" s="17"/>
      <c r="Q21" s="17"/>
      <c r="R21" s="17">
        <v>239.76</v>
      </c>
      <c r="S21" s="17">
        <v>305.89</v>
      </c>
      <c r="T21" s="17"/>
      <c r="U21" s="20">
        <v>264.92</v>
      </c>
      <c r="V21" s="20"/>
      <c r="W21" s="20"/>
      <c r="X21" s="20">
        <v>248.96</v>
      </c>
      <c r="Y21" s="20">
        <v>296.3</v>
      </c>
      <c r="Z21" s="20"/>
      <c r="AA21" s="20"/>
      <c r="AB21" s="20"/>
      <c r="AC21" s="20"/>
    </row>
    <row r="22" spans="2:29" x14ac:dyDescent="0.25">
      <c r="B22" s="605"/>
      <c r="C22" s="12" t="s">
        <v>67</v>
      </c>
      <c r="D22" s="43" t="s">
        <v>68</v>
      </c>
      <c r="F22" s="17"/>
      <c r="G22" s="17"/>
      <c r="H22" s="19">
        <v>45.49</v>
      </c>
      <c r="I22" s="17"/>
      <c r="J22" s="17"/>
      <c r="K22" s="17"/>
      <c r="L22" s="17"/>
      <c r="M22" s="17"/>
      <c r="N22" s="19">
        <v>52.1</v>
      </c>
      <c r="O22" s="17"/>
      <c r="P22" s="17">
        <v>45.86</v>
      </c>
      <c r="Q22" s="17"/>
      <c r="R22" s="17">
        <v>42.55</v>
      </c>
      <c r="S22" s="17"/>
      <c r="T22" s="17"/>
      <c r="U22" s="20"/>
      <c r="V22" s="20"/>
      <c r="W22" s="20"/>
      <c r="X22" s="20"/>
      <c r="Y22" s="20"/>
      <c r="Z22" s="20"/>
      <c r="AA22" s="20"/>
      <c r="AB22" s="20"/>
      <c r="AC22" s="20"/>
    </row>
    <row r="23" spans="2:29" x14ac:dyDescent="0.25">
      <c r="B23" s="606" t="s">
        <v>268</v>
      </c>
      <c r="C23" s="606"/>
      <c r="D23" s="606"/>
      <c r="F23" s="598"/>
      <c r="G23" s="598"/>
      <c r="H23" s="598"/>
      <c r="I23" s="598"/>
      <c r="J23" s="598"/>
      <c r="K23" s="598"/>
      <c r="L23" s="598"/>
      <c r="M23" s="598"/>
      <c r="N23" s="598"/>
      <c r="O23" s="598"/>
      <c r="P23" s="598"/>
      <c r="Q23" s="598"/>
      <c r="R23" s="598"/>
      <c r="S23" s="598"/>
      <c r="T23" s="598"/>
      <c r="U23" s="598"/>
      <c r="V23" s="598"/>
      <c r="W23" s="598"/>
      <c r="X23" s="598"/>
      <c r="Y23" s="598"/>
      <c r="Z23" s="598"/>
      <c r="AA23" s="598"/>
      <c r="AB23" s="598"/>
      <c r="AC23" s="598"/>
    </row>
    <row r="24" spans="2:29" x14ac:dyDescent="0.25">
      <c r="B24" s="607">
        <v>321000014</v>
      </c>
      <c r="C24" s="3" t="s">
        <v>93</v>
      </c>
      <c r="D24" s="42" t="s">
        <v>45</v>
      </c>
      <c r="F24" s="17">
        <v>39.1</v>
      </c>
      <c r="G24" s="17">
        <v>39.1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>
        <v>173.99</v>
      </c>
      <c r="T24" s="17"/>
      <c r="U24" s="20"/>
      <c r="V24" s="20"/>
      <c r="W24" s="20"/>
      <c r="X24" s="20"/>
      <c r="Y24" s="20"/>
      <c r="Z24" s="20"/>
      <c r="AA24" s="20"/>
      <c r="AB24" s="20"/>
      <c r="AC24" s="20"/>
    </row>
    <row r="25" spans="2:29" x14ac:dyDescent="0.25">
      <c r="B25" s="607"/>
      <c r="C25" s="3" t="s">
        <v>94</v>
      </c>
      <c r="D25" s="42" t="s">
        <v>62</v>
      </c>
      <c r="F25" s="17"/>
      <c r="G25" s="17"/>
      <c r="H25" s="19">
        <v>340.29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20"/>
      <c r="V25" s="20"/>
      <c r="W25" s="20"/>
      <c r="X25" s="20"/>
      <c r="Y25" s="20"/>
      <c r="Z25" s="20"/>
      <c r="AA25" s="20"/>
      <c r="AB25" s="20"/>
      <c r="AC25" s="20"/>
    </row>
    <row r="26" spans="2:29" x14ac:dyDescent="0.25">
      <c r="B26" s="607">
        <v>32020007</v>
      </c>
      <c r="C26" s="3" t="s">
        <v>63</v>
      </c>
      <c r="D26" s="42" t="s">
        <v>45</v>
      </c>
      <c r="F26" s="17"/>
      <c r="G26" s="17"/>
      <c r="H26" s="17"/>
      <c r="I26" s="17"/>
      <c r="J26" s="17">
        <v>20.41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20"/>
      <c r="V26" s="20"/>
      <c r="W26" s="20"/>
      <c r="X26" s="20"/>
      <c r="Y26" s="20"/>
      <c r="Z26" s="20"/>
      <c r="AA26" s="20"/>
      <c r="AB26" s="20"/>
      <c r="AC26" s="20"/>
    </row>
    <row r="27" spans="2:29" x14ac:dyDescent="0.25">
      <c r="B27" s="607"/>
      <c r="C27" s="4" t="s">
        <v>61</v>
      </c>
      <c r="D27" s="44" t="s">
        <v>62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>
        <v>81.41</v>
      </c>
      <c r="Q27" s="17"/>
      <c r="R27" s="17"/>
      <c r="S27" s="17"/>
      <c r="T27" s="17"/>
      <c r="U27" s="20"/>
      <c r="V27" s="20"/>
      <c r="W27" s="20"/>
      <c r="X27" s="20"/>
      <c r="Y27" s="20"/>
      <c r="Z27" s="20"/>
      <c r="AA27" s="20"/>
      <c r="AB27" s="20"/>
      <c r="AC27" s="20"/>
    </row>
    <row r="28" spans="2:29" x14ac:dyDescent="0.25">
      <c r="B28" s="606" t="s">
        <v>246</v>
      </c>
      <c r="C28" s="606"/>
      <c r="D28" s="606"/>
      <c r="F28" s="598"/>
      <c r="G28" s="598"/>
      <c r="H28" s="598"/>
      <c r="I28" s="598"/>
      <c r="J28" s="598"/>
      <c r="K28" s="598"/>
      <c r="L28" s="598"/>
      <c r="M28" s="598"/>
      <c r="N28" s="598"/>
      <c r="O28" s="598"/>
      <c r="P28" s="598"/>
      <c r="Q28" s="598"/>
      <c r="R28" s="598"/>
      <c r="S28" s="598"/>
      <c r="T28" s="598"/>
      <c r="U28" s="598"/>
      <c r="V28" s="598"/>
      <c r="W28" s="598"/>
      <c r="X28" s="598"/>
      <c r="Y28" s="598"/>
      <c r="Z28" s="598"/>
      <c r="AA28" s="598"/>
      <c r="AB28" s="598"/>
      <c r="AC28" s="598"/>
    </row>
    <row r="29" spans="2:29" x14ac:dyDescent="0.25">
      <c r="B29" s="607">
        <v>32090001</v>
      </c>
      <c r="C29" s="3" t="s">
        <v>12</v>
      </c>
      <c r="D29" s="42" t="s">
        <v>84</v>
      </c>
      <c r="F29" s="18"/>
      <c r="G29" s="17"/>
      <c r="H29" s="17"/>
      <c r="I29" s="17"/>
      <c r="J29" s="18"/>
      <c r="K29" s="18"/>
      <c r="L29" s="17"/>
      <c r="M29" s="17"/>
      <c r="N29" s="17"/>
      <c r="O29" s="17"/>
      <c r="P29" s="17"/>
      <c r="Q29" s="17"/>
      <c r="R29" s="17"/>
      <c r="S29" s="17"/>
      <c r="T29" s="17"/>
      <c r="U29" s="20"/>
      <c r="V29" s="20"/>
      <c r="W29" s="20"/>
      <c r="X29" s="20"/>
      <c r="Y29" s="20"/>
      <c r="Z29" s="20"/>
      <c r="AA29" s="20">
        <v>103.86</v>
      </c>
      <c r="AB29" s="20"/>
      <c r="AC29" s="20"/>
    </row>
    <row r="30" spans="2:29" x14ac:dyDescent="0.25">
      <c r="B30" s="607"/>
      <c r="C30" s="3" t="s">
        <v>198</v>
      </c>
      <c r="D30" s="42" t="s">
        <v>84</v>
      </c>
      <c r="F30" s="18"/>
      <c r="G30" s="17"/>
      <c r="H30" s="17"/>
      <c r="I30" s="17"/>
      <c r="J30" s="18"/>
      <c r="K30" s="18"/>
      <c r="L30" s="17"/>
      <c r="M30" s="17"/>
      <c r="N30" s="17"/>
      <c r="O30" s="17"/>
      <c r="P30" s="17"/>
      <c r="Q30" s="17"/>
      <c r="R30" s="17"/>
      <c r="S30" s="17"/>
      <c r="T30" s="17"/>
      <c r="U30" s="20"/>
      <c r="V30" s="20"/>
      <c r="W30" s="20"/>
      <c r="X30" s="20"/>
      <c r="Y30" s="20"/>
      <c r="Z30" s="20"/>
      <c r="AA30" s="20">
        <v>134</v>
      </c>
      <c r="AB30" s="20"/>
      <c r="AC30" s="20"/>
    </row>
    <row r="31" spans="2:29" x14ac:dyDescent="0.25">
      <c r="B31" s="606" t="s">
        <v>269</v>
      </c>
      <c r="C31" s="606"/>
      <c r="D31" s="606"/>
      <c r="F31" s="598"/>
      <c r="G31" s="598"/>
      <c r="H31" s="598"/>
      <c r="I31" s="598"/>
      <c r="J31" s="598"/>
      <c r="K31" s="598"/>
      <c r="L31" s="598"/>
      <c r="M31" s="598"/>
      <c r="N31" s="598"/>
      <c r="O31" s="598"/>
      <c r="P31" s="598"/>
      <c r="Q31" s="598"/>
      <c r="R31" s="598"/>
      <c r="S31" s="598"/>
      <c r="T31" s="598"/>
      <c r="U31" s="598"/>
      <c r="V31" s="598"/>
      <c r="W31" s="598"/>
      <c r="X31" s="598"/>
      <c r="Y31" s="598"/>
      <c r="Z31" s="598"/>
      <c r="AA31" s="598"/>
      <c r="AB31" s="598"/>
      <c r="AC31" s="598"/>
    </row>
    <row r="32" spans="2:29" x14ac:dyDescent="0.25">
      <c r="B32" s="71">
        <v>32010001</v>
      </c>
      <c r="C32" s="3" t="s">
        <v>44</v>
      </c>
      <c r="D32" s="42" t="s">
        <v>45</v>
      </c>
      <c r="F32" s="17"/>
      <c r="G32" s="17"/>
      <c r="H32" s="17"/>
      <c r="I32" s="17"/>
      <c r="J32" s="17"/>
      <c r="K32" s="17"/>
      <c r="L32" s="17">
        <v>6.16</v>
      </c>
      <c r="M32" s="17"/>
      <c r="N32" s="17"/>
      <c r="O32" s="17"/>
      <c r="P32" s="17">
        <v>6.42</v>
      </c>
      <c r="Q32" s="17"/>
      <c r="R32" s="17"/>
      <c r="S32" s="17"/>
      <c r="T32" s="17"/>
      <c r="U32" s="20">
        <v>4.82</v>
      </c>
      <c r="V32" s="20"/>
      <c r="W32" s="20"/>
      <c r="X32" s="20">
        <v>5.29</v>
      </c>
      <c r="Y32" s="20">
        <v>5.39</v>
      </c>
      <c r="Z32" s="20"/>
      <c r="AA32" s="20"/>
      <c r="AB32" s="20"/>
      <c r="AC32" s="20"/>
    </row>
    <row r="33" spans="2:29" x14ac:dyDescent="0.25">
      <c r="B33" s="606" t="s">
        <v>290</v>
      </c>
      <c r="C33" s="606"/>
      <c r="D33" s="606"/>
      <c r="F33" s="598"/>
      <c r="G33" s="598"/>
      <c r="H33" s="598"/>
      <c r="I33" s="598"/>
      <c r="J33" s="598"/>
      <c r="K33" s="598"/>
      <c r="L33" s="598"/>
      <c r="M33" s="598"/>
      <c r="N33" s="598"/>
      <c r="O33" s="598"/>
      <c r="P33" s="598"/>
      <c r="Q33" s="598"/>
      <c r="R33" s="598"/>
      <c r="S33" s="598"/>
      <c r="T33" s="598"/>
      <c r="U33" s="598"/>
      <c r="V33" s="598"/>
      <c r="W33" s="598"/>
      <c r="X33" s="598"/>
      <c r="Y33" s="598"/>
      <c r="Z33" s="598"/>
      <c r="AA33" s="598"/>
      <c r="AB33" s="598"/>
      <c r="AC33" s="598"/>
    </row>
    <row r="34" spans="2:29" x14ac:dyDescent="0.25">
      <c r="B34" s="71">
        <v>320100049</v>
      </c>
      <c r="C34" s="3" t="s">
        <v>16</v>
      </c>
      <c r="D34" s="42" t="s">
        <v>45</v>
      </c>
      <c r="F34" s="17"/>
      <c r="G34" s="17"/>
      <c r="H34" s="17"/>
      <c r="I34" s="17"/>
      <c r="J34" s="17"/>
      <c r="K34" s="17"/>
      <c r="L34" s="17"/>
      <c r="M34" s="17">
        <v>116.69</v>
      </c>
      <c r="N34" s="17"/>
      <c r="O34" s="17"/>
      <c r="P34" s="17"/>
      <c r="Q34" s="17"/>
      <c r="R34" s="17"/>
      <c r="S34" s="17"/>
      <c r="T34" s="17"/>
      <c r="U34" s="20"/>
      <c r="V34" s="20"/>
      <c r="W34" s="20"/>
      <c r="X34" s="20"/>
      <c r="Y34" s="20"/>
      <c r="Z34" s="20"/>
      <c r="AA34" s="20"/>
      <c r="AB34" s="20"/>
      <c r="AC34" s="20"/>
    </row>
    <row r="35" spans="2:29" x14ac:dyDescent="0.25">
      <c r="B35" s="71">
        <v>320100053</v>
      </c>
      <c r="C35" s="7" t="s">
        <v>46</v>
      </c>
      <c r="D35" s="42" t="s">
        <v>47</v>
      </c>
      <c r="F35" s="17"/>
      <c r="G35" s="17"/>
      <c r="H35" s="17"/>
      <c r="I35" s="17"/>
      <c r="J35" s="17"/>
      <c r="K35" s="17"/>
      <c r="L35" s="17"/>
      <c r="M35" s="17">
        <v>14.62</v>
      </c>
      <c r="N35" s="19">
        <v>15</v>
      </c>
      <c r="O35" s="17"/>
      <c r="P35" s="17"/>
      <c r="Q35" s="17"/>
      <c r="R35" s="17"/>
      <c r="S35" s="17"/>
      <c r="T35" s="17"/>
      <c r="U35" s="20"/>
      <c r="V35" s="20"/>
      <c r="W35" s="20"/>
      <c r="X35" s="20">
        <v>13.22</v>
      </c>
      <c r="Y35" s="20"/>
      <c r="Z35" s="20"/>
      <c r="AA35" s="20"/>
      <c r="AB35" s="20"/>
      <c r="AC35" s="20"/>
    </row>
    <row r="36" spans="2:29" x14ac:dyDescent="0.25">
      <c r="B36" s="71">
        <v>320100073</v>
      </c>
      <c r="C36" s="3" t="s">
        <v>17</v>
      </c>
      <c r="D36" s="42" t="s">
        <v>45</v>
      </c>
      <c r="F36" s="17"/>
      <c r="G36" s="17"/>
      <c r="H36" s="17"/>
      <c r="I36" s="17"/>
      <c r="J36" s="17"/>
      <c r="K36" s="17"/>
      <c r="L36" s="17"/>
      <c r="M36" s="17">
        <v>4.29</v>
      </c>
      <c r="N36" s="19">
        <v>4.4000000000000004</v>
      </c>
      <c r="O36" s="17"/>
      <c r="P36" s="17"/>
      <c r="Q36" s="17"/>
      <c r="R36" s="17"/>
      <c r="S36" s="17"/>
      <c r="T36" s="17"/>
      <c r="U36" s="20"/>
      <c r="V36" s="20"/>
      <c r="W36" s="20"/>
      <c r="X36" s="20">
        <v>3.35</v>
      </c>
      <c r="Y36" s="20"/>
      <c r="Z36" s="20"/>
      <c r="AA36" s="20"/>
      <c r="AB36" s="20"/>
      <c r="AC36" s="20"/>
    </row>
    <row r="37" spans="2:29" x14ac:dyDescent="0.25">
      <c r="B37" s="606"/>
      <c r="C37" s="606"/>
      <c r="D37" s="606"/>
      <c r="F37" s="598"/>
      <c r="G37" s="598"/>
      <c r="H37" s="598"/>
      <c r="I37" s="598"/>
      <c r="J37" s="598"/>
      <c r="K37" s="598"/>
      <c r="L37" s="598"/>
      <c r="M37" s="598"/>
      <c r="N37" s="598"/>
      <c r="O37" s="598"/>
      <c r="P37" s="598"/>
      <c r="Q37" s="598"/>
      <c r="R37" s="598"/>
      <c r="S37" s="598"/>
      <c r="T37" s="598"/>
      <c r="U37" s="598"/>
      <c r="V37" s="598"/>
      <c r="W37" s="598"/>
      <c r="X37" s="598"/>
      <c r="Y37" s="598"/>
      <c r="Z37" s="598"/>
      <c r="AA37" s="598"/>
      <c r="AB37" s="598"/>
      <c r="AC37" s="598"/>
    </row>
    <row r="38" spans="2:29" x14ac:dyDescent="0.25">
      <c r="B38" s="607">
        <v>32130001</v>
      </c>
      <c r="C38" s="3" t="s">
        <v>110</v>
      </c>
      <c r="D38" s="42" t="s">
        <v>45</v>
      </c>
      <c r="F38" s="17"/>
      <c r="G38" s="17"/>
      <c r="H38" s="17"/>
      <c r="I38" s="17">
        <v>121.27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20">
        <v>142</v>
      </c>
      <c r="V38" s="20"/>
      <c r="W38" s="20"/>
      <c r="X38" s="20"/>
      <c r="Y38" s="20"/>
      <c r="Z38" s="20"/>
      <c r="AA38" s="20">
        <v>143.68</v>
      </c>
      <c r="AB38" s="20"/>
      <c r="AC38" s="20"/>
    </row>
    <row r="39" spans="2:29" x14ac:dyDescent="0.25">
      <c r="B39" s="607"/>
      <c r="C39" s="12" t="s">
        <v>111</v>
      </c>
      <c r="D39" s="43" t="s">
        <v>45</v>
      </c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80">
        <v>28.25</v>
      </c>
      <c r="X39" s="38"/>
      <c r="Y39" s="38"/>
      <c r="Z39" s="38"/>
      <c r="AA39" s="38"/>
      <c r="AB39" s="38"/>
      <c r="AC39" s="38"/>
    </row>
    <row r="40" spans="2:29" x14ac:dyDescent="0.25">
      <c r="B40" s="71">
        <v>322300022</v>
      </c>
      <c r="C40" s="3" t="s">
        <v>34</v>
      </c>
      <c r="D40" s="42" t="s">
        <v>45</v>
      </c>
      <c r="F40" s="17"/>
      <c r="G40" s="17">
        <v>47.04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20">
        <v>44.16</v>
      </c>
      <c r="V40" s="20"/>
      <c r="W40" s="20"/>
      <c r="X40" s="20">
        <v>48</v>
      </c>
      <c r="Y40" s="20"/>
      <c r="Z40" s="20"/>
      <c r="AA40" s="20"/>
      <c r="AB40" s="20"/>
      <c r="AC40" s="20"/>
    </row>
    <row r="41" spans="2:29" x14ac:dyDescent="0.25">
      <c r="B41" s="73">
        <v>321500181</v>
      </c>
      <c r="C41" s="84" t="s">
        <v>292</v>
      </c>
      <c r="D41" s="42" t="s">
        <v>45</v>
      </c>
      <c r="F41" s="17"/>
      <c r="G41" s="17"/>
      <c r="H41" s="17"/>
      <c r="I41" s="17"/>
      <c r="J41" s="17">
        <v>5336.9</v>
      </c>
      <c r="K41" s="17"/>
      <c r="L41" s="17"/>
      <c r="M41" s="17"/>
      <c r="N41" s="19">
        <v>6050</v>
      </c>
      <c r="O41" s="17"/>
      <c r="P41" s="17"/>
      <c r="Q41" s="17"/>
      <c r="R41" s="17"/>
      <c r="S41" s="17"/>
      <c r="T41" s="17"/>
      <c r="U41" s="20"/>
      <c r="V41" s="20"/>
      <c r="W41" s="20"/>
      <c r="X41" s="20"/>
      <c r="Y41" s="20"/>
      <c r="Z41" s="20"/>
      <c r="AA41" s="20"/>
      <c r="AB41" s="20"/>
      <c r="AC41" s="20"/>
    </row>
    <row r="42" spans="2:29" x14ac:dyDescent="0.25">
      <c r="B42" s="606" t="s">
        <v>270</v>
      </c>
      <c r="C42" s="606"/>
      <c r="D42" s="606"/>
      <c r="F42" s="599"/>
      <c r="G42" s="600"/>
      <c r="H42" s="600"/>
      <c r="I42" s="600"/>
      <c r="J42" s="600"/>
      <c r="K42" s="600"/>
      <c r="L42" s="600"/>
      <c r="M42" s="600"/>
      <c r="N42" s="600"/>
      <c r="O42" s="600"/>
      <c r="P42" s="600"/>
      <c r="Q42" s="600"/>
      <c r="R42" s="600"/>
      <c r="S42" s="600"/>
      <c r="T42" s="600"/>
      <c r="U42" s="600"/>
      <c r="V42" s="600"/>
      <c r="W42" s="600"/>
      <c r="X42" s="600"/>
      <c r="Y42" s="600"/>
      <c r="Z42" s="600"/>
      <c r="AA42" s="600"/>
      <c r="AB42" s="600"/>
      <c r="AC42" s="601"/>
    </row>
    <row r="43" spans="2:29" x14ac:dyDescent="0.25">
      <c r="B43" s="71">
        <v>321220013</v>
      </c>
      <c r="C43" s="76" t="s">
        <v>109</v>
      </c>
      <c r="D43" s="45" t="s">
        <v>62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</row>
    <row r="44" spans="2:29" x14ac:dyDescent="0.25">
      <c r="B44" s="612"/>
      <c r="C44" s="612"/>
      <c r="D44" s="612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</row>
    <row r="45" spans="2:29" x14ac:dyDescent="0.25">
      <c r="B45" s="71">
        <v>322300061</v>
      </c>
      <c r="C45" s="3" t="s">
        <v>122</v>
      </c>
      <c r="D45" s="42" t="s">
        <v>45</v>
      </c>
      <c r="F45" s="17"/>
      <c r="G45" s="17">
        <v>187.08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20"/>
      <c r="V45" s="20"/>
      <c r="W45" s="20"/>
      <c r="X45" s="20"/>
      <c r="Y45" s="20"/>
      <c r="Z45" s="20"/>
      <c r="AA45" s="20"/>
      <c r="AB45" s="20"/>
      <c r="AC45" s="20"/>
    </row>
    <row r="46" spans="2:29" x14ac:dyDescent="0.25">
      <c r="B46" s="613"/>
      <c r="C46" s="613"/>
      <c r="D46" s="613"/>
      <c r="F46" s="598"/>
      <c r="G46" s="598"/>
      <c r="H46" s="598"/>
      <c r="I46" s="598"/>
      <c r="J46" s="598"/>
      <c r="K46" s="598"/>
      <c r="L46" s="598"/>
      <c r="M46" s="598"/>
      <c r="N46" s="598"/>
      <c r="O46" s="598"/>
      <c r="P46" s="598"/>
      <c r="Q46" s="598"/>
      <c r="R46" s="598"/>
      <c r="S46" s="598"/>
      <c r="T46" s="598"/>
      <c r="U46" s="598"/>
      <c r="V46" s="598"/>
      <c r="W46" s="598"/>
      <c r="X46" s="598"/>
      <c r="Y46" s="598"/>
      <c r="Z46" s="598"/>
      <c r="AA46" s="598"/>
      <c r="AB46" s="598"/>
      <c r="AC46" s="598"/>
    </row>
    <row r="47" spans="2:29" x14ac:dyDescent="0.25">
      <c r="B47" s="73">
        <v>320300033</v>
      </c>
      <c r="C47" s="12" t="s">
        <v>64</v>
      </c>
      <c r="D47" s="43" t="s">
        <v>62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>
        <v>349.92</v>
      </c>
      <c r="S47" s="17"/>
      <c r="T47" s="17"/>
      <c r="U47" s="20"/>
      <c r="V47" s="20"/>
      <c r="W47" s="20"/>
      <c r="X47" s="20"/>
      <c r="Y47" s="20"/>
      <c r="Z47" s="20"/>
      <c r="AA47" s="20"/>
      <c r="AB47" s="20"/>
      <c r="AC47" s="20"/>
    </row>
    <row r="48" spans="2:29" x14ac:dyDescent="0.25">
      <c r="B48" s="613"/>
      <c r="C48" s="613"/>
      <c r="D48" s="613"/>
      <c r="F48" s="598"/>
      <c r="G48" s="598"/>
      <c r="H48" s="598"/>
      <c r="I48" s="598"/>
      <c r="J48" s="598"/>
      <c r="K48" s="598"/>
      <c r="L48" s="598"/>
      <c r="M48" s="598"/>
      <c r="N48" s="598"/>
      <c r="O48" s="598"/>
      <c r="P48" s="598"/>
      <c r="Q48" s="598"/>
      <c r="R48" s="598"/>
      <c r="S48" s="598"/>
      <c r="T48" s="598"/>
      <c r="U48" s="598"/>
      <c r="V48" s="598"/>
      <c r="W48" s="598"/>
      <c r="X48" s="598"/>
      <c r="Y48" s="598"/>
      <c r="Z48" s="598"/>
      <c r="AA48" s="598"/>
      <c r="AB48" s="598"/>
      <c r="AC48" s="598"/>
    </row>
    <row r="49" spans="2:29" x14ac:dyDescent="0.25">
      <c r="B49" s="72">
        <v>3207000511</v>
      </c>
      <c r="C49" s="4" t="s">
        <v>261</v>
      </c>
      <c r="D49" s="44" t="s">
        <v>45</v>
      </c>
      <c r="F49" s="17"/>
      <c r="G49" s="17"/>
      <c r="H49" s="19">
        <v>59.88</v>
      </c>
      <c r="I49" s="17"/>
      <c r="J49" s="17"/>
      <c r="K49" s="17"/>
      <c r="L49" s="17"/>
      <c r="M49" s="17"/>
      <c r="N49" s="17"/>
      <c r="O49" s="17"/>
      <c r="P49" s="17"/>
      <c r="Q49" s="17"/>
      <c r="R49" s="17">
        <v>16.18</v>
      </c>
      <c r="S49" s="17"/>
      <c r="T49" s="17"/>
      <c r="U49" s="20">
        <v>55.99</v>
      </c>
      <c r="V49" s="20"/>
      <c r="W49" s="20"/>
      <c r="X49" s="20"/>
      <c r="Y49" s="20"/>
      <c r="Z49" s="20"/>
      <c r="AA49" s="20"/>
      <c r="AB49" s="20"/>
      <c r="AC49" s="20"/>
    </row>
    <row r="50" spans="2:29" x14ac:dyDescent="0.25">
      <c r="B50" s="613"/>
      <c r="C50" s="613"/>
      <c r="D50" s="613"/>
      <c r="F50" s="598"/>
      <c r="G50" s="598"/>
      <c r="H50" s="598"/>
      <c r="I50" s="598"/>
      <c r="J50" s="598"/>
      <c r="K50" s="598"/>
      <c r="L50" s="598"/>
      <c r="M50" s="598"/>
      <c r="N50" s="598"/>
      <c r="O50" s="598"/>
      <c r="P50" s="598"/>
      <c r="Q50" s="598"/>
      <c r="R50" s="598"/>
      <c r="S50" s="598"/>
      <c r="T50" s="598"/>
      <c r="U50" s="598"/>
      <c r="V50" s="598"/>
      <c r="W50" s="598"/>
      <c r="X50" s="598"/>
      <c r="Y50" s="598"/>
      <c r="Z50" s="598"/>
      <c r="AA50" s="598"/>
      <c r="AB50" s="598"/>
      <c r="AC50" s="598"/>
    </row>
    <row r="51" spans="2:29" x14ac:dyDescent="0.25">
      <c r="B51" s="71">
        <v>321600012</v>
      </c>
      <c r="C51" s="3" t="s">
        <v>31</v>
      </c>
      <c r="D51" s="42" t="s">
        <v>45</v>
      </c>
      <c r="F51" s="17"/>
      <c r="G51" s="17"/>
      <c r="H51" s="17"/>
      <c r="I51" s="17"/>
      <c r="J51" s="17"/>
      <c r="K51" s="17"/>
      <c r="L51" s="17"/>
      <c r="M51" s="17"/>
      <c r="N51" s="19">
        <v>15.93</v>
      </c>
      <c r="O51" s="17"/>
      <c r="P51" s="17"/>
      <c r="Q51" s="17"/>
      <c r="R51" s="17"/>
      <c r="S51" s="17"/>
      <c r="T51" s="17"/>
      <c r="U51" s="20"/>
      <c r="V51" s="20"/>
      <c r="W51" s="20"/>
      <c r="X51" s="20"/>
      <c r="Y51" s="20"/>
      <c r="Z51" s="20"/>
      <c r="AA51" s="20">
        <v>16.75</v>
      </c>
      <c r="AB51" s="20"/>
      <c r="AC51" s="20"/>
    </row>
    <row r="52" spans="2:29" x14ac:dyDescent="0.25">
      <c r="B52" s="613"/>
      <c r="C52" s="613"/>
      <c r="D52" s="613"/>
      <c r="F52" s="598"/>
      <c r="G52" s="598"/>
      <c r="H52" s="598"/>
      <c r="I52" s="598"/>
      <c r="J52" s="598"/>
      <c r="K52" s="598"/>
      <c r="L52" s="598"/>
      <c r="M52" s="598"/>
      <c r="N52" s="598"/>
      <c r="O52" s="598"/>
      <c r="P52" s="598"/>
      <c r="Q52" s="598"/>
      <c r="R52" s="598"/>
      <c r="S52" s="598"/>
      <c r="T52" s="598"/>
      <c r="U52" s="598"/>
      <c r="V52" s="598"/>
      <c r="W52" s="598"/>
      <c r="X52" s="598"/>
      <c r="Y52" s="598"/>
      <c r="Z52" s="598"/>
      <c r="AA52" s="598"/>
      <c r="AB52" s="598"/>
      <c r="AC52" s="598"/>
    </row>
    <row r="53" spans="2:29" x14ac:dyDescent="0.25">
      <c r="B53" s="71">
        <v>320900071</v>
      </c>
      <c r="C53" s="3" t="s">
        <v>35</v>
      </c>
      <c r="D53" s="42" t="s">
        <v>62</v>
      </c>
      <c r="F53" s="17"/>
      <c r="G53" s="17"/>
      <c r="H53" s="17"/>
      <c r="I53" s="17"/>
      <c r="J53" s="17"/>
      <c r="K53" s="17"/>
      <c r="L53" s="17"/>
      <c r="M53" s="17"/>
      <c r="N53" s="19">
        <v>335</v>
      </c>
      <c r="O53" s="17"/>
      <c r="P53" s="17"/>
      <c r="Q53" s="17"/>
      <c r="R53" s="17"/>
      <c r="S53" s="17"/>
      <c r="T53" s="17"/>
      <c r="U53" s="20"/>
      <c r="V53" s="20"/>
      <c r="W53" s="20"/>
      <c r="X53" s="20"/>
      <c r="Y53" s="20"/>
      <c r="Z53" s="20"/>
      <c r="AA53" s="20"/>
      <c r="AB53" s="20"/>
      <c r="AC53" s="20"/>
    </row>
    <row r="54" spans="2:29" x14ac:dyDescent="0.25">
      <c r="B54" s="606" t="s">
        <v>271</v>
      </c>
      <c r="C54" s="606"/>
      <c r="D54" s="606"/>
      <c r="F54" s="598"/>
      <c r="G54" s="598"/>
      <c r="H54" s="598"/>
      <c r="I54" s="598"/>
      <c r="J54" s="598"/>
      <c r="K54" s="598"/>
      <c r="L54" s="598"/>
      <c r="M54" s="598"/>
      <c r="N54" s="598"/>
      <c r="O54" s="598"/>
      <c r="P54" s="598"/>
      <c r="Q54" s="598"/>
      <c r="R54" s="598"/>
      <c r="S54" s="598"/>
      <c r="T54" s="598"/>
      <c r="U54" s="598"/>
      <c r="V54" s="598"/>
      <c r="W54" s="598"/>
      <c r="X54" s="598"/>
      <c r="Y54" s="598"/>
      <c r="Z54" s="598"/>
      <c r="AA54" s="598"/>
      <c r="AB54" s="598"/>
      <c r="AC54" s="598"/>
    </row>
    <row r="55" spans="2:29" x14ac:dyDescent="0.25">
      <c r="B55" s="607">
        <v>32150002</v>
      </c>
      <c r="C55" s="3" t="s">
        <v>112</v>
      </c>
      <c r="D55" s="42" t="s">
        <v>58</v>
      </c>
      <c r="F55" s="17"/>
      <c r="G55" s="17"/>
      <c r="H55" s="17"/>
      <c r="I55" s="17"/>
      <c r="J55" s="17">
        <v>340.68</v>
      </c>
      <c r="K55" s="17"/>
      <c r="L55" s="17"/>
      <c r="M55" s="17"/>
      <c r="N55" s="19">
        <v>470</v>
      </c>
      <c r="O55" s="17"/>
      <c r="P55" s="17"/>
      <c r="Q55" s="17"/>
      <c r="R55" s="17"/>
      <c r="S55" s="17"/>
      <c r="T55" s="17"/>
      <c r="U55" s="20"/>
      <c r="V55" s="20"/>
      <c r="W55" s="20"/>
      <c r="X55" s="20"/>
      <c r="Y55" s="20"/>
      <c r="Z55" s="20"/>
      <c r="AA55" s="20"/>
      <c r="AB55" s="20"/>
      <c r="AC55" s="20"/>
    </row>
    <row r="56" spans="2:29" x14ac:dyDescent="0.25">
      <c r="B56" s="607"/>
      <c r="C56" s="3" t="s">
        <v>113</v>
      </c>
      <c r="D56" s="42" t="s">
        <v>68</v>
      </c>
      <c r="F56" s="17"/>
      <c r="G56" s="17"/>
      <c r="H56" s="17"/>
      <c r="I56" s="17"/>
      <c r="J56" s="17">
        <v>316.77999999999997</v>
      </c>
      <c r="K56" s="17"/>
      <c r="L56" s="17"/>
      <c r="M56" s="17"/>
      <c r="N56" s="19">
        <v>415.36</v>
      </c>
      <c r="O56" s="17"/>
      <c r="P56" s="17"/>
      <c r="Q56" s="17"/>
      <c r="R56" s="17"/>
      <c r="S56" s="17"/>
      <c r="T56" s="17"/>
      <c r="U56" s="20"/>
      <c r="V56" s="20"/>
      <c r="W56" s="20"/>
      <c r="X56" s="20"/>
      <c r="Y56" s="20"/>
      <c r="Z56" s="20"/>
      <c r="AA56" s="20"/>
      <c r="AB56" s="20"/>
      <c r="AC56" s="20"/>
    </row>
    <row r="57" spans="2:29" x14ac:dyDescent="0.25">
      <c r="B57" s="613"/>
      <c r="C57" s="613"/>
      <c r="D57" s="613"/>
      <c r="F57" s="598"/>
      <c r="G57" s="598"/>
      <c r="H57" s="598"/>
      <c r="I57" s="598"/>
      <c r="J57" s="598"/>
      <c r="K57" s="598"/>
      <c r="L57" s="598"/>
      <c r="M57" s="598"/>
      <c r="N57" s="598"/>
      <c r="O57" s="598"/>
      <c r="P57" s="598"/>
      <c r="Q57" s="598"/>
      <c r="R57" s="598"/>
      <c r="S57" s="598"/>
      <c r="T57" s="598"/>
      <c r="U57" s="598"/>
      <c r="V57" s="598"/>
      <c r="W57" s="598"/>
      <c r="X57" s="598"/>
      <c r="Y57" s="598"/>
      <c r="Z57" s="598"/>
      <c r="AA57" s="598"/>
      <c r="AB57" s="598"/>
      <c r="AC57" s="598"/>
    </row>
    <row r="58" spans="2:29" x14ac:dyDescent="0.25">
      <c r="B58" s="71">
        <v>3212002017</v>
      </c>
      <c r="C58" s="7" t="s">
        <v>108</v>
      </c>
      <c r="D58" s="42" t="s">
        <v>62</v>
      </c>
      <c r="F58" s="17"/>
      <c r="G58" s="17"/>
      <c r="H58" s="17"/>
      <c r="I58" s="17"/>
      <c r="J58" s="17"/>
      <c r="K58" s="17"/>
      <c r="L58" s="17"/>
      <c r="M58" s="17"/>
      <c r="N58" s="19">
        <v>1501.22</v>
      </c>
      <c r="O58" s="17"/>
      <c r="P58" s="17"/>
      <c r="Q58" s="17"/>
      <c r="R58" s="17"/>
      <c r="S58" s="17"/>
      <c r="T58" s="17"/>
      <c r="U58" s="20"/>
      <c r="V58" s="20"/>
      <c r="W58" s="20"/>
      <c r="X58" s="20"/>
      <c r="Y58" s="20"/>
      <c r="Z58" s="20"/>
      <c r="AA58" s="20"/>
      <c r="AB58" s="20"/>
      <c r="AC58" s="20"/>
    </row>
    <row r="59" spans="2:29" x14ac:dyDescent="0.25">
      <c r="B59" s="606" t="s">
        <v>272</v>
      </c>
      <c r="C59" s="606"/>
      <c r="D59" s="606"/>
      <c r="F59" s="598"/>
      <c r="G59" s="598"/>
      <c r="H59" s="598"/>
      <c r="I59" s="598"/>
      <c r="J59" s="598"/>
      <c r="K59" s="598"/>
      <c r="L59" s="598"/>
      <c r="M59" s="598"/>
      <c r="N59" s="598"/>
      <c r="O59" s="598"/>
      <c r="P59" s="598"/>
      <c r="Q59" s="598"/>
      <c r="R59" s="598"/>
      <c r="S59" s="598"/>
      <c r="T59" s="598"/>
      <c r="U59" s="598"/>
      <c r="V59" s="598"/>
      <c r="W59" s="598"/>
      <c r="X59" s="598"/>
      <c r="Y59" s="598"/>
      <c r="Z59" s="598"/>
      <c r="AA59" s="598"/>
      <c r="AB59" s="598"/>
      <c r="AC59" s="598"/>
    </row>
    <row r="60" spans="2:29" x14ac:dyDescent="0.25">
      <c r="B60" s="72">
        <v>32220001</v>
      </c>
      <c r="C60" s="46" t="s">
        <v>280</v>
      </c>
      <c r="D60" s="39" t="s">
        <v>45</v>
      </c>
      <c r="F60" s="17">
        <v>1092</v>
      </c>
      <c r="G60" s="17">
        <v>1092</v>
      </c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20"/>
      <c r="V60" s="20"/>
      <c r="W60" s="20"/>
      <c r="X60" s="20"/>
      <c r="Y60" s="20"/>
      <c r="Z60" s="20"/>
      <c r="AA60" s="20">
        <v>1108.18</v>
      </c>
      <c r="AB60" s="20"/>
      <c r="AC60" s="20"/>
    </row>
    <row r="61" spans="2:29" x14ac:dyDescent="0.25">
      <c r="B61" s="613"/>
      <c r="C61" s="613"/>
      <c r="D61" s="613"/>
      <c r="F61" s="598"/>
      <c r="G61" s="598"/>
      <c r="H61" s="598"/>
      <c r="I61" s="598"/>
      <c r="J61" s="598"/>
      <c r="K61" s="598"/>
      <c r="L61" s="598"/>
      <c r="M61" s="598"/>
      <c r="N61" s="598"/>
      <c r="O61" s="598"/>
      <c r="P61" s="598"/>
      <c r="Q61" s="598"/>
      <c r="R61" s="598"/>
      <c r="S61" s="598"/>
      <c r="T61" s="598"/>
      <c r="U61" s="598"/>
      <c r="V61" s="598"/>
      <c r="W61" s="598"/>
      <c r="X61" s="598"/>
      <c r="Y61" s="598"/>
      <c r="Z61" s="598"/>
      <c r="AA61" s="598"/>
      <c r="AB61" s="598"/>
      <c r="AC61" s="598"/>
    </row>
    <row r="62" spans="2:29" x14ac:dyDescent="0.25">
      <c r="B62" s="71">
        <v>321500041</v>
      </c>
      <c r="C62" s="3" t="s">
        <v>116</v>
      </c>
      <c r="D62" s="42" t="s">
        <v>62</v>
      </c>
      <c r="F62" s="17"/>
      <c r="G62" s="17"/>
      <c r="H62" s="17"/>
      <c r="I62" s="17"/>
      <c r="J62" s="17">
        <v>370.65</v>
      </c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20"/>
      <c r="V62" s="20"/>
      <c r="W62" s="20"/>
      <c r="X62" s="20"/>
      <c r="Y62" s="20"/>
      <c r="Z62" s="20"/>
      <c r="AA62" s="20"/>
      <c r="AB62" s="20"/>
      <c r="AC62" s="20"/>
    </row>
    <row r="63" spans="2:29" x14ac:dyDescent="0.25">
      <c r="B63" s="613"/>
      <c r="C63" s="613"/>
      <c r="D63" s="613"/>
      <c r="F63" s="598"/>
      <c r="G63" s="598"/>
      <c r="H63" s="598"/>
      <c r="I63" s="598"/>
      <c r="J63" s="598"/>
      <c r="K63" s="598"/>
      <c r="L63" s="598"/>
      <c r="M63" s="598"/>
      <c r="N63" s="598"/>
      <c r="O63" s="598"/>
      <c r="P63" s="598"/>
      <c r="Q63" s="598"/>
      <c r="R63" s="598"/>
      <c r="S63" s="598"/>
      <c r="T63" s="598"/>
      <c r="U63" s="598"/>
      <c r="V63" s="598"/>
      <c r="W63" s="598"/>
      <c r="X63" s="598"/>
      <c r="Y63" s="598"/>
      <c r="Z63" s="598"/>
      <c r="AA63" s="598"/>
      <c r="AB63" s="598"/>
      <c r="AC63" s="598"/>
    </row>
    <row r="64" spans="2:29" x14ac:dyDescent="0.25">
      <c r="B64" s="68"/>
      <c r="C64" s="69" t="s">
        <v>368</v>
      </c>
      <c r="D64" s="69" t="s">
        <v>45</v>
      </c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>
        <v>202.65</v>
      </c>
      <c r="S64" s="67">
        <v>174.22</v>
      </c>
      <c r="T64" s="67"/>
      <c r="U64" s="67"/>
      <c r="V64" s="67"/>
      <c r="W64" s="67"/>
      <c r="X64" s="67"/>
      <c r="Y64" s="67"/>
      <c r="Z64" s="67"/>
      <c r="AA64" s="67"/>
      <c r="AB64" s="67"/>
      <c r="AC64" s="67"/>
    </row>
    <row r="65" spans="2:29" x14ac:dyDescent="0.25">
      <c r="B65" s="68"/>
      <c r="C65" s="69" t="s">
        <v>369</v>
      </c>
      <c r="D65" s="69" t="s">
        <v>45</v>
      </c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>
        <v>211.98</v>
      </c>
      <c r="T65" s="78">
        <v>196.63</v>
      </c>
      <c r="U65" s="67"/>
      <c r="V65" s="67"/>
      <c r="W65" s="67"/>
      <c r="X65" s="67"/>
      <c r="Y65" s="67"/>
      <c r="Z65" s="78">
        <v>291.2</v>
      </c>
      <c r="AA65" s="67"/>
      <c r="AB65" s="67"/>
      <c r="AC65" s="67"/>
    </row>
    <row r="66" spans="2:29" x14ac:dyDescent="0.25">
      <c r="B66" s="71">
        <v>3201000612</v>
      </c>
      <c r="C66" s="3" t="s">
        <v>48</v>
      </c>
      <c r="D66" s="42" t="s">
        <v>45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>
        <v>92.15</v>
      </c>
      <c r="S66" s="17"/>
      <c r="T66" s="17"/>
      <c r="U66" s="20"/>
      <c r="V66" s="20"/>
      <c r="W66" s="20"/>
      <c r="X66" s="20">
        <v>90.45</v>
      </c>
      <c r="Y66" s="20"/>
      <c r="Z66" s="20"/>
      <c r="AA66" s="20"/>
      <c r="AB66" s="20"/>
      <c r="AC66" s="20"/>
    </row>
    <row r="67" spans="2:29" x14ac:dyDescent="0.25">
      <c r="B67" s="613"/>
      <c r="C67" s="613"/>
      <c r="D67" s="613"/>
      <c r="F67" s="598"/>
      <c r="G67" s="598"/>
      <c r="H67" s="598"/>
      <c r="I67" s="598"/>
      <c r="J67" s="598"/>
      <c r="K67" s="598"/>
      <c r="L67" s="598"/>
      <c r="M67" s="598"/>
      <c r="N67" s="598"/>
      <c r="O67" s="598"/>
      <c r="P67" s="598"/>
      <c r="Q67" s="598"/>
      <c r="R67" s="598"/>
      <c r="S67" s="598"/>
      <c r="T67" s="598"/>
      <c r="U67" s="598"/>
      <c r="V67" s="598"/>
      <c r="W67" s="598"/>
      <c r="X67" s="598"/>
      <c r="Y67" s="598"/>
      <c r="Z67" s="598"/>
      <c r="AA67" s="598"/>
      <c r="AB67" s="598"/>
      <c r="AC67" s="598"/>
    </row>
    <row r="68" spans="2:29" x14ac:dyDescent="0.25">
      <c r="B68" s="71">
        <v>321500036</v>
      </c>
      <c r="C68" s="3" t="s">
        <v>114</v>
      </c>
      <c r="D68" s="42" t="s">
        <v>115</v>
      </c>
      <c r="F68" s="17"/>
      <c r="G68" s="17"/>
      <c r="H68" s="17"/>
      <c r="I68" s="17"/>
      <c r="J68" s="17">
        <v>1250</v>
      </c>
      <c r="K68" s="17"/>
      <c r="L68" s="17"/>
      <c r="M68" s="17"/>
      <c r="N68" s="19">
        <v>595.20000000000005</v>
      </c>
      <c r="O68" s="17"/>
      <c r="P68" s="17"/>
      <c r="Q68" s="17"/>
      <c r="R68" s="17"/>
      <c r="S68" s="17"/>
      <c r="T68" s="17"/>
      <c r="U68" s="20"/>
      <c r="V68" s="20"/>
      <c r="W68" s="20"/>
      <c r="X68" s="20"/>
      <c r="Y68" s="20"/>
      <c r="Z68" s="20"/>
      <c r="AA68" s="20">
        <v>671.17</v>
      </c>
      <c r="AB68" s="20"/>
      <c r="AC68" s="20"/>
    </row>
    <row r="69" spans="2:29" x14ac:dyDescent="0.25">
      <c r="B69" s="606" t="s">
        <v>273</v>
      </c>
      <c r="C69" s="606"/>
      <c r="D69" s="606"/>
      <c r="F69" s="598"/>
      <c r="G69" s="598"/>
      <c r="H69" s="598"/>
      <c r="I69" s="598"/>
      <c r="J69" s="598"/>
      <c r="K69" s="598"/>
      <c r="L69" s="598"/>
      <c r="M69" s="598"/>
      <c r="N69" s="598"/>
      <c r="O69" s="598"/>
      <c r="P69" s="598"/>
      <c r="Q69" s="598"/>
      <c r="R69" s="598"/>
      <c r="S69" s="598"/>
      <c r="T69" s="598"/>
      <c r="U69" s="598"/>
      <c r="V69" s="598"/>
      <c r="W69" s="598"/>
      <c r="X69" s="598"/>
      <c r="Y69" s="598"/>
      <c r="Z69" s="598"/>
      <c r="AA69" s="598"/>
      <c r="AB69" s="598"/>
      <c r="AC69" s="598"/>
    </row>
    <row r="70" spans="2:29" x14ac:dyDescent="0.25">
      <c r="B70" s="71">
        <v>32050001</v>
      </c>
      <c r="C70" s="3" t="s">
        <v>281</v>
      </c>
      <c r="D70" s="42" t="s">
        <v>45</v>
      </c>
      <c r="F70" s="17"/>
      <c r="G70" s="17"/>
      <c r="H70" s="19">
        <v>9.9600000000000009</v>
      </c>
      <c r="I70" s="17"/>
      <c r="J70" s="17"/>
      <c r="K70" s="17"/>
      <c r="L70" s="17"/>
      <c r="M70" s="17"/>
      <c r="N70" s="19">
        <v>8.6</v>
      </c>
      <c r="O70" s="17"/>
      <c r="P70" s="17"/>
      <c r="Q70" s="17"/>
      <c r="R70" s="17"/>
      <c r="S70" s="17">
        <v>8.5</v>
      </c>
      <c r="T70" s="17"/>
      <c r="U70" s="20"/>
      <c r="V70" s="20"/>
      <c r="W70" s="20"/>
      <c r="X70" s="20"/>
      <c r="Y70" s="20">
        <v>11.86</v>
      </c>
      <c r="Z70" s="20"/>
      <c r="AA70" s="20"/>
      <c r="AB70" s="20"/>
      <c r="AC70" s="20"/>
    </row>
    <row r="71" spans="2:29" x14ac:dyDescent="0.25">
      <c r="B71" s="613"/>
      <c r="C71" s="613"/>
      <c r="D71" s="613"/>
      <c r="F71" s="598"/>
      <c r="G71" s="598"/>
      <c r="H71" s="598"/>
      <c r="I71" s="598"/>
      <c r="J71" s="598"/>
      <c r="K71" s="598"/>
      <c r="L71" s="598"/>
      <c r="M71" s="598"/>
      <c r="N71" s="598"/>
      <c r="O71" s="598"/>
      <c r="P71" s="598"/>
      <c r="Q71" s="598"/>
      <c r="R71" s="598"/>
      <c r="S71" s="598"/>
      <c r="T71" s="598"/>
      <c r="U71" s="598"/>
      <c r="V71" s="598"/>
      <c r="W71" s="598"/>
      <c r="X71" s="598"/>
      <c r="Y71" s="598"/>
      <c r="Z71" s="598"/>
      <c r="AA71" s="598"/>
      <c r="AB71" s="598"/>
      <c r="AC71" s="598"/>
    </row>
    <row r="72" spans="2:29" x14ac:dyDescent="0.25">
      <c r="B72" s="75">
        <v>320700121</v>
      </c>
      <c r="C72" s="4" t="s">
        <v>81</v>
      </c>
      <c r="D72" s="44" t="s">
        <v>45</v>
      </c>
      <c r="F72" s="17">
        <v>114.56</v>
      </c>
      <c r="G72" s="17"/>
      <c r="H72" s="37"/>
      <c r="I72" s="17"/>
      <c r="J72" s="17"/>
      <c r="K72" s="17"/>
      <c r="L72" s="20"/>
      <c r="M72" s="17"/>
      <c r="N72" s="19">
        <v>99.8</v>
      </c>
      <c r="O72" s="17"/>
      <c r="P72" s="17"/>
      <c r="Q72" s="17"/>
      <c r="R72" s="17"/>
      <c r="S72" s="17"/>
      <c r="T72" s="17"/>
      <c r="U72" s="20"/>
      <c r="V72" s="20"/>
      <c r="W72" s="20"/>
      <c r="X72" s="20"/>
      <c r="Y72" s="20"/>
      <c r="Z72" s="20"/>
      <c r="AA72" s="20"/>
      <c r="AB72" s="20"/>
      <c r="AC72" s="20"/>
    </row>
    <row r="73" spans="2:29" x14ac:dyDescent="0.25">
      <c r="B73" s="606" t="s">
        <v>254</v>
      </c>
      <c r="C73" s="606"/>
      <c r="D73" s="606"/>
      <c r="F73" s="598"/>
      <c r="G73" s="598"/>
      <c r="H73" s="598"/>
      <c r="I73" s="598"/>
      <c r="J73" s="598"/>
      <c r="K73" s="598"/>
      <c r="L73" s="598"/>
      <c r="M73" s="598"/>
      <c r="N73" s="598"/>
      <c r="O73" s="598"/>
      <c r="P73" s="598"/>
      <c r="Q73" s="598"/>
      <c r="R73" s="598"/>
      <c r="S73" s="598"/>
      <c r="T73" s="598"/>
      <c r="U73" s="598"/>
      <c r="V73" s="598"/>
      <c r="W73" s="598"/>
      <c r="X73" s="598"/>
      <c r="Y73" s="598"/>
      <c r="Z73" s="598"/>
      <c r="AA73" s="598"/>
      <c r="AB73" s="598"/>
      <c r="AC73" s="598"/>
    </row>
    <row r="74" spans="2:29" x14ac:dyDescent="0.25">
      <c r="B74" s="607">
        <v>32160002</v>
      </c>
      <c r="C74" s="3" t="s">
        <v>118</v>
      </c>
      <c r="D74" s="42" t="s">
        <v>45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20"/>
      <c r="V74" s="20"/>
      <c r="W74" s="20"/>
      <c r="X74" s="20"/>
      <c r="Y74" s="20"/>
      <c r="Z74" s="20"/>
      <c r="AA74" s="20">
        <v>60.89</v>
      </c>
      <c r="AB74" s="20"/>
      <c r="AC74" s="20"/>
    </row>
    <row r="75" spans="2:29" x14ac:dyDescent="0.25">
      <c r="B75" s="607"/>
      <c r="C75" s="3" t="s">
        <v>119</v>
      </c>
      <c r="D75" s="42" t="s">
        <v>45</v>
      </c>
      <c r="F75" s="17"/>
      <c r="G75" s="17">
        <v>84.61</v>
      </c>
      <c r="H75" s="17"/>
      <c r="I75" s="17"/>
      <c r="J75" s="17"/>
      <c r="K75" s="17"/>
      <c r="L75" s="17"/>
      <c r="M75" s="17"/>
      <c r="N75" s="19">
        <v>81</v>
      </c>
      <c r="O75" s="17"/>
      <c r="P75" s="17"/>
      <c r="Q75" s="17"/>
      <c r="R75" s="17"/>
      <c r="S75" s="17"/>
      <c r="T75" s="17"/>
      <c r="U75" s="20"/>
      <c r="V75" s="20"/>
      <c r="W75" s="20"/>
      <c r="X75" s="20"/>
      <c r="Y75" s="20"/>
      <c r="Z75" s="20"/>
      <c r="AA75" s="20">
        <v>68.19</v>
      </c>
      <c r="AB75" s="20"/>
      <c r="AC75" s="20"/>
    </row>
    <row r="76" spans="2:29" x14ac:dyDescent="0.25">
      <c r="B76" s="607"/>
      <c r="C76" s="3" t="s">
        <v>14</v>
      </c>
      <c r="D76" s="42" t="s">
        <v>45</v>
      </c>
      <c r="F76" s="17"/>
      <c r="G76" s="17"/>
      <c r="H76" s="17"/>
      <c r="I76" s="17"/>
      <c r="J76" s="17"/>
      <c r="K76" s="17"/>
      <c r="L76" s="17"/>
      <c r="M76" s="17"/>
      <c r="N76" s="19">
        <v>74</v>
      </c>
      <c r="O76" s="17"/>
      <c r="P76" s="17"/>
      <c r="Q76" s="17"/>
      <c r="R76" s="17"/>
      <c r="S76" s="17">
        <v>74.099999999999994</v>
      </c>
      <c r="T76" s="17"/>
      <c r="U76" s="20"/>
      <c r="V76" s="20"/>
      <c r="W76" s="20"/>
      <c r="X76" s="20">
        <v>51.49</v>
      </c>
      <c r="Y76" s="20"/>
      <c r="Z76" s="20"/>
      <c r="AA76" s="20">
        <v>62.29</v>
      </c>
      <c r="AB76" s="20"/>
      <c r="AC76" s="20"/>
    </row>
    <row r="77" spans="2:29" x14ac:dyDescent="0.25">
      <c r="B77" s="606"/>
      <c r="C77" s="606"/>
      <c r="D77" s="606"/>
      <c r="F77" s="599"/>
      <c r="G77" s="600"/>
      <c r="H77" s="600"/>
      <c r="I77" s="600"/>
      <c r="J77" s="600"/>
      <c r="K77" s="600"/>
      <c r="L77" s="600"/>
      <c r="M77" s="600"/>
      <c r="N77" s="600"/>
      <c r="O77" s="600"/>
      <c r="P77" s="600"/>
      <c r="Q77" s="600"/>
      <c r="R77" s="600"/>
      <c r="S77" s="600"/>
      <c r="T77" s="600"/>
      <c r="U77" s="600"/>
      <c r="V77" s="600"/>
      <c r="W77" s="600"/>
      <c r="X77" s="600"/>
      <c r="Y77" s="600"/>
      <c r="Z77" s="600"/>
      <c r="AA77" s="600"/>
      <c r="AB77" s="600"/>
      <c r="AC77" s="601"/>
    </row>
    <row r="78" spans="2:29" x14ac:dyDescent="0.25">
      <c r="B78" s="73">
        <v>321200161</v>
      </c>
      <c r="C78" s="4" t="s">
        <v>105</v>
      </c>
      <c r="D78" s="44" t="s">
        <v>62</v>
      </c>
      <c r="F78" s="17"/>
      <c r="G78" s="17"/>
      <c r="H78" s="17"/>
      <c r="I78" s="17"/>
      <c r="J78" s="17"/>
      <c r="K78" s="17"/>
      <c r="L78" s="17"/>
      <c r="M78" s="17"/>
      <c r="N78" s="19">
        <v>180</v>
      </c>
      <c r="O78" s="17"/>
      <c r="P78" s="17"/>
      <c r="Q78" s="17"/>
      <c r="R78" s="17"/>
      <c r="S78" s="17">
        <v>176.09</v>
      </c>
      <c r="T78" s="17"/>
      <c r="U78" s="20"/>
      <c r="V78" s="20"/>
      <c r="W78" s="20"/>
      <c r="X78" s="20"/>
      <c r="Y78" s="20"/>
      <c r="Z78" s="20"/>
      <c r="AA78" s="20"/>
      <c r="AB78" s="20"/>
      <c r="AC78" s="20"/>
    </row>
    <row r="79" spans="2:29" x14ac:dyDescent="0.25">
      <c r="B79" s="73">
        <v>321200172</v>
      </c>
      <c r="C79" s="4" t="s">
        <v>106</v>
      </c>
      <c r="D79" s="44" t="s">
        <v>62</v>
      </c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80">
        <v>191.5</v>
      </c>
      <c r="X79" s="38"/>
      <c r="Y79" s="38"/>
      <c r="Z79" s="38"/>
      <c r="AA79" s="38"/>
      <c r="AB79" s="38"/>
      <c r="AC79" s="38"/>
    </row>
    <row r="80" spans="2:29" x14ac:dyDescent="0.25">
      <c r="B80" s="606"/>
      <c r="C80" s="606"/>
      <c r="D80" s="606"/>
      <c r="F80" s="599"/>
      <c r="G80" s="600"/>
      <c r="H80" s="600"/>
      <c r="I80" s="600"/>
      <c r="J80" s="600"/>
      <c r="K80" s="600"/>
      <c r="L80" s="600"/>
      <c r="M80" s="600"/>
      <c r="N80" s="600"/>
      <c r="O80" s="600"/>
      <c r="P80" s="600"/>
      <c r="Q80" s="600"/>
      <c r="R80" s="600"/>
      <c r="S80" s="600"/>
      <c r="T80" s="600"/>
      <c r="U80" s="600"/>
      <c r="V80" s="600"/>
      <c r="W80" s="600"/>
      <c r="X80" s="600"/>
      <c r="Y80" s="600"/>
      <c r="Z80" s="600"/>
      <c r="AA80" s="600"/>
      <c r="AB80" s="600"/>
      <c r="AC80" s="601"/>
    </row>
    <row r="81" spans="2:29" x14ac:dyDescent="0.25">
      <c r="B81" s="73">
        <v>321200192</v>
      </c>
      <c r="C81" s="76" t="s">
        <v>107</v>
      </c>
      <c r="D81" s="45" t="s">
        <v>45</v>
      </c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</row>
    <row r="82" spans="2:29" x14ac:dyDescent="0.25">
      <c r="B82" s="606" t="s">
        <v>253</v>
      </c>
      <c r="C82" s="606"/>
      <c r="D82" s="606"/>
      <c r="F82" s="599"/>
      <c r="G82" s="600"/>
      <c r="H82" s="600"/>
      <c r="I82" s="600"/>
      <c r="J82" s="600"/>
      <c r="K82" s="600"/>
      <c r="L82" s="600"/>
      <c r="M82" s="600"/>
      <c r="N82" s="600"/>
      <c r="O82" s="600"/>
      <c r="P82" s="600"/>
      <c r="Q82" s="600"/>
      <c r="R82" s="600"/>
      <c r="S82" s="600"/>
      <c r="T82" s="600"/>
      <c r="U82" s="600"/>
      <c r="V82" s="600"/>
      <c r="W82" s="600"/>
      <c r="X82" s="600"/>
      <c r="Y82" s="600"/>
      <c r="Z82" s="600"/>
      <c r="AA82" s="600"/>
      <c r="AB82" s="600"/>
      <c r="AC82" s="601"/>
    </row>
    <row r="83" spans="2:29" x14ac:dyDescent="0.25">
      <c r="B83" s="607">
        <v>32020003</v>
      </c>
      <c r="C83" s="3" t="s">
        <v>55</v>
      </c>
      <c r="D83" s="42" t="s">
        <v>54</v>
      </c>
      <c r="F83" s="17"/>
      <c r="G83" s="17"/>
      <c r="H83" s="17"/>
      <c r="I83" s="17"/>
      <c r="J83" s="17"/>
      <c r="K83" s="17"/>
      <c r="L83" s="17"/>
      <c r="M83" s="17"/>
      <c r="N83" s="19">
        <v>2577</v>
      </c>
      <c r="O83" s="17"/>
      <c r="P83" s="17"/>
      <c r="Q83" s="17"/>
      <c r="R83" s="17">
        <v>1048.49</v>
      </c>
      <c r="S83" s="17">
        <v>1236.69</v>
      </c>
      <c r="T83" s="17"/>
      <c r="U83" s="20"/>
      <c r="V83" s="20"/>
      <c r="W83" s="20"/>
      <c r="X83" s="20"/>
      <c r="Y83" s="20"/>
      <c r="Z83" s="20"/>
      <c r="AA83" s="20"/>
      <c r="AB83" s="20"/>
      <c r="AC83" s="20"/>
    </row>
    <row r="84" spans="2:29" x14ac:dyDescent="0.25">
      <c r="B84" s="607"/>
      <c r="C84" s="3" t="s">
        <v>9</v>
      </c>
      <c r="D84" s="42" t="s">
        <v>56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20"/>
      <c r="V84" s="20"/>
      <c r="W84" s="20"/>
      <c r="X84" s="20"/>
      <c r="Y84" s="20"/>
      <c r="Z84" s="20"/>
      <c r="AA84" s="20">
        <v>11.58</v>
      </c>
      <c r="AB84" s="20"/>
      <c r="AC84" s="20"/>
    </row>
    <row r="85" spans="2:29" x14ac:dyDescent="0.25">
      <c r="B85" s="73">
        <v>320200024</v>
      </c>
      <c r="C85" s="4" t="s">
        <v>53</v>
      </c>
      <c r="D85" s="44" t="s">
        <v>54</v>
      </c>
      <c r="F85" s="17"/>
      <c r="G85" s="17"/>
      <c r="H85" s="17"/>
      <c r="I85" s="17"/>
      <c r="J85" s="17">
        <v>2198</v>
      </c>
      <c r="K85" s="17"/>
      <c r="L85" s="17"/>
      <c r="M85" s="17"/>
      <c r="N85" s="19">
        <v>1566.98</v>
      </c>
      <c r="O85" s="17"/>
      <c r="P85" s="17"/>
      <c r="Q85" s="17"/>
      <c r="R85" s="17"/>
      <c r="S85" s="17"/>
      <c r="T85" s="17"/>
      <c r="U85" s="20"/>
      <c r="V85" s="20"/>
      <c r="W85" s="20"/>
      <c r="X85" s="20"/>
      <c r="Y85" s="20"/>
      <c r="Z85" s="20"/>
      <c r="AA85" s="20">
        <v>2193.8000000000002</v>
      </c>
      <c r="AB85" s="20"/>
      <c r="AC85" s="20"/>
    </row>
    <row r="86" spans="2:29" x14ac:dyDescent="0.25">
      <c r="B86" s="606"/>
      <c r="C86" s="606"/>
      <c r="D86" s="606"/>
      <c r="F86" s="598"/>
      <c r="G86" s="598"/>
      <c r="H86" s="598"/>
      <c r="I86" s="598"/>
      <c r="J86" s="598"/>
      <c r="K86" s="598"/>
      <c r="L86" s="598"/>
      <c r="M86" s="598"/>
      <c r="N86" s="598"/>
      <c r="O86" s="598"/>
      <c r="P86" s="598"/>
      <c r="Q86" s="598"/>
      <c r="R86" s="598"/>
      <c r="S86" s="598"/>
      <c r="T86" s="598"/>
      <c r="U86" s="598"/>
      <c r="V86" s="598"/>
      <c r="W86" s="598"/>
      <c r="X86" s="598"/>
      <c r="Y86" s="598"/>
      <c r="Z86" s="598"/>
      <c r="AA86" s="598"/>
      <c r="AB86" s="598"/>
      <c r="AC86" s="598"/>
    </row>
    <row r="87" spans="2:29" x14ac:dyDescent="0.25">
      <c r="B87" s="71">
        <v>320500026</v>
      </c>
      <c r="C87" s="3" t="s">
        <v>19</v>
      </c>
      <c r="D87" s="42" t="s">
        <v>65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>
        <v>182.39</v>
      </c>
      <c r="Q87" s="17"/>
      <c r="R87" s="17">
        <v>179.89</v>
      </c>
      <c r="S87" s="17"/>
      <c r="T87" s="17"/>
      <c r="U87" s="20"/>
      <c r="V87" s="20"/>
      <c r="W87" s="20"/>
      <c r="X87" s="20"/>
      <c r="Y87" s="20"/>
      <c r="Z87" s="20"/>
      <c r="AA87" s="20">
        <v>172.09</v>
      </c>
      <c r="AB87" s="20"/>
      <c r="AC87" s="20"/>
    </row>
    <row r="88" spans="2:29" x14ac:dyDescent="0.25">
      <c r="B88" s="606" t="s">
        <v>274</v>
      </c>
      <c r="C88" s="606"/>
      <c r="D88" s="606"/>
      <c r="F88" s="598"/>
      <c r="G88" s="598"/>
      <c r="H88" s="598"/>
      <c r="I88" s="598"/>
      <c r="J88" s="598"/>
      <c r="K88" s="598"/>
      <c r="L88" s="598"/>
      <c r="M88" s="598"/>
      <c r="N88" s="598"/>
      <c r="O88" s="598"/>
      <c r="P88" s="598"/>
      <c r="Q88" s="598"/>
      <c r="R88" s="598"/>
      <c r="S88" s="598"/>
      <c r="T88" s="598"/>
      <c r="U88" s="598"/>
      <c r="V88" s="598"/>
      <c r="W88" s="598"/>
      <c r="X88" s="598"/>
      <c r="Y88" s="598"/>
      <c r="Z88" s="598"/>
      <c r="AA88" s="598"/>
      <c r="AB88" s="598"/>
      <c r="AC88" s="598"/>
    </row>
    <row r="89" spans="2:29" x14ac:dyDescent="0.25">
      <c r="B89" s="47">
        <v>320100112</v>
      </c>
      <c r="C89" s="5" t="s">
        <v>262</v>
      </c>
      <c r="D89" s="48" t="s">
        <v>49</v>
      </c>
      <c r="F89" s="17"/>
      <c r="G89" s="17"/>
      <c r="H89" s="17"/>
      <c r="I89" s="17"/>
      <c r="J89" s="17"/>
      <c r="K89" s="17"/>
      <c r="L89" s="17">
        <v>389.62</v>
      </c>
      <c r="M89" s="17"/>
      <c r="N89" s="17"/>
      <c r="O89" s="17"/>
      <c r="P89" s="17"/>
      <c r="Q89" s="17"/>
      <c r="R89" s="17"/>
      <c r="S89" s="17"/>
      <c r="T89" s="17"/>
      <c r="U89" s="20">
        <v>409.41</v>
      </c>
      <c r="V89" s="20"/>
      <c r="W89" s="20"/>
      <c r="X89" s="20">
        <v>420.11</v>
      </c>
      <c r="Y89" s="20"/>
      <c r="Z89" s="20"/>
      <c r="AA89" s="20"/>
      <c r="AB89" s="20">
        <v>389.62</v>
      </c>
      <c r="AC89" s="20"/>
    </row>
    <row r="90" spans="2:29" x14ac:dyDescent="0.25">
      <c r="B90" s="47">
        <v>320100123</v>
      </c>
      <c r="C90" s="5" t="s">
        <v>263</v>
      </c>
      <c r="D90" s="48" t="s">
        <v>50</v>
      </c>
      <c r="F90" s="17"/>
      <c r="G90" s="17"/>
      <c r="H90" s="17"/>
      <c r="I90" s="17"/>
      <c r="J90" s="17"/>
      <c r="K90" s="17"/>
      <c r="L90" s="17">
        <v>42.82</v>
      </c>
      <c r="M90" s="17"/>
      <c r="N90" s="17"/>
      <c r="O90" s="17"/>
      <c r="P90" s="17"/>
      <c r="Q90" s="17"/>
      <c r="R90" s="17">
        <v>35.32</v>
      </c>
      <c r="S90" s="17">
        <v>40.200000000000003</v>
      </c>
      <c r="T90" s="17"/>
      <c r="U90" s="20">
        <v>35.9</v>
      </c>
      <c r="V90" s="20"/>
      <c r="W90" s="20"/>
      <c r="X90" s="20"/>
      <c r="Y90" s="20">
        <v>36.04</v>
      </c>
      <c r="Z90" s="20"/>
      <c r="AA90" s="20"/>
      <c r="AB90" s="20"/>
      <c r="AC90" s="20"/>
    </row>
    <row r="91" spans="2:29" x14ac:dyDescent="0.25">
      <c r="B91" s="47">
        <v>3201001710</v>
      </c>
      <c r="C91" s="5" t="s">
        <v>264</v>
      </c>
      <c r="D91" s="48" t="s">
        <v>49</v>
      </c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80">
        <v>485</v>
      </c>
      <c r="X91" s="38"/>
      <c r="Y91" s="38"/>
      <c r="Z91" s="38"/>
      <c r="AA91" s="38"/>
      <c r="AB91" s="38"/>
      <c r="AC91" s="38"/>
    </row>
    <row r="92" spans="2:29" x14ac:dyDescent="0.25">
      <c r="B92" s="606" t="s">
        <v>247</v>
      </c>
      <c r="C92" s="606"/>
      <c r="D92" s="606"/>
      <c r="F92" s="599"/>
      <c r="G92" s="600"/>
      <c r="H92" s="600"/>
      <c r="I92" s="600"/>
      <c r="J92" s="600"/>
      <c r="K92" s="600"/>
      <c r="L92" s="600"/>
      <c r="M92" s="600"/>
      <c r="N92" s="600"/>
      <c r="O92" s="600"/>
      <c r="P92" s="600"/>
      <c r="Q92" s="600"/>
      <c r="R92" s="600"/>
      <c r="S92" s="600"/>
      <c r="T92" s="600"/>
      <c r="U92" s="600"/>
      <c r="V92" s="600"/>
      <c r="W92" s="600"/>
      <c r="X92" s="600"/>
      <c r="Y92" s="600"/>
      <c r="Z92" s="600"/>
      <c r="AA92" s="600"/>
      <c r="AB92" s="600"/>
      <c r="AC92" s="601"/>
    </row>
    <row r="93" spans="2:29" x14ac:dyDescent="0.25">
      <c r="B93" s="607">
        <v>32070006</v>
      </c>
      <c r="C93" s="7" t="s">
        <v>75</v>
      </c>
      <c r="D93" s="49" t="s">
        <v>62</v>
      </c>
      <c r="F93" s="17"/>
      <c r="G93" s="17"/>
      <c r="H93" s="17"/>
      <c r="I93" s="17"/>
      <c r="J93" s="17"/>
      <c r="K93" s="17"/>
      <c r="L93" s="17"/>
      <c r="M93" s="17"/>
      <c r="N93" s="19">
        <v>31.02</v>
      </c>
      <c r="O93" s="17"/>
      <c r="P93" s="17"/>
      <c r="Q93" s="17"/>
      <c r="R93" s="20"/>
      <c r="S93" s="20"/>
      <c r="T93" s="17"/>
      <c r="U93" s="20"/>
      <c r="V93" s="20"/>
      <c r="W93" s="20"/>
      <c r="X93" s="20"/>
      <c r="Y93" s="20"/>
      <c r="Z93" s="20"/>
      <c r="AA93" s="20"/>
      <c r="AB93" s="20"/>
      <c r="AC93" s="20"/>
    </row>
    <row r="94" spans="2:29" x14ac:dyDescent="0.25">
      <c r="B94" s="607"/>
      <c r="C94" s="3" t="s">
        <v>74</v>
      </c>
      <c r="D94" s="42" t="s">
        <v>45</v>
      </c>
      <c r="F94" s="17">
        <v>23.48</v>
      </c>
      <c r="G94" s="17"/>
      <c r="H94" s="17"/>
      <c r="I94" s="17"/>
      <c r="J94" s="17"/>
      <c r="K94" s="17"/>
      <c r="L94" s="17"/>
      <c r="M94" s="17"/>
      <c r="N94" s="19">
        <v>20.61</v>
      </c>
      <c r="O94" s="17"/>
      <c r="P94" s="17">
        <v>32.15</v>
      </c>
      <c r="Q94" s="17"/>
      <c r="R94" s="17">
        <v>19.82</v>
      </c>
      <c r="S94" s="17">
        <v>19.829999999999998</v>
      </c>
      <c r="T94" s="17"/>
      <c r="U94" s="20"/>
      <c r="V94" s="20"/>
      <c r="W94" s="20"/>
      <c r="X94" s="20">
        <v>19.899999999999999</v>
      </c>
      <c r="Y94" s="20"/>
      <c r="Z94" s="20"/>
      <c r="AA94" s="20"/>
      <c r="AB94" s="20"/>
      <c r="AC94" s="20"/>
    </row>
    <row r="95" spans="2:29" x14ac:dyDescent="0.25">
      <c r="B95" s="607"/>
      <c r="C95" s="3" t="s">
        <v>73</v>
      </c>
      <c r="D95" s="42" t="s">
        <v>45</v>
      </c>
      <c r="F95" s="17"/>
      <c r="G95" s="17">
        <v>58.13</v>
      </c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20"/>
      <c r="V95" s="20"/>
      <c r="W95" s="20"/>
      <c r="X95" s="20"/>
      <c r="Y95" s="20"/>
      <c r="Z95" s="20"/>
      <c r="AA95" s="20"/>
      <c r="AB95" s="20"/>
      <c r="AC95" s="20"/>
    </row>
    <row r="96" spans="2:29" x14ac:dyDescent="0.25">
      <c r="B96" s="607"/>
      <c r="C96" s="3" t="s">
        <v>72</v>
      </c>
      <c r="D96" s="42" t="s">
        <v>62</v>
      </c>
      <c r="F96" s="17"/>
      <c r="G96" s="17">
        <v>22.3</v>
      </c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>
        <v>23.98</v>
      </c>
      <c r="T96" s="17"/>
      <c r="U96" s="20"/>
      <c r="V96" s="20"/>
      <c r="W96" s="20"/>
      <c r="X96" s="20"/>
      <c r="Y96" s="20">
        <v>17.91</v>
      </c>
      <c r="Z96" s="20"/>
      <c r="AA96" s="20"/>
      <c r="AB96" s="20"/>
      <c r="AC96" s="20"/>
    </row>
    <row r="97" spans="2:29" x14ac:dyDescent="0.25">
      <c r="B97" s="607"/>
      <c r="C97" s="76" t="s">
        <v>71</v>
      </c>
      <c r="D97" s="45" t="s">
        <v>45</v>
      </c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</row>
    <row r="98" spans="2:29" x14ac:dyDescent="0.25">
      <c r="B98" s="50"/>
      <c r="C98" s="50"/>
      <c r="D98" s="50"/>
      <c r="F98" s="599"/>
      <c r="G98" s="600"/>
      <c r="H98" s="600"/>
      <c r="I98" s="600"/>
      <c r="J98" s="600"/>
      <c r="K98" s="600"/>
      <c r="L98" s="600"/>
      <c r="M98" s="600"/>
      <c r="N98" s="600"/>
      <c r="O98" s="600"/>
      <c r="P98" s="600"/>
      <c r="Q98" s="600"/>
      <c r="R98" s="600"/>
      <c r="S98" s="600"/>
      <c r="T98" s="600"/>
      <c r="U98" s="600"/>
      <c r="V98" s="600"/>
      <c r="W98" s="600"/>
      <c r="X98" s="600"/>
      <c r="Y98" s="600"/>
      <c r="Z98" s="600"/>
      <c r="AA98" s="600"/>
      <c r="AB98" s="600"/>
      <c r="AC98" s="601"/>
    </row>
    <row r="99" spans="2:29" x14ac:dyDescent="0.25">
      <c r="B99" s="74">
        <v>321600081</v>
      </c>
      <c r="C99" s="76" t="s">
        <v>120</v>
      </c>
      <c r="D99" s="45" t="s">
        <v>45</v>
      </c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</row>
    <row r="100" spans="2:29" x14ac:dyDescent="0.25">
      <c r="B100" s="606" t="s">
        <v>252</v>
      </c>
      <c r="C100" s="606"/>
      <c r="D100" s="606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</row>
    <row r="101" spans="2:29" x14ac:dyDescent="0.25">
      <c r="B101" s="40">
        <v>32030001</v>
      </c>
      <c r="C101" s="3" t="s">
        <v>10</v>
      </c>
      <c r="D101" s="42" t="s">
        <v>45</v>
      </c>
      <c r="F101" s="17"/>
      <c r="G101" s="17"/>
      <c r="H101" s="19">
        <v>5.5</v>
      </c>
      <c r="I101" s="17"/>
      <c r="J101" s="17"/>
      <c r="K101" s="17"/>
      <c r="L101" s="17"/>
      <c r="M101" s="17"/>
      <c r="N101" s="19">
        <v>5.5</v>
      </c>
      <c r="O101" s="17"/>
      <c r="P101" s="17">
        <v>4.7699999999999996</v>
      </c>
      <c r="Q101" s="17"/>
      <c r="R101" s="17">
        <v>4.97</v>
      </c>
      <c r="S101" s="17"/>
      <c r="T101" s="17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2:29" x14ac:dyDescent="0.25">
      <c r="B102" s="613"/>
      <c r="C102" s="613"/>
      <c r="D102" s="613"/>
      <c r="F102" s="598"/>
      <c r="G102" s="598"/>
      <c r="H102" s="598"/>
      <c r="I102" s="598"/>
      <c r="J102" s="598"/>
      <c r="K102" s="598"/>
      <c r="L102" s="598"/>
      <c r="M102" s="598"/>
      <c r="N102" s="598"/>
      <c r="O102" s="598"/>
      <c r="P102" s="598"/>
      <c r="Q102" s="598"/>
      <c r="R102" s="598"/>
      <c r="S102" s="598"/>
      <c r="T102" s="598"/>
      <c r="U102" s="598"/>
      <c r="V102" s="598"/>
      <c r="W102" s="598"/>
      <c r="X102" s="598"/>
      <c r="Y102" s="598"/>
      <c r="Z102" s="598"/>
      <c r="AA102" s="598"/>
      <c r="AB102" s="598"/>
      <c r="AC102" s="598"/>
    </row>
    <row r="103" spans="2:29" x14ac:dyDescent="0.25">
      <c r="B103" s="73">
        <v>321500154</v>
      </c>
      <c r="C103" s="4" t="s">
        <v>293</v>
      </c>
      <c r="D103" s="44" t="s">
        <v>62</v>
      </c>
      <c r="F103" s="17"/>
      <c r="G103" s="17"/>
      <c r="H103" s="17"/>
      <c r="I103" s="17"/>
      <c r="J103" s="17">
        <v>125.08</v>
      </c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2:29" x14ac:dyDescent="0.25">
      <c r="B104" s="606" t="s">
        <v>275</v>
      </c>
      <c r="C104" s="606"/>
      <c r="D104" s="606"/>
      <c r="F104" s="598"/>
      <c r="G104" s="598"/>
      <c r="H104" s="598"/>
      <c r="I104" s="598"/>
      <c r="J104" s="598"/>
      <c r="K104" s="598"/>
      <c r="L104" s="598"/>
      <c r="M104" s="598"/>
      <c r="N104" s="598"/>
      <c r="O104" s="598"/>
      <c r="P104" s="598"/>
      <c r="Q104" s="598"/>
      <c r="R104" s="598"/>
      <c r="S104" s="598"/>
      <c r="T104" s="598"/>
      <c r="U104" s="598"/>
      <c r="V104" s="598"/>
      <c r="W104" s="598"/>
      <c r="X104" s="598"/>
      <c r="Y104" s="598"/>
      <c r="Z104" s="598"/>
      <c r="AA104" s="598"/>
      <c r="AB104" s="598"/>
      <c r="AC104" s="598"/>
    </row>
    <row r="105" spans="2:29" x14ac:dyDescent="0.25">
      <c r="B105" s="605">
        <v>32070007</v>
      </c>
      <c r="C105" s="1" t="s">
        <v>77</v>
      </c>
      <c r="D105" s="39" t="s">
        <v>45</v>
      </c>
      <c r="F105" s="17">
        <v>4.75</v>
      </c>
      <c r="G105" s="17"/>
      <c r="H105" s="19">
        <v>4.4000000000000004</v>
      </c>
      <c r="I105" s="17"/>
      <c r="J105" s="17"/>
      <c r="K105" s="17"/>
      <c r="L105" s="17"/>
      <c r="M105" s="17"/>
      <c r="N105" s="19">
        <v>4.91</v>
      </c>
      <c r="O105" s="17"/>
      <c r="P105" s="17"/>
      <c r="Q105" s="17"/>
      <c r="R105" s="17">
        <v>4.07</v>
      </c>
      <c r="S105" s="17"/>
      <c r="T105" s="17"/>
      <c r="U105" s="20">
        <v>4.8</v>
      </c>
      <c r="V105" s="20"/>
      <c r="W105" s="20"/>
      <c r="X105" s="20"/>
      <c r="Y105" s="20"/>
      <c r="Z105" s="79">
        <v>5.19</v>
      </c>
      <c r="AA105" s="20"/>
      <c r="AB105" s="20">
        <v>4.28</v>
      </c>
      <c r="AC105" s="20"/>
    </row>
    <row r="106" spans="2:29" x14ac:dyDescent="0.25">
      <c r="B106" s="605"/>
      <c r="C106" s="1" t="s">
        <v>78</v>
      </c>
      <c r="D106" s="39" t="s">
        <v>45</v>
      </c>
      <c r="F106" s="17">
        <v>6.59</v>
      </c>
      <c r="G106" s="17"/>
      <c r="H106" s="19">
        <v>5.98</v>
      </c>
      <c r="I106" s="17"/>
      <c r="J106" s="17"/>
      <c r="K106" s="17"/>
      <c r="L106" s="17"/>
      <c r="M106" s="17"/>
      <c r="N106" s="19">
        <v>7.2</v>
      </c>
      <c r="O106" s="17"/>
      <c r="P106" s="17">
        <v>5.89</v>
      </c>
      <c r="Q106" s="17"/>
      <c r="R106" s="17">
        <v>6.06</v>
      </c>
      <c r="S106" s="17">
        <v>6.51</v>
      </c>
      <c r="T106" s="17"/>
      <c r="U106" s="20">
        <v>5.89</v>
      </c>
      <c r="V106" s="20"/>
      <c r="W106" s="20"/>
      <c r="X106" s="20"/>
      <c r="Y106" s="20"/>
      <c r="Z106" s="20"/>
      <c r="AA106" s="20"/>
      <c r="AB106" s="20">
        <v>6.68</v>
      </c>
      <c r="AC106" s="20"/>
    </row>
    <row r="107" spans="2:29" x14ac:dyDescent="0.25">
      <c r="B107" s="605"/>
      <c r="C107" s="1" t="s">
        <v>79</v>
      </c>
      <c r="D107" s="39" t="s">
        <v>45</v>
      </c>
      <c r="F107" s="17">
        <v>11.98</v>
      </c>
      <c r="G107" s="17"/>
      <c r="H107" s="19">
        <v>10</v>
      </c>
      <c r="I107" s="17"/>
      <c r="J107" s="17"/>
      <c r="K107" s="17"/>
      <c r="L107" s="17"/>
      <c r="M107" s="17"/>
      <c r="N107" s="19">
        <v>10.38</v>
      </c>
      <c r="O107" s="17"/>
      <c r="P107" s="17">
        <v>9.99</v>
      </c>
      <c r="Q107" s="17"/>
      <c r="R107" s="17">
        <v>10.36</v>
      </c>
      <c r="S107" s="17"/>
      <c r="T107" s="17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2:29" x14ac:dyDescent="0.25">
      <c r="B108" s="605"/>
      <c r="C108" s="6" t="s">
        <v>80</v>
      </c>
      <c r="D108" s="51" t="s">
        <v>45</v>
      </c>
      <c r="F108" s="17">
        <v>27.42</v>
      </c>
      <c r="G108" s="17"/>
      <c r="H108" s="17"/>
      <c r="I108" s="17"/>
      <c r="J108" s="17"/>
      <c r="K108" s="17"/>
      <c r="L108" s="17"/>
      <c r="M108" s="17"/>
      <c r="N108" s="19">
        <v>25.9</v>
      </c>
      <c r="O108" s="17"/>
      <c r="P108" s="17">
        <v>23.5</v>
      </c>
      <c r="Q108" s="17"/>
      <c r="R108" s="17"/>
      <c r="S108" s="17">
        <v>25.05</v>
      </c>
      <c r="T108" s="17"/>
      <c r="U108" s="20">
        <v>29.9</v>
      </c>
      <c r="V108" s="20"/>
      <c r="W108" s="20"/>
      <c r="X108" s="20"/>
      <c r="Y108" s="20"/>
      <c r="Z108" s="20"/>
      <c r="AA108" s="20">
        <v>29.27</v>
      </c>
      <c r="AB108" s="20"/>
      <c r="AC108" s="20"/>
    </row>
    <row r="109" spans="2:29" x14ac:dyDescent="0.25">
      <c r="B109" s="605"/>
      <c r="C109" s="1" t="s">
        <v>76</v>
      </c>
      <c r="D109" s="39" t="s">
        <v>45</v>
      </c>
      <c r="F109" s="17">
        <v>4.1100000000000003</v>
      </c>
      <c r="G109" s="17"/>
      <c r="H109" s="19">
        <v>4.7</v>
      </c>
      <c r="I109" s="17"/>
      <c r="J109" s="17"/>
      <c r="K109" s="17"/>
      <c r="L109" s="17"/>
      <c r="M109" s="17"/>
      <c r="N109" s="19">
        <v>4.5599999999999996</v>
      </c>
      <c r="O109" s="17"/>
      <c r="P109" s="17"/>
      <c r="Q109" s="17"/>
      <c r="R109" s="17">
        <v>3.69</v>
      </c>
      <c r="S109" s="17"/>
      <c r="T109" s="17"/>
      <c r="U109" s="20">
        <v>3.68</v>
      </c>
      <c r="V109" s="20"/>
      <c r="W109" s="20"/>
      <c r="X109" s="20"/>
      <c r="Y109" s="20"/>
      <c r="Z109" s="20"/>
      <c r="AA109" s="20"/>
      <c r="AB109" s="20"/>
      <c r="AC109" s="20"/>
    </row>
    <row r="110" spans="2:29" x14ac:dyDescent="0.25">
      <c r="B110" s="606"/>
      <c r="C110" s="606"/>
      <c r="D110" s="606"/>
      <c r="F110" s="598"/>
      <c r="G110" s="598"/>
      <c r="H110" s="598"/>
      <c r="I110" s="598"/>
      <c r="J110" s="598"/>
      <c r="K110" s="598"/>
      <c r="L110" s="598"/>
      <c r="M110" s="598"/>
      <c r="N110" s="598"/>
      <c r="O110" s="598"/>
      <c r="P110" s="598"/>
      <c r="Q110" s="598"/>
      <c r="R110" s="598"/>
      <c r="S110" s="598"/>
      <c r="T110" s="598"/>
      <c r="U110" s="598"/>
      <c r="V110" s="598"/>
      <c r="W110" s="598"/>
      <c r="X110" s="598"/>
      <c r="Y110" s="598"/>
      <c r="Z110" s="598"/>
      <c r="AA110" s="598"/>
      <c r="AB110" s="598"/>
      <c r="AC110" s="598"/>
    </row>
    <row r="111" spans="2:29" x14ac:dyDescent="0.25">
      <c r="B111" s="71">
        <v>321100011</v>
      </c>
      <c r="C111" s="3" t="s">
        <v>25</v>
      </c>
      <c r="D111" s="42" t="s">
        <v>45</v>
      </c>
      <c r="F111" s="17">
        <v>20.5</v>
      </c>
      <c r="G111" s="17">
        <v>18.97</v>
      </c>
      <c r="H111" s="17"/>
      <c r="I111" s="17"/>
      <c r="J111" s="17"/>
      <c r="K111" s="17"/>
      <c r="L111" s="17"/>
      <c r="M111" s="17"/>
      <c r="N111" s="19">
        <v>19.690000000000001</v>
      </c>
      <c r="O111" s="17"/>
      <c r="P111" s="17"/>
      <c r="Q111" s="17"/>
      <c r="R111" s="17"/>
      <c r="S111" s="17">
        <v>19.98</v>
      </c>
      <c r="T111" s="17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2:29" x14ac:dyDescent="0.25">
      <c r="B112" s="606" t="s">
        <v>291</v>
      </c>
      <c r="C112" s="606"/>
      <c r="D112" s="606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</row>
    <row r="113" spans="2:29" x14ac:dyDescent="0.25">
      <c r="B113" s="619">
        <v>32090019</v>
      </c>
      <c r="C113" s="76" t="s">
        <v>92</v>
      </c>
      <c r="D113" s="45" t="s">
        <v>62</v>
      </c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</row>
    <row r="114" spans="2:29" x14ac:dyDescent="0.25">
      <c r="B114" s="619"/>
      <c r="C114" s="14" t="s">
        <v>90</v>
      </c>
      <c r="D114" s="52" t="s">
        <v>62</v>
      </c>
      <c r="F114" s="17"/>
      <c r="G114" s="17">
        <v>229.88</v>
      </c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20"/>
      <c r="V114" s="20"/>
      <c r="W114" s="20"/>
      <c r="X114" s="20">
        <v>224.37</v>
      </c>
      <c r="Y114" s="20"/>
      <c r="Z114" s="20"/>
      <c r="AA114" s="20"/>
      <c r="AB114" s="20"/>
      <c r="AC114" s="20"/>
    </row>
    <row r="115" spans="2:29" x14ac:dyDescent="0.25">
      <c r="B115" s="619"/>
      <c r="C115" s="14" t="s">
        <v>91</v>
      </c>
      <c r="D115" s="52" t="s">
        <v>62</v>
      </c>
      <c r="F115" s="17"/>
      <c r="G115" s="17"/>
      <c r="H115" s="17"/>
      <c r="I115" s="17"/>
      <c r="J115" s="17"/>
      <c r="K115" s="17"/>
      <c r="L115" s="17"/>
      <c r="M115" s="17"/>
      <c r="N115" s="19">
        <v>293.01</v>
      </c>
      <c r="O115" s="17"/>
      <c r="P115" s="17"/>
      <c r="Q115" s="17"/>
      <c r="R115" s="17"/>
      <c r="S115" s="17"/>
      <c r="T115" s="17"/>
      <c r="U115" s="20"/>
      <c r="V115" s="20"/>
      <c r="W115" s="20"/>
      <c r="X115" s="20">
        <v>261.54000000000002</v>
      </c>
      <c r="Y115" s="20"/>
      <c r="Z115" s="20"/>
      <c r="AA115" s="20"/>
      <c r="AB115" s="20"/>
      <c r="AC115" s="20"/>
    </row>
    <row r="116" spans="2:29" x14ac:dyDescent="0.25">
      <c r="B116" s="620">
        <v>32120004</v>
      </c>
      <c r="C116" s="14" t="s">
        <v>28</v>
      </c>
      <c r="D116" s="52" t="s">
        <v>45</v>
      </c>
      <c r="F116" s="17">
        <v>51.98</v>
      </c>
      <c r="G116" s="17">
        <v>56.39</v>
      </c>
      <c r="H116" s="17"/>
      <c r="I116" s="17"/>
      <c r="J116" s="17"/>
      <c r="K116" s="17"/>
      <c r="L116" s="17"/>
      <c r="M116" s="17"/>
      <c r="N116" s="19">
        <v>61</v>
      </c>
      <c r="O116" s="17"/>
      <c r="P116" s="17"/>
      <c r="Q116" s="17"/>
      <c r="R116" s="17"/>
      <c r="S116" s="17">
        <v>56.42</v>
      </c>
      <c r="T116" s="17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2:29" x14ac:dyDescent="0.25">
      <c r="B117" s="620"/>
      <c r="C117" s="7" t="s">
        <v>98</v>
      </c>
      <c r="D117" s="49" t="s">
        <v>45</v>
      </c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>
        <v>61</v>
      </c>
      <c r="S117" s="17"/>
      <c r="T117" s="17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2:29" x14ac:dyDescent="0.25">
      <c r="B118" s="621">
        <v>32120005</v>
      </c>
      <c r="C118" s="4" t="s">
        <v>102</v>
      </c>
      <c r="D118" s="44" t="s">
        <v>45</v>
      </c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>
        <v>120.51</v>
      </c>
      <c r="Q118" s="17"/>
      <c r="R118" s="17"/>
      <c r="S118" s="17"/>
      <c r="T118" s="17"/>
      <c r="U118" s="20"/>
      <c r="V118" s="20"/>
      <c r="W118" s="20"/>
      <c r="X118" s="20">
        <v>134.44999999999999</v>
      </c>
      <c r="Y118" s="20"/>
      <c r="Z118" s="20"/>
      <c r="AA118" s="20"/>
      <c r="AB118" s="20"/>
      <c r="AC118" s="20"/>
    </row>
    <row r="119" spans="2:29" x14ac:dyDescent="0.25">
      <c r="B119" s="621"/>
      <c r="C119" s="76" t="s">
        <v>99</v>
      </c>
      <c r="D119" s="45" t="s">
        <v>100</v>
      </c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</row>
    <row r="120" spans="2:29" x14ac:dyDescent="0.25">
      <c r="B120" s="621"/>
      <c r="C120" s="76" t="s">
        <v>101</v>
      </c>
      <c r="D120" s="45" t="s">
        <v>100</v>
      </c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</row>
    <row r="121" spans="2:29" x14ac:dyDescent="0.25">
      <c r="B121" s="621"/>
      <c r="C121" s="4" t="s">
        <v>26</v>
      </c>
      <c r="D121" s="44" t="s">
        <v>45</v>
      </c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80">
        <v>116.99</v>
      </c>
      <c r="AA121" s="38"/>
      <c r="AB121" s="38"/>
      <c r="AC121" s="38"/>
    </row>
    <row r="122" spans="2:29" x14ac:dyDescent="0.25">
      <c r="B122" s="606" t="s">
        <v>248</v>
      </c>
      <c r="C122" s="606"/>
      <c r="D122" s="606"/>
      <c r="F122" s="599"/>
      <c r="G122" s="600"/>
      <c r="H122" s="600"/>
      <c r="I122" s="600"/>
      <c r="J122" s="600"/>
      <c r="K122" s="600"/>
      <c r="L122" s="600"/>
      <c r="M122" s="600"/>
      <c r="N122" s="600"/>
      <c r="O122" s="600"/>
      <c r="P122" s="600"/>
      <c r="Q122" s="600"/>
      <c r="R122" s="600"/>
      <c r="S122" s="600"/>
      <c r="T122" s="600"/>
      <c r="U122" s="600"/>
      <c r="V122" s="600"/>
      <c r="W122" s="600"/>
      <c r="X122" s="600"/>
      <c r="Y122" s="600"/>
      <c r="Z122" s="600"/>
      <c r="AA122" s="600"/>
      <c r="AB122" s="600"/>
      <c r="AC122" s="601"/>
    </row>
    <row r="123" spans="2:29" x14ac:dyDescent="0.25">
      <c r="B123" s="73">
        <v>32120011</v>
      </c>
      <c r="C123" s="4" t="s">
        <v>276</v>
      </c>
      <c r="D123" s="44" t="s">
        <v>45</v>
      </c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>
        <v>122.1</v>
      </c>
      <c r="S123" s="17"/>
      <c r="T123" s="17"/>
      <c r="U123" s="20"/>
      <c r="V123" s="20"/>
      <c r="W123" s="20"/>
      <c r="X123" s="20"/>
      <c r="Y123" s="20"/>
      <c r="Z123" s="20"/>
      <c r="AA123" s="20">
        <v>106.69</v>
      </c>
      <c r="AB123" s="20"/>
      <c r="AC123" s="20"/>
    </row>
    <row r="124" spans="2:29" x14ac:dyDescent="0.25">
      <c r="B124" s="606" t="s">
        <v>251</v>
      </c>
      <c r="C124" s="606"/>
      <c r="D124" s="606"/>
      <c r="F124" s="598"/>
      <c r="G124" s="598"/>
      <c r="H124" s="598"/>
      <c r="I124" s="598"/>
      <c r="J124" s="598"/>
      <c r="K124" s="598"/>
      <c r="L124" s="598"/>
      <c r="M124" s="598"/>
      <c r="N124" s="598"/>
      <c r="O124" s="598"/>
      <c r="P124" s="598"/>
      <c r="Q124" s="598"/>
      <c r="R124" s="598"/>
      <c r="S124" s="598"/>
      <c r="T124" s="598"/>
      <c r="U124" s="598"/>
      <c r="V124" s="598"/>
      <c r="W124" s="598"/>
      <c r="X124" s="598"/>
      <c r="Y124" s="598"/>
      <c r="Z124" s="598"/>
      <c r="AA124" s="598"/>
      <c r="AB124" s="598"/>
      <c r="AC124" s="598"/>
    </row>
    <row r="125" spans="2:29" x14ac:dyDescent="0.25">
      <c r="B125" s="607">
        <v>32080004</v>
      </c>
      <c r="C125" s="3" t="s">
        <v>82</v>
      </c>
      <c r="D125" s="42" t="s">
        <v>45</v>
      </c>
      <c r="F125" s="17"/>
      <c r="G125" s="17"/>
      <c r="H125" s="17"/>
      <c r="I125" s="17"/>
      <c r="J125" s="17"/>
      <c r="K125" s="17"/>
      <c r="L125" s="17"/>
      <c r="M125" s="17"/>
      <c r="N125" s="19">
        <v>111.04</v>
      </c>
      <c r="O125" s="17"/>
      <c r="P125" s="17"/>
      <c r="Q125" s="17"/>
      <c r="R125" s="17"/>
      <c r="S125" s="17">
        <v>259</v>
      </c>
      <c r="T125" s="17"/>
      <c r="U125" s="20">
        <v>138.53</v>
      </c>
      <c r="V125" s="20"/>
      <c r="W125" s="20"/>
      <c r="X125" s="20"/>
      <c r="Y125" s="20"/>
      <c r="Z125" s="20"/>
      <c r="AA125" s="20">
        <v>84.12</v>
      </c>
      <c r="AB125" s="20"/>
      <c r="AC125" s="20"/>
    </row>
    <row r="126" spans="2:29" x14ac:dyDescent="0.25">
      <c r="B126" s="607"/>
      <c r="C126" s="3" t="s">
        <v>83</v>
      </c>
      <c r="D126" s="42" t="s">
        <v>45</v>
      </c>
      <c r="F126" s="17"/>
      <c r="G126" s="17"/>
      <c r="H126" s="17"/>
      <c r="I126" s="17"/>
      <c r="J126" s="17"/>
      <c r="K126" s="17"/>
      <c r="L126" s="17"/>
      <c r="M126" s="17"/>
      <c r="N126" s="19">
        <v>111.04</v>
      </c>
      <c r="O126" s="17"/>
      <c r="P126" s="17"/>
      <c r="Q126" s="17"/>
      <c r="R126" s="17"/>
      <c r="S126" s="17"/>
      <c r="T126" s="17"/>
      <c r="U126" s="20">
        <v>138.53</v>
      </c>
      <c r="V126" s="20"/>
      <c r="W126" s="20"/>
      <c r="X126" s="20"/>
      <c r="Y126" s="20"/>
      <c r="Z126" s="20"/>
      <c r="AA126" s="20">
        <v>84.12</v>
      </c>
      <c r="AB126" s="20"/>
      <c r="AC126" s="20"/>
    </row>
    <row r="127" spans="2:29" x14ac:dyDescent="0.25">
      <c r="B127" s="607"/>
      <c r="C127" s="3" t="s">
        <v>8</v>
      </c>
      <c r="D127" s="42" t="s">
        <v>45</v>
      </c>
      <c r="F127" s="17"/>
      <c r="G127" s="17"/>
      <c r="H127" s="19">
        <v>78.599999999999994</v>
      </c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>
        <v>164</v>
      </c>
      <c r="T127" s="17"/>
      <c r="U127" s="20"/>
      <c r="V127" s="20"/>
      <c r="W127" s="20"/>
      <c r="X127" s="20"/>
      <c r="Y127" s="20"/>
      <c r="Z127" s="20"/>
      <c r="AA127" s="20">
        <v>84.12</v>
      </c>
      <c r="AB127" s="20"/>
      <c r="AC127" s="20"/>
    </row>
    <row r="128" spans="2:29" x14ac:dyDescent="0.25">
      <c r="B128" s="73">
        <v>320800057</v>
      </c>
      <c r="C128" s="12" t="s">
        <v>266</v>
      </c>
      <c r="D128" s="43" t="s">
        <v>45</v>
      </c>
      <c r="F128" s="17"/>
      <c r="G128" s="17"/>
      <c r="H128" s="19">
        <v>118.12</v>
      </c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2:29" x14ac:dyDescent="0.25">
      <c r="B129" s="606"/>
      <c r="C129" s="606"/>
      <c r="D129" s="606"/>
      <c r="F129" s="598"/>
      <c r="G129" s="598"/>
      <c r="H129" s="598"/>
      <c r="I129" s="598"/>
      <c r="J129" s="598"/>
      <c r="K129" s="598"/>
      <c r="L129" s="598"/>
      <c r="M129" s="598"/>
      <c r="N129" s="598"/>
      <c r="O129" s="598"/>
      <c r="P129" s="598"/>
      <c r="Q129" s="598"/>
      <c r="R129" s="598"/>
      <c r="S129" s="598"/>
      <c r="T129" s="598"/>
      <c r="U129" s="598"/>
      <c r="V129" s="598"/>
      <c r="W129" s="598"/>
      <c r="X129" s="598"/>
      <c r="Y129" s="598"/>
      <c r="Z129" s="598"/>
      <c r="AA129" s="598"/>
      <c r="AB129" s="598"/>
      <c r="AC129" s="598"/>
    </row>
    <row r="130" spans="2:29" x14ac:dyDescent="0.25">
      <c r="B130" s="71">
        <v>320900102</v>
      </c>
      <c r="C130" s="3" t="s">
        <v>87</v>
      </c>
      <c r="D130" s="42" t="s">
        <v>62</v>
      </c>
      <c r="F130" s="17"/>
      <c r="G130" s="17"/>
      <c r="H130" s="17"/>
      <c r="I130" s="17"/>
      <c r="J130" s="17"/>
      <c r="K130" s="17"/>
      <c r="L130" s="17"/>
      <c r="M130" s="17"/>
      <c r="N130" s="19">
        <v>129.6</v>
      </c>
      <c r="O130" s="17"/>
      <c r="P130" s="17"/>
      <c r="Q130" s="17"/>
      <c r="R130" s="17"/>
      <c r="S130" s="17"/>
      <c r="T130" s="17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2:29" x14ac:dyDescent="0.25">
      <c r="B131" s="606" t="s">
        <v>277</v>
      </c>
      <c r="C131" s="606"/>
      <c r="D131" s="606"/>
      <c r="F131" s="598"/>
      <c r="G131" s="598"/>
      <c r="H131" s="598"/>
      <c r="I131" s="598"/>
      <c r="J131" s="598"/>
      <c r="K131" s="598"/>
      <c r="L131" s="598"/>
      <c r="M131" s="598"/>
      <c r="N131" s="598"/>
      <c r="O131" s="598"/>
      <c r="P131" s="598"/>
      <c r="Q131" s="598"/>
      <c r="R131" s="598"/>
      <c r="S131" s="598"/>
      <c r="T131" s="598"/>
      <c r="U131" s="598"/>
      <c r="V131" s="598"/>
      <c r="W131" s="598"/>
      <c r="X131" s="598"/>
      <c r="Y131" s="598"/>
      <c r="Z131" s="598"/>
      <c r="AA131" s="598"/>
      <c r="AB131" s="598"/>
      <c r="AC131" s="598"/>
    </row>
    <row r="132" spans="2:29" x14ac:dyDescent="0.25">
      <c r="B132" s="71">
        <v>320900135</v>
      </c>
      <c r="C132" s="3" t="s">
        <v>89</v>
      </c>
      <c r="D132" s="42" t="s">
        <v>45</v>
      </c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20"/>
      <c r="V132" s="20"/>
      <c r="W132" s="20"/>
      <c r="X132" s="20">
        <v>30.74</v>
      </c>
      <c r="Y132" s="20"/>
      <c r="Z132" s="20"/>
      <c r="AA132" s="20"/>
      <c r="AB132" s="20">
        <v>24.88</v>
      </c>
      <c r="AC132" s="20"/>
    </row>
    <row r="133" spans="2:29" x14ac:dyDescent="0.25">
      <c r="B133" s="71">
        <v>320900131</v>
      </c>
      <c r="C133" s="3" t="s">
        <v>88</v>
      </c>
      <c r="D133" s="42" t="s">
        <v>45</v>
      </c>
      <c r="F133" s="17"/>
      <c r="G133" s="17">
        <v>22.67</v>
      </c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>
        <v>25.68</v>
      </c>
      <c r="T133" s="17"/>
      <c r="U133" s="20"/>
      <c r="V133" s="20"/>
      <c r="W133" s="20"/>
      <c r="X133" s="20"/>
      <c r="Y133" s="20"/>
      <c r="Z133" s="20"/>
      <c r="AA133" s="20"/>
      <c r="AB133" s="20">
        <v>22.99</v>
      </c>
      <c r="AC133" s="20"/>
    </row>
    <row r="134" spans="2:29" x14ac:dyDescent="0.25">
      <c r="B134" s="606"/>
      <c r="C134" s="606"/>
      <c r="D134" s="606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2:29" x14ac:dyDescent="0.25">
      <c r="B135" s="71">
        <v>320900212</v>
      </c>
      <c r="C135" s="3" t="s">
        <v>24</v>
      </c>
      <c r="D135" s="42" t="s">
        <v>62</v>
      </c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>
        <v>12.75</v>
      </c>
      <c r="S135" s="17"/>
      <c r="T135" s="17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2:29" x14ac:dyDescent="0.25">
      <c r="B136" s="606"/>
      <c r="C136" s="606"/>
      <c r="D136" s="606"/>
      <c r="F136" s="598"/>
      <c r="G136" s="598"/>
      <c r="H136" s="598"/>
      <c r="I136" s="598"/>
      <c r="J136" s="598"/>
      <c r="K136" s="598"/>
      <c r="L136" s="598"/>
      <c r="M136" s="598"/>
      <c r="N136" s="598"/>
      <c r="O136" s="598"/>
      <c r="P136" s="598"/>
      <c r="Q136" s="598"/>
      <c r="R136" s="598"/>
      <c r="S136" s="598"/>
      <c r="T136" s="598"/>
      <c r="U136" s="598"/>
      <c r="V136" s="598"/>
      <c r="W136" s="598"/>
      <c r="X136" s="598"/>
      <c r="Y136" s="598"/>
      <c r="Z136" s="598"/>
      <c r="AA136" s="598"/>
      <c r="AB136" s="598"/>
      <c r="AC136" s="598"/>
    </row>
    <row r="137" spans="2:29" x14ac:dyDescent="0.25">
      <c r="B137" s="71">
        <v>320500044</v>
      </c>
      <c r="C137" s="3" t="s">
        <v>21</v>
      </c>
      <c r="D137" s="42" t="s">
        <v>58</v>
      </c>
      <c r="F137" s="17"/>
      <c r="G137" s="17"/>
      <c r="H137" s="17"/>
      <c r="I137" s="17"/>
      <c r="J137" s="17"/>
      <c r="K137" s="17"/>
      <c r="L137" s="17"/>
      <c r="M137" s="17"/>
      <c r="N137" s="19">
        <v>125.48</v>
      </c>
      <c r="O137" s="17"/>
      <c r="P137" s="17"/>
      <c r="Q137" s="17"/>
      <c r="R137" s="17"/>
      <c r="S137" s="17"/>
      <c r="T137" s="17"/>
      <c r="U137" s="20"/>
      <c r="V137" s="20"/>
      <c r="W137" s="20"/>
      <c r="X137" s="20"/>
      <c r="Y137" s="20"/>
      <c r="Z137" s="20"/>
      <c r="AA137" s="20">
        <v>107.95</v>
      </c>
      <c r="AB137" s="20"/>
      <c r="AC137" s="20"/>
    </row>
    <row r="138" spans="2:29" x14ac:dyDescent="0.25">
      <c r="B138" s="71">
        <v>320500031</v>
      </c>
      <c r="C138" s="3" t="s">
        <v>66</v>
      </c>
      <c r="D138" s="42" t="s">
        <v>58</v>
      </c>
      <c r="F138" s="38">
        <v>1568.85</v>
      </c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</row>
    <row r="139" spans="2:29" x14ac:dyDescent="0.25">
      <c r="B139" s="73">
        <v>321500066</v>
      </c>
      <c r="C139" s="4" t="s">
        <v>284</v>
      </c>
      <c r="D139" s="44" t="s">
        <v>117</v>
      </c>
      <c r="F139" s="17"/>
      <c r="G139" s="17"/>
      <c r="H139" s="17"/>
      <c r="I139" s="17"/>
      <c r="J139" s="17">
        <v>570</v>
      </c>
      <c r="K139" s="17"/>
      <c r="L139" s="17"/>
      <c r="M139" s="17"/>
      <c r="N139" s="19"/>
      <c r="O139" s="17"/>
      <c r="P139" s="17"/>
      <c r="Q139" s="17"/>
      <c r="R139" s="17"/>
      <c r="S139" s="17"/>
      <c r="T139" s="17"/>
      <c r="U139" s="20"/>
      <c r="V139" s="20"/>
      <c r="W139" s="79">
        <v>744.75</v>
      </c>
      <c r="X139" s="20"/>
      <c r="Y139" s="20"/>
      <c r="Z139" s="20"/>
      <c r="AA139" s="20">
        <v>574</v>
      </c>
      <c r="AB139" s="20"/>
      <c r="AC139" s="20"/>
    </row>
    <row r="140" spans="2:29" x14ac:dyDescent="0.25">
      <c r="B140" s="606"/>
      <c r="C140" s="606"/>
      <c r="D140" s="606"/>
      <c r="F140" s="599"/>
      <c r="G140" s="600"/>
      <c r="H140" s="600"/>
      <c r="I140" s="600"/>
      <c r="J140" s="600"/>
      <c r="K140" s="600"/>
      <c r="L140" s="600"/>
      <c r="M140" s="600"/>
      <c r="N140" s="600"/>
      <c r="O140" s="600"/>
      <c r="P140" s="600"/>
      <c r="Q140" s="600"/>
      <c r="R140" s="600"/>
      <c r="S140" s="600"/>
      <c r="T140" s="600"/>
      <c r="U140" s="600"/>
      <c r="V140" s="600"/>
      <c r="W140" s="600"/>
      <c r="X140" s="600"/>
      <c r="Y140" s="600"/>
      <c r="Z140" s="600"/>
      <c r="AA140" s="600"/>
      <c r="AB140" s="600"/>
      <c r="AC140" s="601"/>
    </row>
    <row r="141" spans="2:29" x14ac:dyDescent="0.25">
      <c r="B141" s="71">
        <v>321600051</v>
      </c>
      <c r="C141" s="76" t="s">
        <v>33</v>
      </c>
      <c r="D141" s="45" t="s">
        <v>45</v>
      </c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</row>
    <row r="142" spans="2:29" x14ac:dyDescent="0.25">
      <c r="B142" s="71">
        <v>320900041</v>
      </c>
      <c r="C142" s="3" t="s">
        <v>85</v>
      </c>
      <c r="D142" s="42" t="s">
        <v>62</v>
      </c>
      <c r="F142" s="17"/>
      <c r="G142" s="17"/>
      <c r="H142" s="17"/>
      <c r="I142" s="17"/>
      <c r="J142" s="17"/>
      <c r="K142" s="17"/>
      <c r="L142" s="17"/>
      <c r="M142" s="17"/>
      <c r="N142" s="19">
        <v>13.7</v>
      </c>
      <c r="O142" s="17"/>
      <c r="P142" s="17"/>
      <c r="Q142" s="17"/>
      <c r="R142" s="17"/>
      <c r="S142" s="17">
        <v>22.28</v>
      </c>
      <c r="T142" s="17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2:29" x14ac:dyDescent="0.25">
      <c r="B143" s="606"/>
      <c r="C143" s="606"/>
      <c r="D143" s="606"/>
      <c r="F143" s="598"/>
      <c r="G143" s="598"/>
      <c r="H143" s="598"/>
      <c r="I143" s="598"/>
      <c r="J143" s="598"/>
      <c r="K143" s="598"/>
      <c r="L143" s="598"/>
      <c r="M143" s="598"/>
      <c r="N143" s="598"/>
      <c r="O143" s="598"/>
      <c r="P143" s="598"/>
      <c r="Q143" s="598"/>
      <c r="R143" s="598"/>
      <c r="S143" s="598"/>
      <c r="T143" s="598"/>
      <c r="U143" s="598"/>
      <c r="V143" s="598"/>
      <c r="W143" s="598"/>
      <c r="X143" s="598"/>
      <c r="Y143" s="598"/>
      <c r="Z143" s="598"/>
      <c r="AA143" s="598"/>
      <c r="AB143" s="598"/>
      <c r="AC143" s="598"/>
    </row>
    <row r="144" spans="2:29" x14ac:dyDescent="0.25">
      <c r="B144" s="40">
        <v>321500062</v>
      </c>
      <c r="C144" s="2" t="s">
        <v>265</v>
      </c>
      <c r="D144" s="41" t="s">
        <v>58</v>
      </c>
      <c r="F144" s="17"/>
      <c r="G144" s="17"/>
      <c r="H144" s="17"/>
      <c r="I144" s="17"/>
      <c r="J144" s="17">
        <v>9250</v>
      </c>
      <c r="K144" s="17"/>
      <c r="L144" s="17"/>
      <c r="M144" s="17"/>
      <c r="N144" s="19">
        <v>9200</v>
      </c>
      <c r="O144" s="17"/>
      <c r="P144" s="17"/>
      <c r="Q144" s="17"/>
      <c r="R144" s="17"/>
      <c r="S144" s="17"/>
      <c r="T144" s="17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2:29" x14ac:dyDescent="0.25">
      <c r="B145" s="606" t="s">
        <v>289</v>
      </c>
      <c r="C145" s="606"/>
      <c r="D145" s="606"/>
      <c r="F145" s="598"/>
      <c r="G145" s="598"/>
      <c r="H145" s="598"/>
      <c r="I145" s="598"/>
      <c r="J145" s="598"/>
      <c r="K145" s="598"/>
      <c r="L145" s="598"/>
      <c r="M145" s="598"/>
      <c r="N145" s="598"/>
      <c r="O145" s="598"/>
      <c r="P145" s="598"/>
      <c r="Q145" s="598"/>
      <c r="R145" s="598"/>
      <c r="S145" s="598"/>
      <c r="T145" s="598"/>
      <c r="U145" s="598"/>
      <c r="V145" s="598"/>
      <c r="W145" s="598"/>
      <c r="X145" s="598"/>
      <c r="Y145" s="598"/>
      <c r="Z145" s="598"/>
      <c r="AA145" s="598"/>
      <c r="AB145" s="598"/>
      <c r="AC145" s="598"/>
    </row>
    <row r="146" spans="2:29" x14ac:dyDescent="0.25">
      <c r="B146" s="75">
        <v>3211000211</v>
      </c>
      <c r="C146" s="4" t="s">
        <v>95</v>
      </c>
      <c r="D146" s="44" t="s">
        <v>45</v>
      </c>
      <c r="F146" s="17"/>
      <c r="G146" s="17">
        <v>199.8</v>
      </c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2:29" x14ac:dyDescent="0.25">
      <c r="B147" s="75">
        <v>3211000212</v>
      </c>
      <c r="C147" s="4" t="s">
        <v>96</v>
      </c>
      <c r="D147" s="44" t="s">
        <v>62</v>
      </c>
      <c r="F147" s="17"/>
      <c r="G147" s="17">
        <v>242.95</v>
      </c>
      <c r="H147" s="17"/>
      <c r="I147" s="17"/>
      <c r="J147" s="17"/>
      <c r="K147" s="17"/>
      <c r="L147" s="17"/>
      <c r="M147" s="17"/>
      <c r="N147" s="19">
        <v>228.86</v>
      </c>
      <c r="O147" s="20"/>
      <c r="P147" s="17"/>
      <c r="Q147" s="17"/>
      <c r="R147" s="17"/>
      <c r="S147" s="17"/>
      <c r="T147" s="17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2:29" x14ac:dyDescent="0.25">
      <c r="B148" s="606" t="s">
        <v>249</v>
      </c>
      <c r="C148" s="606"/>
      <c r="D148" s="606"/>
      <c r="F148" s="598"/>
      <c r="G148" s="598"/>
      <c r="H148" s="598"/>
      <c r="I148" s="598"/>
      <c r="J148" s="598"/>
      <c r="K148" s="598"/>
      <c r="L148" s="598"/>
      <c r="M148" s="598"/>
      <c r="N148" s="598"/>
      <c r="O148" s="598"/>
      <c r="P148" s="598"/>
      <c r="Q148" s="598"/>
      <c r="R148" s="598"/>
      <c r="S148" s="598"/>
      <c r="T148" s="598"/>
      <c r="U148" s="598"/>
      <c r="V148" s="598"/>
      <c r="W148" s="598"/>
      <c r="X148" s="598"/>
      <c r="Y148" s="598"/>
      <c r="Z148" s="598"/>
      <c r="AA148" s="598"/>
      <c r="AB148" s="598"/>
      <c r="AC148" s="598"/>
    </row>
    <row r="149" spans="2:29" x14ac:dyDescent="0.25">
      <c r="B149" s="617">
        <v>32130006</v>
      </c>
      <c r="C149" s="12" t="s">
        <v>267</v>
      </c>
      <c r="D149" s="43" t="s">
        <v>62</v>
      </c>
      <c r="F149" s="17"/>
      <c r="G149" s="17"/>
      <c r="H149" s="17"/>
      <c r="I149" s="17"/>
      <c r="J149" s="17"/>
      <c r="K149" s="17"/>
      <c r="L149" s="17"/>
      <c r="M149" s="17"/>
      <c r="N149" s="19">
        <v>24.5</v>
      </c>
      <c r="O149" s="17"/>
      <c r="P149" s="17"/>
      <c r="Q149" s="17"/>
      <c r="R149" s="17">
        <v>21.36</v>
      </c>
      <c r="S149" s="17">
        <v>19.82</v>
      </c>
      <c r="T149" s="17"/>
      <c r="U149" s="20">
        <v>22.39</v>
      </c>
      <c r="V149" s="20"/>
      <c r="W149" s="20"/>
      <c r="X149" s="20"/>
      <c r="Y149" s="20"/>
      <c r="Z149" s="20"/>
      <c r="AA149" s="20">
        <v>19.059999999999999</v>
      </c>
      <c r="AB149" s="20"/>
      <c r="AC149" s="20"/>
    </row>
    <row r="150" spans="2:29" x14ac:dyDescent="0.25">
      <c r="B150" s="617"/>
      <c r="C150" s="12" t="s">
        <v>103</v>
      </c>
      <c r="D150" s="43" t="s">
        <v>45</v>
      </c>
      <c r="F150" s="17"/>
      <c r="G150" s="17"/>
      <c r="H150" s="19">
        <v>26.3</v>
      </c>
      <c r="I150" s="17"/>
      <c r="J150" s="17"/>
      <c r="K150" s="17"/>
      <c r="L150" s="17"/>
      <c r="M150" s="17"/>
      <c r="N150" s="19">
        <v>43.04</v>
      </c>
      <c r="O150" s="17"/>
      <c r="P150" s="17"/>
      <c r="Q150" s="17"/>
      <c r="R150" s="17"/>
      <c r="S150" s="17">
        <v>25.6</v>
      </c>
      <c r="T150" s="17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2:29" x14ac:dyDescent="0.25">
      <c r="B151" s="40">
        <v>322300033</v>
      </c>
      <c r="C151" s="2" t="s">
        <v>297</v>
      </c>
      <c r="D151" s="41" t="s">
        <v>62</v>
      </c>
      <c r="F151" s="17"/>
      <c r="G151" s="17"/>
      <c r="H151" s="17"/>
      <c r="I151" s="17"/>
      <c r="J151" s="17"/>
      <c r="K151" s="17"/>
      <c r="L151" s="17"/>
      <c r="M151" s="17"/>
      <c r="N151" s="19">
        <v>71.900000000000006</v>
      </c>
      <c r="O151" s="17"/>
      <c r="P151" s="17"/>
      <c r="Q151" s="17"/>
      <c r="R151" s="17">
        <v>71.7</v>
      </c>
      <c r="S151" s="17">
        <v>69.2</v>
      </c>
      <c r="T151" s="17"/>
      <c r="U151" s="20">
        <v>60.69</v>
      </c>
      <c r="V151" s="20"/>
      <c r="W151" s="20"/>
      <c r="X151" s="20"/>
      <c r="Y151" s="20">
        <v>57.7</v>
      </c>
      <c r="Z151" s="20"/>
      <c r="AA151" s="20"/>
      <c r="AB151" s="20"/>
      <c r="AC151" s="20"/>
    </row>
    <row r="152" spans="2:29" x14ac:dyDescent="0.25">
      <c r="B152" s="71">
        <v>322300054</v>
      </c>
      <c r="C152" s="3" t="s">
        <v>121</v>
      </c>
      <c r="D152" s="42" t="s">
        <v>45</v>
      </c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20"/>
      <c r="V152" s="20"/>
      <c r="W152" s="20"/>
      <c r="X152" s="20"/>
      <c r="Y152" s="20"/>
      <c r="Z152" s="20"/>
      <c r="AA152" s="20">
        <v>22.41</v>
      </c>
      <c r="AB152" s="20"/>
      <c r="AC152" s="20"/>
    </row>
    <row r="153" spans="2:29" x14ac:dyDescent="0.25">
      <c r="B153" s="606" t="s">
        <v>360</v>
      </c>
      <c r="C153" s="606"/>
      <c r="D153" s="606"/>
      <c r="F153" s="598"/>
      <c r="G153" s="598"/>
      <c r="H153" s="598"/>
      <c r="I153" s="598"/>
      <c r="J153" s="598"/>
      <c r="K153" s="598"/>
      <c r="L153" s="598"/>
      <c r="M153" s="598"/>
      <c r="N153" s="598"/>
      <c r="O153" s="598"/>
      <c r="P153" s="598"/>
      <c r="Q153" s="598"/>
      <c r="R153" s="598"/>
      <c r="S153" s="598"/>
      <c r="T153" s="598"/>
      <c r="U153" s="598"/>
      <c r="V153" s="598"/>
      <c r="W153" s="598"/>
      <c r="X153" s="598"/>
      <c r="Y153" s="598"/>
      <c r="Z153" s="598"/>
      <c r="AA153" s="598"/>
      <c r="AB153" s="598"/>
      <c r="AC153" s="598"/>
    </row>
    <row r="154" spans="2:29" x14ac:dyDescent="0.25">
      <c r="B154" s="607">
        <v>32020006</v>
      </c>
      <c r="C154" s="3" t="s">
        <v>367</v>
      </c>
      <c r="D154" s="42" t="s">
        <v>58</v>
      </c>
      <c r="F154" s="17"/>
      <c r="G154" s="17"/>
      <c r="H154" s="17"/>
      <c r="I154" s="17"/>
      <c r="J154" s="17"/>
      <c r="K154" s="17"/>
      <c r="L154" s="17"/>
      <c r="M154" s="17"/>
      <c r="N154" s="19">
        <v>203.9</v>
      </c>
      <c r="O154" s="17"/>
      <c r="P154" s="17"/>
      <c r="Q154" s="17"/>
      <c r="R154" s="17">
        <v>155.4</v>
      </c>
      <c r="S154" s="17"/>
      <c r="T154" s="17"/>
      <c r="U154" s="20">
        <v>165.6</v>
      </c>
      <c r="V154" s="20"/>
      <c r="W154" s="20"/>
      <c r="X154" s="20"/>
      <c r="Y154" s="20"/>
      <c r="Z154" s="20"/>
      <c r="AA154" s="20"/>
      <c r="AB154" s="20"/>
      <c r="AC154" s="20"/>
    </row>
    <row r="155" spans="2:29" x14ac:dyDescent="0.25">
      <c r="B155" s="607"/>
      <c r="C155" s="3" t="s">
        <v>2</v>
      </c>
      <c r="D155" s="42" t="s">
        <v>58</v>
      </c>
      <c r="F155" s="17">
        <v>98</v>
      </c>
      <c r="G155" s="17"/>
      <c r="H155" s="19">
        <v>86.09</v>
      </c>
      <c r="I155" s="17"/>
      <c r="J155" s="17"/>
      <c r="K155" s="17"/>
      <c r="L155" s="17"/>
      <c r="M155" s="17"/>
      <c r="N155" s="19">
        <v>87.3</v>
      </c>
      <c r="O155" s="17"/>
      <c r="P155" s="17"/>
      <c r="Q155" s="17"/>
      <c r="R155" s="17">
        <v>89.45</v>
      </c>
      <c r="S155" s="17">
        <v>83.65</v>
      </c>
      <c r="T155" s="17"/>
      <c r="U155" s="20">
        <v>90.8</v>
      </c>
      <c r="V155" s="20"/>
      <c r="W155" s="20"/>
      <c r="X155" s="20"/>
      <c r="Y155" s="20"/>
      <c r="Z155" s="20"/>
      <c r="AA155" s="20">
        <v>98.75</v>
      </c>
      <c r="AB155" s="20"/>
      <c r="AC155" s="20"/>
    </row>
    <row r="156" spans="2:29" x14ac:dyDescent="0.25">
      <c r="B156" s="607"/>
      <c r="C156" s="3" t="s">
        <v>60</v>
      </c>
      <c r="D156" s="42" t="s">
        <v>58</v>
      </c>
      <c r="F156" s="17">
        <v>142.85</v>
      </c>
      <c r="G156" s="17"/>
      <c r="H156" s="19">
        <v>114.5</v>
      </c>
      <c r="I156" s="17"/>
      <c r="J156" s="17"/>
      <c r="K156" s="17"/>
      <c r="L156" s="17"/>
      <c r="M156" s="17"/>
      <c r="N156" s="19">
        <v>156</v>
      </c>
      <c r="O156" s="17"/>
      <c r="P156" s="17"/>
      <c r="Q156" s="17"/>
      <c r="R156" s="17"/>
      <c r="S156" s="17">
        <v>115.91</v>
      </c>
      <c r="T156" s="17"/>
      <c r="U156" s="20">
        <v>87.06</v>
      </c>
      <c r="V156" s="20"/>
      <c r="W156" s="20"/>
      <c r="X156" s="20"/>
      <c r="Y156" s="20"/>
      <c r="Z156" s="20"/>
      <c r="AA156" s="20">
        <v>89.65</v>
      </c>
      <c r="AB156" s="20"/>
      <c r="AC156" s="20"/>
    </row>
    <row r="157" spans="2:29" x14ac:dyDescent="0.25">
      <c r="B157" s="618"/>
      <c r="C157" s="618"/>
      <c r="D157" s="618"/>
      <c r="F157" s="598"/>
      <c r="G157" s="598"/>
      <c r="H157" s="598"/>
      <c r="I157" s="598"/>
      <c r="J157" s="598"/>
      <c r="K157" s="598"/>
      <c r="L157" s="598"/>
      <c r="M157" s="598"/>
      <c r="N157" s="598"/>
      <c r="O157" s="598"/>
      <c r="P157" s="598"/>
      <c r="Q157" s="598"/>
      <c r="R157" s="598"/>
      <c r="S157" s="598"/>
      <c r="T157" s="598"/>
      <c r="U157" s="598"/>
      <c r="V157" s="598"/>
      <c r="W157" s="598"/>
      <c r="X157" s="598"/>
      <c r="Y157" s="598"/>
      <c r="Z157" s="598"/>
      <c r="AA157" s="598"/>
      <c r="AB157" s="598"/>
      <c r="AC157" s="598"/>
    </row>
    <row r="158" spans="2:29" x14ac:dyDescent="0.25">
      <c r="B158" s="71">
        <v>320900052</v>
      </c>
      <c r="C158" s="3" t="s">
        <v>86</v>
      </c>
      <c r="D158" s="42" t="s">
        <v>45</v>
      </c>
      <c r="F158" s="17"/>
      <c r="G158" s="17"/>
      <c r="H158" s="17"/>
      <c r="I158" s="17"/>
      <c r="J158" s="17"/>
      <c r="K158" s="17"/>
      <c r="L158" s="17"/>
      <c r="M158" s="17"/>
      <c r="N158" s="19">
        <v>347.02</v>
      </c>
      <c r="O158" s="17"/>
      <c r="P158" s="17"/>
      <c r="Q158" s="17"/>
      <c r="R158" s="17"/>
      <c r="S158" s="17"/>
      <c r="T158" s="17"/>
      <c r="U158" s="20"/>
      <c r="V158" s="20"/>
      <c r="W158" s="20"/>
      <c r="X158" s="20"/>
      <c r="Y158" s="20">
        <v>309.10000000000002</v>
      </c>
      <c r="Z158" s="20"/>
      <c r="AA158" s="20"/>
      <c r="AB158" s="20"/>
      <c r="AC158" s="20"/>
    </row>
    <row r="159" spans="2:29" x14ac:dyDescent="0.25">
      <c r="B159" s="606"/>
      <c r="C159" s="606"/>
      <c r="D159" s="606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2:29" x14ac:dyDescent="0.25">
      <c r="B160" s="72">
        <v>3212000815</v>
      </c>
      <c r="C160" s="1" t="s">
        <v>104</v>
      </c>
      <c r="D160" s="39" t="s">
        <v>45</v>
      </c>
      <c r="F160" s="17"/>
      <c r="G160" s="17"/>
      <c r="H160" s="17"/>
      <c r="I160" s="17"/>
      <c r="J160" s="17"/>
      <c r="K160" s="17"/>
      <c r="L160" s="17"/>
      <c r="M160" s="17"/>
      <c r="N160" s="19">
        <v>73.2</v>
      </c>
      <c r="O160" s="17">
        <v>69.430000000000007</v>
      </c>
      <c r="P160" s="17"/>
      <c r="Q160" s="17"/>
      <c r="R160" s="17"/>
      <c r="S160" s="17">
        <v>71.900000000000006</v>
      </c>
      <c r="T160" s="17"/>
      <c r="U160" s="20">
        <v>70.36</v>
      </c>
      <c r="V160" s="20"/>
      <c r="W160" s="20"/>
      <c r="X160" s="20"/>
      <c r="Y160" s="20"/>
      <c r="Z160" s="20"/>
      <c r="AA160" s="20"/>
      <c r="AB160" s="20"/>
      <c r="AC160" s="20"/>
    </row>
    <row r="161" spans="2:29" x14ac:dyDescent="0.25">
      <c r="B161" s="75">
        <v>321200332</v>
      </c>
      <c r="C161" s="76" t="s">
        <v>285</v>
      </c>
      <c r="D161" s="45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</row>
    <row r="162" spans="2:29" x14ac:dyDescent="0.25">
      <c r="B162" s="606" t="s">
        <v>250</v>
      </c>
      <c r="C162" s="606"/>
      <c r="D162" s="606"/>
      <c r="F162" s="599"/>
      <c r="G162" s="600"/>
      <c r="H162" s="600"/>
      <c r="I162" s="600"/>
      <c r="J162" s="600"/>
      <c r="K162" s="600"/>
      <c r="L162" s="600"/>
      <c r="M162" s="600"/>
      <c r="N162" s="600"/>
      <c r="O162" s="600"/>
      <c r="P162" s="600"/>
      <c r="Q162" s="600"/>
      <c r="R162" s="600"/>
      <c r="S162" s="600"/>
      <c r="T162" s="600"/>
      <c r="U162" s="600"/>
      <c r="V162" s="600"/>
      <c r="W162" s="600"/>
      <c r="X162" s="600"/>
      <c r="Y162" s="600"/>
      <c r="Z162" s="600"/>
      <c r="AA162" s="600"/>
      <c r="AB162" s="600"/>
      <c r="AC162" s="601"/>
    </row>
    <row r="163" spans="2:29" x14ac:dyDescent="0.25">
      <c r="B163" s="607">
        <v>32060005</v>
      </c>
      <c r="C163" s="3" t="s">
        <v>69</v>
      </c>
      <c r="D163" s="42" t="s">
        <v>68</v>
      </c>
      <c r="F163" s="17"/>
      <c r="G163" s="17"/>
      <c r="H163" s="17"/>
      <c r="I163" s="17"/>
      <c r="J163" s="17"/>
      <c r="K163" s="17"/>
      <c r="L163" s="17"/>
      <c r="M163" s="17"/>
      <c r="N163" s="19">
        <v>123.1</v>
      </c>
      <c r="O163" s="17"/>
      <c r="P163" s="17"/>
      <c r="Q163" s="17"/>
      <c r="R163" s="17">
        <v>108</v>
      </c>
      <c r="S163" s="17"/>
      <c r="T163" s="17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2:29" x14ac:dyDescent="0.25">
      <c r="B164" s="607"/>
      <c r="C164" s="3" t="s">
        <v>23</v>
      </c>
      <c r="D164" s="42" t="s">
        <v>68</v>
      </c>
      <c r="F164" s="17"/>
      <c r="G164" s="17"/>
      <c r="H164" s="17"/>
      <c r="I164" s="17"/>
      <c r="J164" s="17"/>
      <c r="K164" s="17"/>
      <c r="L164" s="17"/>
      <c r="M164" s="17"/>
      <c r="N164" s="19">
        <v>167.5</v>
      </c>
      <c r="O164" s="17"/>
      <c r="P164" s="17"/>
      <c r="Q164" s="17"/>
      <c r="R164" s="17">
        <v>151</v>
      </c>
      <c r="S164" s="17"/>
      <c r="T164" s="17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2:29" x14ac:dyDescent="0.25">
      <c r="B165" s="607"/>
      <c r="C165" s="3" t="s">
        <v>70</v>
      </c>
      <c r="D165" s="42" t="s">
        <v>68</v>
      </c>
      <c r="F165" s="17"/>
      <c r="G165" s="17"/>
      <c r="H165" s="17"/>
      <c r="I165" s="17"/>
      <c r="J165" s="17"/>
      <c r="K165" s="17"/>
      <c r="L165" s="17"/>
      <c r="M165" s="17"/>
      <c r="N165" s="19">
        <v>215.7</v>
      </c>
      <c r="O165" s="17"/>
      <c r="P165" s="17"/>
      <c r="Q165" s="17"/>
      <c r="R165" s="17">
        <v>113.3</v>
      </c>
      <c r="S165" s="17"/>
      <c r="T165" s="17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2:29" x14ac:dyDescent="0.25">
      <c r="B166" s="607">
        <v>32020004</v>
      </c>
      <c r="C166" s="3" t="s">
        <v>57</v>
      </c>
      <c r="D166" s="42" t="s">
        <v>58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>
        <v>24.88</v>
      </c>
      <c r="Q166" s="17"/>
      <c r="R166" s="17"/>
      <c r="S166" s="17"/>
      <c r="T166" s="17"/>
      <c r="U166" s="20"/>
      <c r="V166" s="20"/>
      <c r="W166" s="20"/>
      <c r="X166" s="20">
        <v>20.68</v>
      </c>
      <c r="Y166" s="20"/>
      <c r="Z166" s="20"/>
      <c r="AA166" s="20">
        <v>20.190000000000001</v>
      </c>
      <c r="AB166" s="20"/>
      <c r="AC166" s="20"/>
    </row>
    <row r="167" spans="2:29" x14ac:dyDescent="0.25">
      <c r="B167" s="607"/>
      <c r="C167" s="3" t="s">
        <v>59</v>
      </c>
      <c r="D167" s="42" t="s">
        <v>58</v>
      </c>
      <c r="F167" s="17"/>
      <c r="G167" s="17"/>
      <c r="H167" s="17"/>
      <c r="I167" s="17"/>
      <c r="J167" s="17"/>
      <c r="K167" s="17"/>
      <c r="L167" s="17"/>
      <c r="M167" s="17"/>
      <c r="N167" s="19">
        <v>36.36</v>
      </c>
      <c r="O167" s="17"/>
      <c r="P167" s="17">
        <v>33.119999999999997</v>
      </c>
      <c r="Q167" s="17"/>
      <c r="R167" s="17"/>
      <c r="S167" s="17"/>
      <c r="T167" s="17"/>
      <c r="U167" s="20">
        <v>26.6</v>
      </c>
      <c r="V167" s="20"/>
      <c r="W167" s="20"/>
      <c r="X167" s="20">
        <v>29.21</v>
      </c>
      <c r="Y167" s="20"/>
      <c r="Z167" s="20"/>
      <c r="AA167" s="20"/>
      <c r="AB167" s="20"/>
      <c r="AC167" s="20"/>
    </row>
  </sheetData>
  <mergeCells count="123">
    <mergeCell ref="B159:D159"/>
    <mergeCell ref="B162:D162"/>
    <mergeCell ref="B163:B165"/>
    <mergeCell ref="B166:B167"/>
    <mergeCell ref="A2:C2"/>
    <mergeCell ref="B145:D145"/>
    <mergeCell ref="B148:D148"/>
    <mergeCell ref="B149:B150"/>
    <mergeCell ref="B153:D153"/>
    <mergeCell ref="B154:B156"/>
    <mergeCell ref="B157:D157"/>
    <mergeCell ref="B129:D129"/>
    <mergeCell ref="B131:D131"/>
    <mergeCell ref="B134:D134"/>
    <mergeCell ref="B136:D136"/>
    <mergeCell ref="B140:D140"/>
    <mergeCell ref="B143:D143"/>
    <mergeCell ref="B113:B115"/>
    <mergeCell ref="B116:B117"/>
    <mergeCell ref="B118:B121"/>
    <mergeCell ref="B122:D122"/>
    <mergeCell ref="B124:D124"/>
    <mergeCell ref="B125:B127"/>
    <mergeCell ref="B100:D100"/>
    <mergeCell ref="B102:D102"/>
    <mergeCell ref="B104:D104"/>
    <mergeCell ref="B105:B109"/>
    <mergeCell ref="B110:D110"/>
    <mergeCell ref="B112:D112"/>
    <mergeCell ref="B82:D82"/>
    <mergeCell ref="B83:B84"/>
    <mergeCell ref="B86:D86"/>
    <mergeCell ref="B88:D88"/>
    <mergeCell ref="B92:D92"/>
    <mergeCell ref="B93:B97"/>
    <mergeCell ref="B69:D69"/>
    <mergeCell ref="B71:D71"/>
    <mergeCell ref="B73:D73"/>
    <mergeCell ref="B74:B76"/>
    <mergeCell ref="B77:D77"/>
    <mergeCell ref="B80:D80"/>
    <mergeCell ref="B55:B56"/>
    <mergeCell ref="B57:D57"/>
    <mergeCell ref="B59:D59"/>
    <mergeCell ref="B61:D61"/>
    <mergeCell ref="B63:D63"/>
    <mergeCell ref="B67:D67"/>
    <mergeCell ref="B44:D44"/>
    <mergeCell ref="B46:D46"/>
    <mergeCell ref="B48:D48"/>
    <mergeCell ref="B50:D50"/>
    <mergeCell ref="B52:D52"/>
    <mergeCell ref="B54:D54"/>
    <mergeCell ref="B31:D31"/>
    <mergeCell ref="B33:D33"/>
    <mergeCell ref="B37:D37"/>
    <mergeCell ref="B38:B39"/>
    <mergeCell ref="B42:D42"/>
    <mergeCell ref="B21:B22"/>
    <mergeCell ref="B23:D23"/>
    <mergeCell ref="B24:B25"/>
    <mergeCell ref="B26:B27"/>
    <mergeCell ref="B28:D28"/>
    <mergeCell ref="B29:B30"/>
    <mergeCell ref="B7:D7"/>
    <mergeCell ref="B8:D8"/>
    <mergeCell ref="B10:B16"/>
    <mergeCell ref="B17:D17"/>
    <mergeCell ref="B18:B19"/>
    <mergeCell ref="B20:D20"/>
    <mergeCell ref="F110:AC110"/>
    <mergeCell ref="F162:AC162"/>
    <mergeCell ref="F122:AC122"/>
    <mergeCell ref="F140:AC140"/>
    <mergeCell ref="F124:AC124"/>
    <mergeCell ref="F129:AC129"/>
    <mergeCell ref="F131:AC131"/>
    <mergeCell ref="F136:AC136"/>
    <mergeCell ref="F143:AC143"/>
    <mergeCell ref="F145:AC145"/>
    <mergeCell ref="F148:AC148"/>
    <mergeCell ref="F153:AC153"/>
    <mergeCell ref="F157:AC157"/>
    <mergeCell ref="F92:AC92"/>
    <mergeCell ref="F98:AC98"/>
    <mergeCell ref="F86:AC86"/>
    <mergeCell ref="F88:AC88"/>
    <mergeCell ref="F102:AC102"/>
    <mergeCell ref="F104:AC104"/>
    <mergeCell ref="F37:AC37"/>
    <mergeCell ref="F46:AC46"/>
    <mergeCell ref="F77:AC77"/>
    <mergeCell ref="F80:AC80"/>
    <mergeCell ref="F82:AC82"/>
    <mergeCell ref="F69:AC69"/>
    <mergeCell ref="F71:AC71"/>
    <mergeCell ref="F73:AC73"/>
    <mergeCell ref="F61:AC61"/>
    <mergeCell ref="F63:AC63"/>
    <mergeCell ref="F67:AC67"/>
    <mergeCell ref="F48:AC48"/>
    <mergeCell ref="F50:AC50"/>
    <mergeCell ref="F52:AC52"/>
    <mergeCell ref="F54:AC54"/>
    <mergeCell ref="F57:AC57"/>
    <mergeCell ref="F59:AC59"/>
    <mergeCell ref="F4:AC4"/>
    <mergeCell ref="AA6:AC6"/>
    <mergeCell ref="F6:H6"/>
    <mergeCell ref="F10:AC10"/>
    <mergeCell ref="F17:AC17"/>
    <mergeCell ref="F42:AC42"/>
    <mergeCell ref="F20:AC20"/>
    <mergeCell ref="F23:AC23"/>
    <mergeCell ref="F28:AC28"/>
    <mergeCell ref="F31:AC31"/>
    <mergeCell ref="U6:W6"/>
    <mergeCell ref="X6:Z6"/>
    <mergeCell ref="R6:T6"/>
    <mergeCell ref="O6:Q6"/>
    <mergeCell ref="L6:N6"/>
    <mergeCell ref="I6:K6"/>
    <mergeCell ref="F33:AC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showGridLines="0" tabSelected="1" topLeftCell="B19" zoomScale="85" zoomScaleNormal="85" workbookViewId="0">
      <selection activeCell="A129" sqref="A129"/>
    </sheetView>
  </sheetViews>
  <sheetFormatPr baseColWidth="10" defaultRowHeight="15" x14ac:dyDescent="0.25"/>
  <cols>
    <col min="1" max="1" width="0" style="572" hidden="1" customWidth="1"/>
    <col min="3" max="3" width="53.7109375" customWidth="1"/>
    <col min="4" max="4" width="12.85546875" customWidth="1"/>
    <col min="6" max="6" width="20.28515625" style="364" customWidth="1"/>
    <col min="7" max="7" width="13.42578125" style="364" customWidth="1"/>
    <col min="10" max="10" width="11.42578125" style="364"/>
    <col min="16" max="16" width="37.85546875" customWidth="1"/>
    <col min="17" max="17" width="2" customWidth="1"/>
  </cols>
  <sheetData>
    <row r="1" spans="1:17" ht="15.75" thickBot="1" x14ac:dyDescent="0.3">
      <c r="B1" s="255"/>
      <c r="C1" s="654" t="s">
        <v>376</v>
      </c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6"/>
      <c r="O1" s="656"/>
      <c r="P1" s="656"/>
      <c r="Q1" s="657"/>
    </row>
    <row r="2" spans="1:17" x14ac:dyDescent="0.25">
      <c r="B2" s="255"/>
      <c r="C2" s="255"/>
      <c r="D2" s="255"/>
      <c r="E2" s="255"/>
      <c r="H2" s="255"/>
      <c r="I2" s="255"/>
      <c r="K2" s="255"/>
      <c r="L2" s="255"/>
      <c r="M2" s="255"/>
      <c r="N2" s="255"/>
      <c r="O2" s="255"/>
      <c r="P2" s="255"/>
      <c r="Q2" s="255"/>
    </row>
    <row r="3" spans="1:17" x14ac:dyDescent="0.25">
      <c r="B3" s="658" t="s">
        <v>496</v>
      </c>
      <c r="C3" s="659"/>
      <c r="D3" s="608"/>
      <c r="E3" s="608"/>
      <c r="F3" s="660"/>
      <c r="G3" s="660"/>
      <c r="H3" s="608"/>
      <c r="I3" s="608"/>
      <c r="J3" s="608"/>
      <c r="K3" s="608"/>
      <c r="L3" s="608"/>
      <c r="M3" s="608"/>
      <c r="N3" s="608"/>
      <c r="O3" s="608"/>
      <c r="P3" s="608"/>
      <c r="Q3" s="608"/>
    </row>
    <row r="4" spans="1:17" ht="15.75" thickBot="1" x14ac:dyDescent="0.3">
      <c r="B4" s="183"/>
      <c r="C4" s="183"/>
      <c r="D4" s="183"/>
      <c r="E4" s="183"/>
      <c r="F4" s="356"/>
      <c r="G4" s="356"/>
      <c r="H4" s="183"/>
      <c r="I4" s="183"/>
      <c r="J4" s="356"/>
      <c r="K4" s="183"/>
      <c r="L4" s="183"/>
      <c r="M4" s="183"/>
      <c r="N4" s="183"/>
      <c r="O4" s="183"/>
      <c r="P4" s="183"/>
      <c r="Q4" s="183"/>
    </row>
    <row r="5" spans="1:17" ht="15.75" thickBot="1" x14ac:dyDescent="0.3">
      <c r="B5" s="66" t="s">
        <v>123</v>
      </c>
      <c r="C5" s="54" t="s">
        <v>124</v>
      </c>
      <c r="D5" s="53" t="s">
        <v>134</v>
      </c>
      <c r="E5" s="11"/>
      <c r="F5" s="53" t="s">
        <v>125</v>
      </c>
      <c r="G5" s="55" t="s">
        <v>126</v>
      </c>
      <c r="H5" s="56" t="s">
        <v>127</v>
      </c>
      <c r="I5" s="57" t="s">
        <v>128</v>
      </c>
      <c r="J5" s="55" t="s">
        <v>129</v>
      </c>
      <c r="K5" s="53" t="s">
        <v>130</v>
      </c>
      <c r="L5" s="58" t="s">
        <v>131</v>
      </c>
      <c r="M5" s="59" t="s">
        <v>311</v>
      </c>
      <c r="N5" s="60" t="s">
        <v>312</v>
      </c>
      <c r="O5" s="58" t="s">
        <v>313</v>
      </c>
      <c r="P5" s="53" t="s">
        <v>133</v>
      </c>
      <c r="Q5" s="255"/>
    </row>
    <row r="6" spans="1:17" ht="15.75" thickBot="1" x14ac:dyDescent="0.3">
      <c r="B6" s="608"/>
      <c r="C6" s="608"/>
      <c r="D6" s="608"/>
      <c r="E6" s="10"/>
      <c r="F6" s="633" t="s">
        <v>358</v>
      </c>
      <c r="G6" s="633"/>
      <c r="H6" s="633"/>
      <c r="I6" s="633"/>
      <c r="J6" s="633"/>
      <c r="K6" s="633"/>
      <c r="L6" s="633"/>
      <c r="M6" s="633"/>
      <c r="N6" s="633"/>
      <c r="O6" s="633"/>
      <c r="P6" s="633"/>
      <c r="Q6" s="255"/>
    </row>
    <row r="7" spans="1:17" ht="15.75" thickBot="1" x14ac:dyDescent="0.3">
      <c r="B7" s="634" t="s">
        <v>243</v>
      </c>
      <c r="C7" s="635"/>
      <c r="D7" s="636"/>
      <c r="E7" s="8"/>
      <c r="F7" s="637"/>
      <c r="G7" s="638"/>
      <c r="H7" s="638"/>
      <c r="I7" s="638"/>
      <c r="J7" s="638"/>
      <c r="K7" s="638"/>
      <c r="L7" s="638"/>
      <c r="M7" s="638"/>
      <c r="N7" s="638"/>
      <c r="O7" s="638"/>
      <c r="P7" s="639"/>
      <c r="Q7" s="255"/>
    </row>
    <row r="8" spans="1:17" ht="15.75" thickBot="1" x14ac:dyDescent="0.3">
      <c r="B8" s="461">
        <v>321200019</v>
      </c>
      <c r="C8" s="1" t="s">
        <v>97</v>
      </c>
      <c r="D8" s="208" t="s">
        <v>62</v>
      </c>
      <c r="E8" s="8"/>
      <c r="F8" s="386">
        <f>+(G8+J8)/2</f>
        <v>576.625</v>
      </c>
      <c r="G8" s="536">
        <v>361.04</v>
      </c>
      <c r="H8" s="263" t="s">
        <v>325</v>
      </c>
      <c r="I8" s="537" t="s">
        <v>457</v>
      </c>
      <c r="J8" s="398">
        <v>792.21</v>
      </c>
      <c r="K8" s="321" t="s">
        <v>460</v>
      </c>
      <c r="L8" s="131" t="s">
        <v>459</v>
      </c>
      <c r="M8" s="538"/>
      <c r="N8" s="538"/>
      <c r="O8" s="131"/>
      <c r="P8" s="352"/>
      <c r="Q8" s="255"/>
    </row>
    <row r="9" spans="1:17" ht="15.75" thickBot="1" x14ac:dyDescent="0.3">
      <c r="A9" s="572" t="s">
        <v>530</v>
      </c>
      <c r="B9" s="630">
        <v>320700022</v>
      </c>
      <c r="C9" s="3" t="s">
        <v>361</v>
      </c>
      <c r="D9" s="210" t="s">
        <v>62</v>
      </c>
      <c r="E9" s="8"/>
      <c r="F9" s="439">
        <f>(G9)</f>
        <v>3.8961000000000001</v>
      </c>
      <c r="G9" s="377">
        <f>(389.61/100)</f>
        <v>3.8961000000000001</v>
      </c>
      <c r="H9" s="525" t="s">
        <v>357</v>
      </c>
      <c r="I9" s="526" t="s">
        <v>356</v>
      </c>
      <c r="J9" s="527"/>
      <c r="K9" s="527"/>
      <c r="L9" s="527"/>
      <c r="M9" s="527"/>
      <c r="N9" s="527"/>
      <c r="O9" s="528"/>
      <c r="P9" s="353"/>
      <c r="Q9" s="255"/>
    </row>
    <row r="10" spans="1:17" ht="15.75" thickBot="1" x14ac:dyDescent="0.3">
      <c r="A10" s="572" t="s">
        <v>531</v>
      </c>
      <c r="B10" s="631"/>
      <c r="C10" s="3" t="s">
        <v>362</v>
      </c>
      <c r="D10" s="210" t="s">
        <v>62</v>
      </c>
      <c r="E10" s="8"/>
      <c r="F10" s="648" t="s">
        <v>445</v>
      </c>
      <c r="G10" s="649"/>
      <c r="H10" s="649"/>
      <c r="I10" s="649"/>
      <c r="J10" s="649"/>
      <c r="K10" s="649"/>
      <c r="L10" s="649"/>
      <c r="M10" s="649"/>
      <c r="N10" s="649"/>
      <c r="O10" s="649"/>
      <c r="P10" s="650"/>
      <c r="Q10" s="255"/>
    </row>
    <row r="11" spans="1:17" ht="15.75" thickBot="1" x14ac:dyDescent="0.3">
      <c r="A11" s="572" t="s">
        <v>532</v>
      </c>
      <c r="B11" s="631"/>
      <c r="C11" s="3" t="s">
        <v>363</v>
      </c>
      <c r="D11" s="210" t="s">
        <v>62</v>
      </c>
      <c r="E11" s="8"/>
      <c r="F11" s="548">
        <f>(G11+J11)/2</f>
        <v>4.6428500000000001</v>
      </c>
      <c r="G11" s="401">
        <f>(502.6/100)</f>
        <v>5.0259999999999998</v>
      </c>
      <c r="H11" s="525" t="s">
        <v>37</v>
      </c>
      <c r="I11" s="529" t="s">
        <v>381</v>
      </c>
      <c r="J11" s="401">
        <f>(425.97/100)</f>
        <v>4.2597000000000005</v>
      </c>
      <c r="K11" s="525" t="s">
        <v>373</v>
      </c>
      <c r="L11" s="532" t="s">
        <v>380</v>
      </c>
      <c r="M11" s="533"/>
      <c r="N11" s="534"/>
      <c r="O11" s="547"/>
      <c r="P11" s="535" t="s">
        <v>278</v>
      </c>
      <c r="Q11" s="255"/>
    </row>
    <row r="12" spans="1:17" ht="15.75" thickBot="1" x14ac:dyDescent="0.3">
      <c r="A12" s="572" t="s">
        <v>533</v>
      </c>
      <c r="B12" s="631"/>
      <c r="C12" s="462" t="s">
        <v>364</v>
      </c>
      <c r="D12" s="449" t="s">
        <v>62</v>
      </c>
      <c r="E12" s="444"/>
      <c r="F12" s="648" t="s">
        <v>445</v>
      </c>
      <c r="G12" s="649"/>
      <c r="H12" s="649"/>
      <c r="I12" s="649"/>
      <c r="J12" s="649"/>
      <c r="K12" s="649"/>
      <c r="L12" s="649"/>
      <c r="M12" s="649"/>
      <c r="N12" s="649"/>
      <c r="O12" s="649"/>
      <c r="P12" s="650"/>
      <c r="Q12" s="255"/>
    </row>
    <row r="13" spans="1:17" ht="15.75" thickBot="1" x14ac:dyDescent="0.3">
      <c r="A13" s="572" t="s">
        <v>534</v>
      </c>
      <c r="B13" s="631"/>
      <c r="C13" s="3" t="s">
        <v>365</v>
      </c>
      <c r="D13" s="210" t="s">
        <v>62</v>
      </c>
      <c r="E13" s="8"/>
      <c r="F13" s="548">
        <f>(G13)</f>
        <v>5</v>
      </c>
      <c r="G13" s="401">
        <f>(500/100)</f>
        <v>5</v>
      </c>
      <c r="H13" s="525" t="s">
        <v>37</v>
      </c>
      <c r="I13" s="529" t="s">
        <v>382</v>
      </c>
      <c r="J13" s="530"/>
      <c r="K13" s="525"/>
      <c r="L13" s="640"/>
      <c r="M13" s="641"/>
      <c r="N13" s="641"/>
      <c r="O13" s="642"/>
      <c r="P13" s="531"/>
      <c r="Q13" s="255"/>
    </row>
    <row r="14" spans="1:17" ht="15.75" thickBot="1" x14ac:dyDescent="0.3">
      <c r="A14" s="572" t="s">
        <v>535</v>
      </c>
      <c r="B14" s="632"/>
      <c r="C14" s="3" t="s">
        <v>366</v>
      </c>
      <c r="D14" s="210" t="s">
        <v>62</v>
      </c>
      <c r="E14" s="8"/>
      <c r="F14" s="648" t="s">
        <v>445</v>
      </c>
      <c r="G14" s="649"/>
      <c r="H14" s="649"/>
      <c r="I14" s="649"/>
      <c r="J14" s="649"/>
      <c r="K14" s="649"/>
      <c r="L14" s="649"/>
      <c r="M14" s="649"/>
      <c r="N14" s="649"/>
      <c r="O14" s="649"/>
      <c r="P14" s="650"/>
      <c r="Q14" s="255"/>
    </row>
    <row r="15" spans="1:17" ht="15.75" thickBot="1" x14ac:dyDescent="0.3">
      <c r="B15" s="622" t="s">
        <v>244</v>
      </c>
      <c r="C15" s="606"/>
      <c r="D15" s="623"/>
      <c r="E15" s="8"/>
      <c r="F15" s="644"/>
      <c r="G15" s="645"/>
      <c r="H15" s="645"/>
      <c r="I15" s="645"/>
      <c r="J15" s="645"/>
      <c r="K15" s="645"/>
      <c r="L15" s="645"/>
      <c r="M15" s="645"/>
      <c r="N15" s="645"/>
      <c r="O15" s="645"/>
      <c r="P15" s="646"/>
      <c r="Q15" s="255"/>
    </row>
    <row r="16" spans="1:17" ht="15.75" thickBot="1" x14ac:dyDescent="0.3">
      <c r="A16" s="572" t="s">
        <v>498</v>
      </c>
      <c r="B16" s="647">
        <v>31290027</v>
      </c>
      <c r="C16" s="3" t="s">
        <v>42</v>
      </c>
      <c r="D16" s="211" t="s">
        <v>43</v>
      </c>
      <c r="E16" s="8"/>
      <c r="F16" s="549">
        <f>+(G16+J16)/2</f>
        <v>461.1</v>
      </c>
      <c r="G16" s="369">
        <f>296.1*2</f>
        <v>592.20000000000005</v>
      </c>
      <c r="H16" s="304" t="s">
        <v>39</v>
      </c>
      <c r="I16" s="86" t="s">
        <v>494</v>
      </c>
      <c r="J16" s="394">
        <v>330</v>
      </c>
      <c r="K16" s="304" t="s">
        <v>462</v>
      </c>
      <c r="L16" s="86" t="s">
        <v>461</v>
      </c>
      <c r="M16" s="87"/>
      <c r="N16" s="88"/>
      <c r="O16" s="89"/>
      <c r="P16" s="186" t="s">
        <v>495</v>
      </c>
      <c r="Q16" s="255"/>
    </row>
    <row r="17" spans="1:17" ht="15.75" thickBot="1" x14ac:dyDescent="0.3">
      <c r="A17" s="572" t="s">
        <v>497</v>
      </c>
      <c r="B17" s="647"/>
      <c r="C17" s="3" t="s">
        <v>40</v>
      </c>
      <c r="D17" s="211" t="s">
        <v>41</v>
      </c>
      <c r="E17" s="8"/>
      <c r="F17" s="366">
        <f>+(G17+J17)/2</f>
        <v>508.44</v>
      </c>
      <c r="G17" s="370">
        <v>616.88</v>
      </c>
      <c r="H17" s="305" t="s">
        <v>39</v>
      </c>
      <c r="I17" s="90" t="s">
        <v>132</v>
      </c>
      <c r="J17" s="395">
        <v>400</v>
      </c>
      <c r="K17" s="305" t="s">
        <v>462</v>
      </c>
      <c r="L17" s="90" t="s">
        <v>463</v>
      </c>
      <c r="M17" s="91"/>
      <c r="N17" s="91"/>
      <c r="O17" s="92"/>
      <c r="P17" s="567"/>
      <c r="Q17" s="255"/>
    </row>
    <row r="18" spans="1:17" ht="15.75" thickBot="1" x14ac:dyDescent="0.3">
      <c r="B18" s="622" t="s">
        <v>245</v>
      </c>
      <c r="C18" s="606"/>
      <c r="D18" s="623"/>
      <c r="E18" s="8"/>
      <c r="F18" s="627"/>
      <c r="G18" s="628"/>
      <c r="H18" s="628"/>
      <c r="I18" s="628"/>
      <c r="J18" s="628"/>
      <c r="K18" s="628"/>
      <c r="L18" s="628"/>
      <c r="M18" s="628"/>
      <c r="N18" s="628"/>
      <c r="O18" s="628"/>
      <c r="P18" s="626"/>
      <c r="Q18" s="255"/>
    </row>
    <row r="19" spans="1:17" ht="15.75" thickBot="1" x14ac:dyDescent="0.3">
      <c r="A19" s="572" t="s">
        <v>525</v>
      </c>
      <c r="B19" s="643">
        <v>32020001</v>
      </c>
      <c r="C19" s="1" t="s">
        <v>51</v>
      </c>
      <c r="D19" s="208" t="s">
        <v>52</v>
      </c>
      <c r="E19" s="8"/>
      <c r="F19" s="366">
        <f>(G19+J19+M19)/3</f>
        <v>794.7403333333333</v>
      </c>
      <c r="G19" s="367">
        <f>(9149.35/10)</f>
        <v>914.93500000000006</v>
      </c>
      <c r="H19" s="93" t="s">
        <v>0</v>
      </c>
      <c r="I19" s="256" t="s">
        <v>142</v>
      </c>
      <c r="J19" s="396">
        <f>(7142.86/10)</f>
        <v>714.28599999999994</v>
      </c>
      <c r="K19" s="306" t="s">
        <v>144</v>
      </c>
      <c r="L19" s="94" t="s">
        <v>143</v>
      </c>
      <c r="M19" s="87">
        <v>755</v>
      </c>
      <c r="N19" s="95" t="s">
        <v>0</v>
      </c>
      <c r="O19" s="256" t="s">
        <v>314</v>
      </c>
      <c r="P19" s="65" t="s">
        <v>279</v>
      </c>
      <c r="Q19" s="255"/>
    </row>
    <row r="20" spans="1:17" ht="15.75" thickBot="1" x14ac:dyDescent="0.3">
      <c r="A20" s="572" t="s">
        <v>524</v>
      </c>
      <c r="B20" s="643"/>
      <c r="C20" s="12" t="s">
        <v>67</v>
      </c>
      <c r="D20" s="212" t="s">
        <v>68</v>
      </c>
      <c r="E20" s="8"/>
      <c r="F20" s="366">
        <f>+(G20+J20)/2</f>
        <v>176.5</v>
      </c>
      <c r="G20" s="370">
        <f>(4750/25)</f>
        <v>190</v>
      </c>
      <c r="H20" s="305" t="s">
        <v>287</v>
      </c>
      <c r="I20" s="96" t="s">
        <v>286</v>
      </c>
      <c r="J20" s="552">
        <v>163</v>
      </c>
      <c r="K20" s="551" t="s">
        <v>174</v>
      </c>
      <c r="L20" s="97" t="s">
        <v>464</v>
      </c>
      <c r="M20" s="98"/>
      <c r="N20" s="98"/>
      <c r="O20" s="258"/>
      <c r="P20" s="170" t="s">
        <v>467</v>
      </c>
      <c r="Q20" s="255"/>
    </row>
    <row r="21" spans="1:17" ht="15.75" thickBot="1" x14ac:dyDescent="0.3">
      <c r="B21" s="622" t="s">
        <v>268</v>
      </c>
      <c r="C21" s="606"/>
      <c r="D21" s="623"/>
      <c r="E21" s="8"/>
      <c r="F21" s="627"/>
      <c r="G21" s="628"/>
      <c r="H21" s="628"/>
      <c r="I21" s="628"/>
      <c r="J21" s="628"/>
      <c r="K21" s="628"/>
      <c r="L21" s="628"/>
      <c r="M21" s="628"/>
      <c r="N21" s="628"/>
      <c r="O21" s="628"/>
      <c r="P21" s="629"/>
      <c r="Q21" s="255"/>
    </row>
    <row r="22" spans="1:17" ht="15.75" thickBot="1" x14ac:dyDescent="0.3">
      <c r="A22" s="572" t="s">
        <v>564</v>
      </c>
      <c r="B22" s="647">
        <v>321000014</v>
      </c>
      <c r="C22" s="3" t="s">
        <v>93</v>
      </c>
      <c r="D22" s="211" t="s">
        <v>45</v>
      </c>
      <c r="E22" s="8"/>
      <c r="F22" s="371">
        <f>(G22+J22)/2</f>
        <v>330</v>
      </c>
      <c r="G22" s="369">
        <v>340</v>
      </c>
      <c r="H22" s="304" t="s">
        <v>3</v>
      </c>
      <c r="I22" s="99" t="s">
        <v>157</v>
      </c>
      <c r="J22" s="398">
        <f>(3200/10)</f>
        <v>320</v>
      </c>
      <c r="K22" s="309" t="s">
        <v>3</v>
      </c>
      <c r="L22" s="661" t="s">
        <v>315</v>
      </c>
      <c r="M22" s="672"/>
      <c r="N22" s="672"/>
      <c r="O22" s="672"/>
      <c r="P22" s="662"/>
      <c r="Q22" s="255"/>
    </row>
    <row r="23" spans="1:17" ht="15.75" thickBot="1" x14ac:dyDescent="0.3">
      <c r="A23" s="572" t="s">
        <v>565</v>
      </c>
      <c r="B23" s="647"/>
      <c r="C23" s="3" t="s">
        <v>94</v>
      </c>
      <c r="D23" s="211" t="s">
        <v>62</v>
      </c>
      <c r="E23" s="8"/>
      <c r="F23" s="366">
        <f>(G23+J23+M23)/3</f>
        <v>1064.2773333333332</v>
      </c>
      <c r="G23" s="368">
        <v>964</v>
      </c>
      <c r="H23" s="307" t="s">
        <v>320</v>
      </c>
      <c r="I23" s="101" t="s">
        <v>213</v>
      </c>
      <c r="J23" s="399">
        <f>(5844.16/5)</f>
        <v>1168.8319999999999</v>
      </c>
      <c r="K23" s="307" t="s">
        <v>215</v>
      </c>
      <c r="L23" s="102" t="s">
        <v>214</v>
      </c>
      <c r="M23" s="33">
        <f>(10600/10)</f>
        <v>1060</v>
      </c>
      <c r="N23" s="310" t="s">
        <v>320</v>
      </c>
      <c r="O23" s="673" t="s">
        <v>340</v>
      </c>
      <c r="P23" s="674"/>
      <c r="Q23" s="255"/>
    </row>
    <row r="24" spans="1:17" ht="15.75" thickBot="1" x14ac:dyDescent="0.3">
      <c r="A24" s="572" t="s">
        <v>517</v>
      </c>
      <c r="B24" s="647">
        <v>32020007</v>
      </c>
      <c r="C24" s="3" t="s">
        <v>63</v>
      </c>
      <c r="D24" s="211" t="s">
        <v>45</v>
      </c>
      <c r="E24" s="8"/>
      <c r="F24" s="366">
        <f>(G24+J24+M24)/3</f>
        <v>59.754116666666668</v>
      </c>
      <c r="G24" s="370">
        <f>(7532.47/200)</f>
        <v>37.662350000000004</v>
      </c>
      <c r="H24" s="305" t="s">
        <v>144</v>
      </c>
      <c r="I24" s="101" t="s">
        <v>158</v>
      </c>
      <c r="J24" s="399">
        <f>(516/10)</f>
        <v>51.6</v>
      </c>
      <c r="K24" s="307" t="s">
        <v>160</v>
      </c>
      <c r="L24" s="103" t="s">
        <v>159</v>
      </c>
      <c r="M24" s="26">
        <f>(1800/20)</f>
        <v>90</v>
      </c>
      <c r="N24" s="311" t="s">
        <v>316</v>
      </c>
      <c r="O24" s="104" t="s">
        <v>317</v>
      </c>
      <c r="P24" s="170" t="s">
        <v>161</v>
      </c>
      <c r="Q24" s="255"/>
    </row>
    <row r="25" spans="1:17" ht="15.75" thickBot="1" x14ac:dyDescent="0.3">
      <c r="A25" s="572" t="s">
        <v>516</v>
      </c>
      <c r="B25" s="647"/>
      <c r="C25" s="4" t="s">
        <v>61</v>
      </c>
      <c r="D25" s="213" t="s">
        <v>62</v>
      </c>
      <c r="E25" s="8"/>
      <c r="F25" s="372">
        <f>+(G25+J25)/2</f>
        <v>198.63634999999999</v>
      </c>
      <c r="G25" s="373">
        <f>(22727.27/100)</f>
        <v>227.27270000000001</v>
      </c>
      <c r="H25" s="308" t="s">
        <v>341</v>
      </c>
      <c r="I25" s="545" t="s">
        <v>371</v>
      </c>
      <c r="J25" s="554">
        <v>170</v>
      </c>
      <c r="K25" s="553" t="s">
        <v>466</v>
      </c>
      <c r="L25" s="563" t="s">
        <v>465</v>
      </c>
      <c r="M25" s="106"/>
      <c r="N25" s="106"/>
      <c r="O25" s="105"/>
      <c r="P25" s="184"/>
      <c r="Q25" s="255"/>
    </row>
    <row r="26" spans="1:17" ht="15.75" thickBot="1" x14ac:dyDescent="0.3">
      <c r="B26" s="622" t="s">
        <v>246</v>
      </c>
      <c r="C26" s="606"/>
      <c r="D26" s="623"/>
      <c r="E26" s="8"/>
      <c r="F26" s="627"/>
      <c r="G26" s="628"/>
      <c r="H26" s="628"/>
      <c r="I26" s="628"/>
      <c r="J26" s="628"/>
      <c r="K26" s="628"/>
      <c r="L26" s="628"/>
      <c r="M26" s="628"/>
      <c r="N26" s="628"/>
      <c r="O26" s="628"/>
      <c r="P26" s="629"/>
      <c r="Q26" s="255"/>
    </row>
    <row r="27" spans="1:17" ht="15.75" thickBot="1" x14ac:dyDescent="0.3">
      <c r="A27" s="572" t="s">
        <v>552</v>
      </c>
      <c r="B27" s="647">
        <v>32090001</v>
      </c>
      <c r="C27" s="3" t="s">
        <v>12</v>
      </c>
      <c r="D27" s="211" t="s">
        <v>84</v>
      </c>
      <c r="E27" s="8"/>
      <c r="F27" s="374">
        <f>(G27+J27+M27)/3</f>
        <v>354.06333333333333</v>
      </c>
      <c r="G27" s="369">
        <v>305.19</v>
      </c>
      <c r="H27" s="304" t="s">
        <v>37</v>
      </c>
      <c r="I27" s="86" t="s">
        <v>195</v>
      </c>
      <c r="J27" s="394">
        <v>347</v>
      </c>
      <c r="K27" s="304" t="s">
        <v>197</v>
      </c>
      <c r="L27" s="86" t="s">
        <v>196</v>
      </c>
      <c r="M27" s="87">
        <v>410</v>
      </c>
      <c r="N27" s="312" t="s">
        <v>197</v>
      </c>
      <c r="O27" s="661" t="s">
        <v>319</v>
      </c>
      <c r="P27" s="662"/>
      <c r="Q27" s="255"/>
    </row>
    <row r="28" spans="1:17" ht="15.75" thickBot="1" x14ac:dyDescent="0.3">
      <c r="A28" s="572" t="s">
        <v>553</v>
      </c>
      <c r="B28" s="647"/>
      <c r="C28" s="3" t="s">
        <v>198</v>
      </c>
      <c r="D28" s="211" t="s">
        <v>84</v>
      </c>
      <c r="E28" s="8"/>
      <c r="F28" s="359">
        <f>(G28+J28+M28)/3</f>
        <v>380.03999999999996</v>
      </c>
      <c r="G28" s="370">
        <v>383.12</v>
      </c>
      <c r="H28" s="305" t="s">
        <v>37</v>
      </c>
      <c r="I28" s="90" t="s">
        <v>11</v>
      </c>
      <c r="J28" s="395">
        <v>347</v>
      </c>
      <c r="K28" s="305" t="s">
        <v>197</v>
      </c>
      <c r="L28" s="86" t="s">
        <v>196</v>
      </c>
      <c r="M28" s="107">
        <v>410</v>
      </c>
      <c r="N28" s="443" t="s">
        <v>197</v>
      </c>
      <c r="O28" s="663" t="s">
        <v>318</v>
      </c>
      <c r="P28" s="664"/>
      <c r="Q28" s="255"/>
    </row>
    <row r="29" spans="1:17" ht="15.75" thickBot="1" x14ac:dyDescent="0.3">
      <c r="B29" s="622" t="s">
        <v>269</v>
      </c>
      <c r="C29" s="606"/>
      <c r="D29" s="623"/>
      <c r="E29" s="8"/>
      <c r="F29" s="627"/>
      <c r="G29" s="628"/>
      <c r="H29" s="628"/>
      <c r="I29" s="628"/>
      <c r="J29" s="628"/>
      <c r="K29" s="628"/>
      <c r="L29" s="628"/>
      <c r="M29" s="628"/>
      <c r="N29" s="628"/>
      <c r="O29" s="628"/>
      <c r="P29" s="629"/>
      <c r="Q29" s="255"/>
    </row>
    <row r="30" spans="1:17" ht="15.75" thickBot="1" x14ac:dyDescent="0.3">
      <c r="A30" s="572" t="s">
        <v>499</v>
      </c>
      <c r="B30" s="457">
        <v>32010001</v>
      </c>
      <c r="C30" s="3" t="s">
        <v>44</v>
      </c>
      <c r="D30" s="211" t="s">
        <v>45</v>
      </c>
      <c r="E30" s="8"/>
      <c r="F30" s="548">
        <f>(G30+J30)/2</f>
        <v>35.532449999999997</v>
      </c>
      <c r="G30" s="375">
        <f>(1800/50)</f>
        <v>36</v>
      </c>
      <c r="H30" s="313" t="s">
        <v>3</v>
      </c>
      <c r="I30" s="108" t="s">
        <v>7</v>
      </c>
      <c r="J30" s="361">
        <f>(3506.49/100)</f>
        <v>35.064899999999994</v>
      </c>
      <c r="K30" s="313" t="s">
        <v>37</v>
      </c>
      <c r="L30" s="109" t="s">
        <v>135</v>
      </c>
      <c r="M30" s="110"/>
      <c r="N30" s="111"/>
      <c r="O30" s="112"/>
      <c r="P30" s="170" t="s">
        <v>136</v>
      </c>
      <c r="Q30" s="255"/>
    </row>
    <row r="31" spans="1:17" ht="15.75" thickBot="1" x14ac:dyDescent="0.3">
      <c r="B31" s="622" t="s">
        <v>290</v>
      </c>
      <c r="C31" s="606"/>
      <c r="D31" s="623"/>
      <c r="E31" s="8"/>
      <c r="F31" s="627"/>
      <c r="G31" s="628"/>
      <c r="H31" s="628"/>
      <c r="I31" s="628"/>
      <c r="J31" s="628"/>
      <c r="K31" s="628"/>
      <c r="L31" s="628"/>
      <c r="M31" s="628"/>
      <c r="N31" s="628"/>
      <c r="O31" s="628"/>
      <c r="P31" s="629"/>
      <c r="Q31" s="255"/>
    </row>
    <row r="32" spans="1:17" ht="15.75" thickBot="1" x14ac:dyDescent="0.3">
      <c r="A32" s="572" t="s">
        <v>526</v>
      </c>
      <c r="B32" s="457">
        <v>320100049</v>
      </c>
      <c r="C32" s="3" t="s">
        <v>16</v>
      </c>
      <c r="D32" s="211" t="s">
        <v>45</v>
      </c>
      <c r="E32" s="8"/>
      <c r="F32" s="549">
        <f>(G32+J32)/2</f>
        <v>1051.721</v>
      </c>
      <c r="G32" s="357">
        <f>(15584.42/10)</f>
        <v>1558.442</v>
      </c>
      <c r="H32" s="304" t="s">
        <v>138</v>
      </c>
      <c r="I32" s="113" t="s">
        <v>15</v>
      </c>
      <c r="J32" s="394">
        <v>545</v>
      </c>
      <c r="K32" s="114"/>
      <c r="L32" s="86" t="s">
        <v>137</v>
      </c>
      <c r="M32" s="115"/>
      <c r="N32" s="88"/>
      <c r="O32" s="89"/>
      <c r="P32" s="170" t="s">
        <v>309</v>
      </c>
      <c r="Q32" s="255"/>
    </row>
    <row r="33" spans="1:17" ht="15.75" thickBot="1" x14ac:dyDescent="0.3">
      <c r="A33" s="572" t="s">
        <v>500</v>
      </c>
      <c r="B33" s="457">
        <v>320100053</v>
      </c>
      <c r="C33" s="7" t="s">
        <v>46</v>
      </c>
      <c r="D33" s="211" t="s">
        <v>47</v>
      </c>
      <c r="E33" s="8"/>
      <c r="F33" s="371">
        <f>+(G33+J33)/2</f>
        <v>26.127270000000003</v>
      </c>
      <c r="G33" s="368">
        <f>(11127.27/500)</f>
        <v>22.254540000000002</v>
      </c>
      <c r="H33" s="307" t="s">
        <v>345</v>
      </c>
      <c r="I33" s="101" t="s">
        <v>344</v>
      </c>
      <c r="J33" s="399">
        <f>+(30)</f>
        <v>30</v>
      </c>
      <c r="K33" s="116"/>
      <c r="L33" s="101" t="s">
        <v>468</v>
      </c>
      <c r="M33" s="27"/>
      <c r="N33" s="27"/>
      <c r="O33" s="104"/>
      <c r="P33" s="170" t="s">
        <v>469</v>
      </c>
      <c r="Q33" s="255"/>
    </row>
    <row r="34" spans="1:17" ht="15.75" thickBot="1" x14ac:dyDescent="0.3">
      <c r="A34" s="572" t="s">
        <v>504</v>
      </c>
      <c r="B34" s="457">
        <v>320100073</v>
      </c>
      <c r="C34" s="3" t="s">
        <v>17</v>
      </c>
      <c r="D34" s="211" t="s">
        <v>45</v>
      </c>
      <c r="E34" s="8"/>
      <c r="F34" s="439">
        <f>(G34+J34)/2</f>
        <v>10.688310000000001</v>
      </c>
      <c r="G34" s="370">
        <f>(13376.62/1000)</f>
        <v>13.376620000000001</v>
      </c>
      <c r="H34" s="305" t="s">
        <v>138</v>
      </c>
      <c r="I34" s="117" t="s">
        <v>18</v>
      </c>
      <c r="J34" s="395">
        <f>(800/100)</f>
        <v>8</v>
      </c>
      <c r="K34" s="305" t="s">
        <v>342</v>
      </c>
      <c r="L34" s="90" t="s">
        <v>343</v>
      </c>
      <c r="M34" s="118"/>
      <c r="N34" s="91"/>
      <c r="O34" s="92"/>
      <c r="P34" s="170" t="s">
        <v>372</v>
      </c>
      <c r="Q34" s="255"/>
    </row>
    <row r="35" spans="1:17" ht="15.75" thickBot="1" x14ac:dyDescent="0.3">
      <c r="B35" s="622"/>
      <c r="C35" s="606"/>
      <c r="D35" s="623"/>
      <c r="E35" s="8"/>
      <c r="F35" s="627"/>
      <c r="G35" s="628"/>
      <c r="H35" s="628"/>
      <c r="I35" s="628"/>
      <c r="J35" s="628"/>
      <c r="K35" s="628"/>
      <c r="L35" s="628"/>
      <c r="M35" s="628"/>
      <c r="N35" s="628"/>
      <c r="O35" s="628"/>
      <c r="P35" s="629"/>
      <c r="Q35" s="255"/>
    </row>
    <row r="36" spans="1:17" x14ac:dyDescent="0.25">
      <c r="A36" s="572" t="s">
        <v>579</v>
      </c>
      <c r="B36" s="647">
        <v>32130001</v>
      </c>
      <c r="C36" s="3" t="s">
        <v>110</v>
      </c>
      <c r="D36" s="211" t="s">
        <v>45</v>
      </c>
      <c r="E36" s="255"/>
      <c r="F36" s="548">
        <f>(G36+J36+M36)/3</f>
        <v>558.85422222222223</v>
      </c>
      <c r="G36" s="369">
        <f>(29296.88/30)</f>
        <v>976.5626666666667</v>
      </c>
      <c r="H36" s="304" t="s">
        <v>222</v>
      </c>
      <c r="I36" s="86" t="s">
        <v>221</v>
      </c>
      <c r="J36" s="394">
        <v>110</v>
      </c>
      <c r="K36" s="114"/>
      <c r="L36" s="99" t="s">
        <v>223</v>
      </c>
      <c r="M36" s="100">
        <f>(17700/30)</f>
        <v>590</v>
      </c>
      <c r="N36" s="309" t="s">
        <v>320</v>
      </c>
      <c r="O36" s="665" t="s">
        <v>321</v>
      </c>
      <c r="P36" s="666"/>
      <c r="Q36" s="255"/>
    </row>
    <row r="37" spans="1:17" ht="15.75" thickBot="1" x14ac:dyDescent="0.3">
      <c r="B37" s="647"/>
      <c r="C37" s="12" t="s">
        <v>111</v>
      </c>
      <c r="D37" s="212" t="s">
        <v>45</v>
      </c>
      <c r="E37" s="8"/>
      <c r="F37" s="651" t="s">
        <v>456</v>
      </c>
      <c r="G37" s="652"/>
      <c r="H37" s="652"/>
      <c r="I37" s="652"/>
      <c r="J37" s="652"/>
      <c r="K37" s="652"/>
      <c r="L37" s="652"/>
      <c r="M37" s="652"/>
      <c r="N37" s="652"/>
      <c r="O37" s="652"/>
      <c r="P37" s="653"/>
      <c r="Q37" s="255"/>
    </row>
    <row r="38" spans="1:17" x14ac:dyDescent="0.25">
      <c r="A38" s="572" t="s">
        <v>594</v>
      </c>
      <c r="B38" s="457">
        <v>322300022</v>
      </c>
      <c r="C38" s="3" t="s">
        <v>34</v>
      </c>
      <c r="D38" s="211" t="s">
        <v>45</v>
      </c>
      <c r="E38" s="8"/>
      <c r="F38" s="439">
        <f>(G38+J38)/2</f>
        <v>436.5</v>
      </c>
      <c r="G38" s="370">
        <v>673</v>
      </c>
      <c r="H38" s="305" t="s">
        <v>437</v>
      </c>
      <c r="I38" s="262" t="s">
        <v>436</v>
      </c>
      <c r="J38" s="395">
        <f>(2000/10)</f>
        <v>200</v>
      </c>
      <c r="K38" s="305" t="s">
        <v>347</v>
      </c>
      <c r="L38" s="667" t="s">
        <v>346</v>
      </c>
      <c r="M38" s="668"/>
      <c r="N38" s="668"/>
      <c r="O38" s="668"/>
      <c r="P38" s="669"/>
      <c r="Q38" s="255"/>
    </row>
    <row r="39" spans="1:17" x14ac:dyDescent="0.25">
      <c r="B39" s="458">
        <v>321500181</v>
      </c>
      <c r="C39" s="670" t="s">
        <v>292</v>
      </c>
      <c r="D39" s="671"/>
      <c r="E39" s="8"/>
      <c r="F39" s="651" t="s">
        <v>444</v>
      </c>
      <c r="G39" s="652"/>
      <c r="H39" s="652"/>
      <c r="I39" s="652"/>
      <c r="J39" s="652"/>
      <c r="K39" s="652"/>
      <c r="L39" s="652"/>
      <c r="M39" s="652"/>
      <c r="N39" s="652"/>
      <c r="O39" s="652"/>
      <c r="P39" s="653"/>
      <c r="Q39" s="255"/>
    </row>
    <row r="40" spans="1:17" ht="15.75" thickBot="1" x14ac:dyDescent="0.3">
      <c r="B40" s="622" t="s">
        <v>270</v>
      </c>
      <c r="C40" s="606"/>
      <c r="D40" s="623"/>
      <c r="E40" s="8"/>
      <c r="F40" s="624"/>
      <c r="G40" s="625"/>
      <c r="H40" s="625"/>
      <c r="I40" s="625"/>
      <c r="J40" s="625"/>
      <c r="K40" s="625"/>
      <c r="L40" s="625"/>
      <c r="M40" s="625"/>
      <c r="N40" s="625"/>
      <c r="O40" s="625"/>
      <c r="P40" s="626"/>
      <c r="Q40" s="255"/>
    </row>
    <row r="41" spans="1:17" ht="15.75" thickBot="1" x14ac:dyDescent="0.3">
      <c r="A41" s="572" t="s">
        <v>577</v>
      </c>
      <c r="B41" s="457">
        <v>321220013</v>
      </c>
      <c r="C41" s="3" t="s">
        <v>109</v>
      </c>
      <c r="D41" s="211" t="s">
        <v>62</v>
      </c>
      <c r="E41" s="8"/>
      <c r="F41" s="359">
        <f>(G41)</f>
        <v>72</v>
      </c>
      <c r="G41" s="392">
        <f>(1440/20)</f>
        <v>72</v>
      </c>
      <c r="H41" s="121"/>
      <c r="I41" s="124" t="s">
        <v>322</v>
      </c>
      <c r="J41" s="450"/>
      <c r="K41" s="124"/>
      <c r="L41" s="451"/>
      <c r="M41" s="125"/>
      <c r="N41" s="125"/>
      <c r="O41" s="122"/>
      <c r="P41" s="185" t="s">
        <v>323</v>
      </c>
      <c r="Q41" s="255"/>
    </row>
    <row r="42" spans="1:17" ht="15.75" thickBot="1" x14ac:dyDescent="0.3">
      <c r="B42" s="679"/>
      <c r="C42" s="612"/>
      <c r="D42" s="680"/>
      <c r="E42" s="8"/>
      <c r="F42" s="627"/>
      <c r="G42" s="628"/>
      <c r="H42" s="628"/>
      <c r="I42" s="628"/>
      <c r="J42" s="628"/>
      <c r="K42" s="628"/>
      <c r="L42" s="628"/>
      <c r="M42" s="628"/>
      <c r="N42" s="628"/>
      <c r="O42" s="628"/>
      <c r="P42" s="629"/>
      <c r="Q42" s="255"/>
    </row>
    <row r="43" spans="1:17" ht="15.75" thickBot="1" x14ac:dyDescent="0.3">
      <c r="A43" s="572" t="s">
        <v>601</v>
      </c>
      <c r="B43" s="457">
        <v>322300061</v>
      </c>
      <c r="C43" s="3" t="s">
        <v>122</v>
      </c>
      <c r="D43" s="211" t="s">
        <v>45</v>
      </c>
      <c r="E43" s="8"/>
      <c r="F43" s="359">
        <f>+(G43+J43+M43)/3</f>
        <v>601.94666666666672</v>
      </c>
      <c r="G43" s="375">
        <v>555.84</v>
      </c>
      <c r="H43" s="126"/>
      <c r="I43" s="124" t="s">
        <v>242</v>
      </c>
      <c r="J43" s="392">
        <v>850</v>
      </c>
      <c r="K43" s="124"/>
      <c r="L43" s="124" t="s">
        <v>324</v>
      </c>
      <c r="M43" s="123">
        <v>400</v>
      </c>
      <c r="N43" s="125"/>
      <c r="O43" s="122" t="s">
        <v>470</v>
      </c>
      <c r="P43" s="186" t="s">
        <v>491</v>
      </c>
      <c r="Q43" s="255"/>
    </row>
    <row r="44" spans="1:17" ht="15.75" thickBot="1" x14ac:dyDescent="0.3">
      <c r="B44" s="675"/>
      <c r="C44" s="613"/>
      <c r="D44" s="677"/>
      <c r="E44" s="8"/>
      <c r="F44" s="627"/>
      <c r="G44" s="628"/>
      <c r="H44" s="628"/>
      <c r="I44" s="628"/>
      <c r="J44" s="628"/>
      <c r="K44" s="628"/>
      <c r="L44" s="628"/>
      <c r="M44" s="628"/>
      <c r="N44" s="628"/>
      <c r="O44" s="628"/>
      <c r="P44" s="629"/>
      <c r="Q44" s="255"/>
    </row>
    <row r="45" spans="1:17" ht="15.75" thickBot="1" x14ac:dyDescent="0.3">
      <c r="A45" s="572" t="s">
        <v>519</v>
      </c>
      <c r="B45" s="458">
        <v>320300033</v>
      </c>
      <c r="C45" s="12" t="s">
        <v>64</v>
      </c>
      <c r="D45" s="212" t="s">
        <v>62</v>
      </c>
      <c r="E45" s="8"/>
      <c r="F45" s="564">
        <f>(G45)</f>
        <v>1196</v>
      </c>
      <c r="G45" s="565">
        <v>1196</v>
      </c>
      <c r="H45" s="566"/>
      <c r="I45" s="124" t="s">
        <v>282</v>
      </c>
      <c r="J45" s="402"/>
      <c r="K45" s="127"/>
      <c r="L45" s="127"/>
      <c r="M45" s="128"/>
      <c r="N45" s="128"/>
      <c r="O45" s="127"/>
      <c r="P45" s="187"/>
      <c r="Q45" s="255"/>
    </row>
    <row r="46" spans="1:17" ht="15.75" thickBot="1" x14ac:dyDescent="0.3">
      <c r="B46" s="679" t="s">
        <v>390</v>
      </c>
      <c r="C46" s="612"/>
      <c r="D46" s="680"/>
      <c r="E46" s="8"/>
      <c r="F46" s="678"/>
      <c r="G46" s="628"/>
      <c r="H46" s="628"/>
      <c r="I46" s="628"/>
      <c r="J46" s="628"/>
      <c r="K46" s="628"/>
      <c r="L46" s="628"/>
      <c r="M46" s="628"/>
      <c r="N46" s="628"/>
      <c r="O46" s="628"/>
      <c r="P46" s="629"/>
      <c r="Q46" s="255"/>
    </row>
    <row r="47" spans="1:17" s="281" customFormat="1" ht="15.75" thickBot="1" x14ac:dyDescent="0.3">
      <c r="A47" s="572" t="s">
        <v>536</v>
      </c>
      <c r="B47" s="681">
        <v>32070005</v>
      </c>
      <c r="C47" s="35" t="s">
        <v>386</v>
      </c>
      <c r="D47" s="330" t="s">
        <v>62</v>
      </c>
      <c r="F47" s="366">
        <f>(G47+J47)/2</f>
        <v>45.779200000000003</v>
      </c>
      <c r="G47" s="369">
        <v>50</v>
      </c>
      <c r="H47" s="332" t="s">
        <v>392</v>
      </c>
      <c r="I47" s="415" t="s">
        <v>391</v>
      </c>
      <c r="J47" s="394">
        <f>(4155.84/100)</f>
        <v>41.558399999999999</v>
      </c>
      <c r="K47" s="333" t="s">
        <v>392</v>
      </c>
      <c r="L47" s="687" t="s">
        <v>394</v>
      </c>
      <c r="M47" s="688"/>
      <c r="N47" s="688"/>
      <c r="O47" s="688"/>
      <c r="P47" s="689"/>
    </row>
    <row r="48" spans="1:17" s="281" customFormat="1" ht="15.75" thickBot="1" x14ac:dyDescent="0.3">
      <c r="A48" s="572"/>
      <c r="B48" s="682"/>
      <c r="C48" s="35" t="s">
        <v>387</v>
      </c>
      <c r="D48" s="330" t="s">
        <v>62</v>
      </c>
      <c r="F48" s="366">
        <f t="shared" ref="F48:F51" si="0">(G48+J48)/2</f>
        <v>40.779200000000003</v>
      </c>
      <c r="G48" s="368">
        <v>40</v>
      </c>
      <c r="H48" s="332" t="s">
        <v>392</v>
      </c>
      <c r="I48" s="415" t="s">
        <v>391</v>
      </c>
      <c r="J48" s="399">
        <f>(4155.84/100)</f>
        <v>41.558399999999999</v>
      </c>
      <c r="K48" s="333" t="s">
        <v>392</v>
      </c>
      <c r="L48" s="684" t="s">
        <v>395</v>
      </c>
      <c r="M48" s="685"/>
      <c r="N48" s="685"/>
      <c r="O48" s="685"/>
      <c r="P48" s="686"/>
    </row>
    <row r="49" spans="1:17" s="281" customFormat="1" ht="15.75" thickBot="1" x14ac:dyDescent="0.3">
      <c r="A49" s="572"/>
      <c r="B49" s="682"/>
      <c r="C49" s="35" t="s">
        <v>388</v>
      </c>
      <c r="D49" s="330" t="s">
        <v>62</v>
      </c>
      <c r="F49" s="366">
        <f t="shared" si="0"/>
        <v>40.78</v>
      </c>
      <c r="G49" s="368">
        <v>40</v>
      </c>
      <c r="H49" s="332" t="s">
        <v>392</v>
      </c>
      <c r="I49" s="415" t="s">
        <v>391</v>
      </c>
      <c r="J49" s="399">
        <v>41.56</v>
      </c>
      <c r="K49" s="333" t="s">
        <v>392</v>
      </c>
      <c r="L49" s="684" t="s">
        <v>396</v>
      </c>
      <c r="M49" s="685"/>
      <c r="N49" s="685"/>
      <c r="O49" s="685"/>
      <c r="P49" s="686"/>
    </row>
    <row r="50" spans="1:17" s="281" customFormat="1" ht="15.75" thickBot="1" x14ac:dyDescent="0.3">
      <c r="A50" s="572"/>
      <c r="B50" s="682"/>
      <c r="C50" s="35" t="s">
        <v>389</v>
      </c>
      <c r="D50" s="330" t="s">
        <v>62</v>
      </c>
      <c r="F50" s="366">
        <f t="shared" si="0"/>
        <v>43.375</v>
      </c>
      <c r="G50" s="368">
        <v>40</v>
      </c>
      <c r="H50" s="332" t="s">
        <v>392</v>
      </c>
      <c r="I50" s="415" t="s">
        <v>391</v>
      </c>
      <c r="J50" s="399">
        <v>46.75</v>
      </c>
      <c r="K50" s="333" t="s">
        <v>392</v>
      </c>
      <c r="L50" s="684" t="s">
        <v>397</v>
      </c>
      <c r="M50" s="685"/>
      <c r="N50" s="685"/>
      <c r="O50" s="685"/>
      <c r="P50" s="686"/>
    </row>
    <row r="51" spans="1:17" s="281" customFormat="1" ht="15.75" thickBot="1" x14ac:dyDescent="0.3">
      <c r="A51" s="572"/>
      <c r="B51" s="683"/>
      <c r="C51" s="35" t="s">
        <v>385</v>
      </c>
      <c r="D51" s="330" t="s">
        <v>62</v>
      </c>
      <c r="F51" s="366">
        <f t="shared" si="0"/>
        <v>48.376599999999996</v>
      </c>
      <c r="G51" s="368">
        <v>50</v>
      </c>
      <c r="H51" s="332" t="s">
        <v>392</v>
      </c>
      <c r="I51" s="415" t="s">
        <v>391</v>
      </c>
      <c r="J51" s="399">
        <f>(4675.32/100)</f>
        <v>46.7532</v>
      </c>
      <c r="K51" s="333" t="s">
        <v>392</v>
      </c>
      <c r="L51" s="684" t="s">
        <v>393</v>
      </c>
      <c r="M51" s="685"/>
      <c r="N51" s="685"/>
      <c r="O51" s="685"/>
      <c r="P51" s="686"/>
    </row>
    <row r="52" spans="1:17" ht="15.75" thickBot="1" x14ac:dyDescent="0.3">
      <c r="B52" s="675"/>
      <c r="C52" s="676"/>
      <c r="D52" s="677"/>
      <c r="E52" s="8"/>
      <c r="F52" s="624"/>
      <c r="G52" s="625"/>
      <c r="H52" s="625"/>
      <c r="I52" s="625"/>
      <c r="J52" s="625"/>
      <c r="K52" s="625"/>
      <c r="L52" s="625"/>
      <c r="M52" s="625"/>
      <c r="N52" s="625"/>
      <c r="O52" s="625"/>
      <c r="P52" s="626"/>
      <c r="Q52" s="255"/>
    </row>
    <row r="53" spans="1:17" ht="15.75" thickBot="1" x14ac:dyDescent="0.3">
      <c r="A53" s="572" t="s">
        <v>589</v>
      </c>
      <c r="B53" s="457">
        <v>321600012</v>
      </c>
      <c r="C53" s="3" t="s">
        <v>31</v>
      </c>
      <c r="D53" s="211" t="s">
        <v>45</v>
      </c>
      <c r="E53" s="8"/>
      <c r="F53" s="548">
        <f>(G53+J53)/2</f>
        <v>43.0779</v>
      </c>
      <c r="G53" s="375">
        <f>(4915.58/100)</f>
        <v>49.155799999999999</v>
      </c>
      <c r="H53" s="129" t="s">
        <v>226</v>
      </c>
      <c r="I53" s="108" t="s">
        <v>30</v>
      </c>
      <c r="J53" s="361">
        <f>(3700/100)</f>
        <v>37</v>
      </c>
      <c r="K53" s="126" t="s">
        <v>38</v>
      </c>
      <c r="L53" s="109" t="s">
        <v>256</v>
      </c>
      <c r="M53" s="111"/>
      <c r="N53" s="111"/>
      <c r="O53" s="112"/>
      <c r="P53" s="170" t="s">
        <v>140</v>
      </c>
      <c r="Q53" s="255"/>
    </row>
    <row r="54" spans="1:17" ht="15.75" thickBot="1" x14ac:dyDescent="0.3">
      <c r="B54" s="675"/>
      <c r="C54" s="613"/>
      <c r="D54" s="677"/>
      <c r="E54" s="8"/>
      <c r="F54" s="627"/>
      <c r="G54" s="628"/>
      <c r="H54" s="628"/>
      <c r="I54" s="628"/>
      <c r="J54" s="628"/>
      <c r="K54" s="628"/>
      <c r="L54" s="628"/>
      <c r="M54" s="628"/>
      <c r="N54" s="628"/>
      <c r="O54" s="628"/>
      <c r="P54" s="629"/>
      <c r="Q54" s="255"/>
    </row>
    <row r="55" spans="1:17" ht="15.75" thickBot="1" x14ac:dyDescent="0.3">
      <c r="A55" s="572" t="s">
        <v>556</v>
      </c>
      <c r="B55" s="457">
        <v>320900071</v>
      </c>
      <c r="C55" s="3" t="s">
        <v>35</v>
      </c>
      <c r="D55" s="211" t="s">
        <v>62</v>
      </c>
      <c r="E55" s="8"/>
      <c r="F55" s="359">
        <f>(G55+J55)/2</f>
        <v>710.5</v>
      </c>
      <c r="G55" s="375">
        <v>630</v>
      </c>
      <c r="H55" s="126" t="s">
        <v>203</v>
      </c>
      <c r="I55" s="108" t="s">
        <v>36</v>
      </c>
      <c r="J55" s="361">
        <v>791</v>
      </c>
      <c r="K55" s="126"/>
      <c r="L55" s="108" t="s">
        <v>204</v>
      </c>
      <c r="M55" s="130"/>
      <c r="N55" s="130"/>
      <c r="O55" s="109"/>
      <c r="P55" s="188"/>
      <c r="Q55" s="255"/>
    </row>
    <row r="56" spans="1:17" ht="15.75" thickBot="1" x14ac:dyDescent="0.3">
      <c r="B56" s="622" t="s">
        <v>271</v>
      </c>
      <c r="C56" s="606"/>
      <c r="D56" s="623"/>
      <c r="E56" s="8"/>
      <c r="F56" s="678"/>
      <c r="G56" s="628"/>
      <c r="H56" s="628"/>
      <c r="I56" s="628"/>
      <c r="J56" s="628"/>
      <c r="K56" s="628"/>
      <c r="L56" s="628"/>
      <c r="M56" s="628"/>
      <c r="N56" s="628"/>
      <c r="O56" s="628"/>
      <c r="P56" s="629"/>
      <c r="Q56" s="255"/>
    </row>
    <row r="57" spans="1:17" ht="15.75" thickBot="1" x14ac:dyDescent="0.3">
      <c r="A57" s="572" t="s">
        <v>583</v>
      </c>
      <c r="B57" s="647">
        <v>32150002</v>
      </c>
      <c r="C57" s="3" t="s">
        <v>112</v>
      </c>
      <c r="D57" s="211" t="s">
        <v>58</v>
      </c>
      <c r="E57" s="8"/>
      <c r="F57" s="582">
        <v>3376</v>
      </c>
      <c r="G57" s="583">
        <v>3376</v>
      </c>
      <c r="H57" s="578"/>
      <c r="I57" s="578" t="s">
        <v>580</v>
      </c>
      <c r="J57" s="578"/>
      <c r="K57" s="578"/>
      <c r="L57" s="578"/>
      <c r="M57" s="578"/>
      <c r="N57" s="578"/>
      <c r="O57" s="578"/>
      <c r="P57" s="579"/>
      <c r="Q57" s="255"/>
    </row>
    <row r="58" spans="1:17" ht="15.75" thickBot="1" x14ac:dyDescent="0.3">
      <c r="A58" s="572" t="s">
        <v>584</v>
      </c>
      <c r="B58" s="647"/>
      <c r="C58" s="3" t="s">
        <v>113</v>
      </c>
      <c r="D58" s="211" t="s">
        <v>68</v>
      </c>
      <c r="E58" s="8"/>
      <c r="F58" s="582">
        <v>8441.56</v>
      </c>
      <c r="G58" s="584">
        <v>8441.56</v>
      </c>
      <c r="H58" s="580"/>
      <c r="I58" s="580" t="s">
        <v>581</v>
      </c>
      <c r="J58" s="580"/>
      <c r="K58" s="580"/>
      <c r="L58" s="580"/>
      <c r="M58" s="580"/>
      <c r="N58" s="580"/>
      <c r="O58" s="580"/>
      <c r="P58" s="581"/>
      <c r="Q58" s="255"/>
    </row>
    <row r="59" spans="1:17" ht="15.75" thickBot="1" x14ac:dyDescent="0.3">
      <c r="B59" s="675"/>
      <c r="C59" s="613"/>
      <c r="D59" s="677"/>
      <c r="E59" s="8"/>
      <c r="F59" s="624"/>
      <c r="G59" s="628"/>
      <c r="H59" s="628"/>
      <c r="I59" s="628"/>
      <c r="J59" s="628"/>
      <c r="K59" s="628"/>
      <c r="L59" s="628"/>
      <c r="M59" s="628"/>
      <c r="N59" s="628"/>
      <c r="O59" s="628"/>
      <c r="P59" s="629"/>
      <c r="Q59" s="255"/>
    </row>
    <row r="60" spans="1:17" ht="15.75" thickBot="1" x14ac:dyDescent="0.3">
      <c r="A60" s="572" t="s">
        <v>576</v>
      </c>
      <c r="B60" s="457">
        <v>3212002017</v>
      </c>
      <c r="C60" s="7" t="s">
        <v>108</v>
      </c>
      <c r="D60" s="211" t="s">
        <v>62</v>
      </c>
      <c r="E60" s="8"/>
      <c r="F60" s="359">
        <f>(G60)</f>
        <v>4155.84</v>
      </c>
      <c r="G60" s="375">
        <v>4155.84</v>
      </c>
      <c r="H60" s="313" t="s">
        <v>325</v>
      </c>
      <c r="I60" s="575" t="s">
        <v>431</v>
      </c>
      <c r="J60" s="576"/>
      <c r="K60" s="576"/>
      <c r="L60" s="576"/>
      <c r="M60" s="576"/>
      <c r="N60" s="576"/>
      <c r="O60" s="576"/>
      <c r="P60" s="577"/>
      <c r="Q60" s="255"/>
    </row>
    <row r="61" spans="1:17" ht="15.75" thickBot="1" x14ac:dyDescent="0.3">
      <c r="B61" s="622" t="s">
        <v>272</v>
      </c>
      <c r="C61" s="606"/>
      <c r="D61" s="623"/>
      <c r="E61" s="9"/>
      <c r="F61" s="627"/>
      <c r="G61" s="628"/>
      <c r="H61" s="628"/>
      <c r="I61" s="628"/>
      <c r="J61" s="628"/>
      <c r="K61" s="628"/>
      <c r="L61" s="628"/>
      <c r="M61" s="628"/>
      <c r="N61" s="628"/>
      <c r="O61" s="628"/>
      <c r="P61" s="629"/>
      <c r="Q61" s="255"/>
    </row>
    <row r="62" spans="1:17" ht="15.75" thickBot="1" x14ac:dyDescent="0.3">
      <c r="A62" s="572" t="s">
        <v>593</v>
      </c>
      <c r="B62" s="461">
        <v>32220001</v>
      </c>
      <c r="C62" s="46" t="s">
        <v>280</v>
      </c>
      <c r="D62" s="208" t="s">
        <v>45</v>
      </c>
      <c r="E62" s="8"/>
      <c r="F62" s="548">
        <f>(G62+J62)/2</f>
        <v>2928.83</v>
      </c>
      <c r="G62" s="377">
        <v>3337.66</v>
      </c>
      <c r="H62" s="316" t="s">
        <v>348</v>
      </c>
      <c r="I62" s="134" t="s">
        <v>236</v>
      </c>
      <c r="J62" s="401">
        <v>2520</v>
      </c>
      <c r="K62" s="316" t="s">
        <v>238</v>
      </c>
      <c r="L62" s="135" t="s">
        <v>237</v>
      </c>
      <c r="M62" s="136"/>
      <c r="N62" s="136"/>
      <c r="O62" s="135"/>
      <c r="P62" s="189"/>
      <c r="Q62" s="255"/>
    </row>
    <row r="63" spans="1:17" ht="15.75" thickBot="1" x14ac:dyDescent="0.3">
      <c r="B63" s="675"/>
      <c r="C63" s="613"/>
      <c r="D63" s="677"/>
      <c r="E63" s="8"/>
      <c r="F63" s="627"/>
      <c r="G63" s="628"/>
      <c r="H63" s="628"/>
      <c r="I63" s="628"/>
      <c r="J63" s="628"/>
      <c r="K63" s="628"/>
      <c r="L63" s="628"/>
      <c r="M63" s="628"/>
      <c r="N63" s="628"/>
      <c r="O63" s="628"/>
      <c r="P63" s="629"/>
      <c r="Q63" s="255"/>
    </row>
    <row r="64" spans="1:17" ht="15.75" thickBot="1" x14ac:dyDescent="0.3">
      <c r="A64" s="572" t="s">
        <v>586</v>
      </c>
      <c r="B64" s="457">
        <v>321500041</v>
      </c>
      <c r="C64" s="3" t="s">
        <v>116</v>
      </c>
      <c r="D64" s="211" t="s">
        <v>62</v>
      </c>
      <c r="E64" s="8"/>
      <c r="F64" s="359">
        <f>(G64)</f>
        <v>1577.9221</v>
      </c>
      <c r="G64" s="375">
        <f>(157792.21/100)</f>
        <v>1577.9221</v>
      </c>
      <c r="H64" s="313" t="s">
        <v>3</v>
      </c>
      <c r="I64" s="124" t="s">
        <v>307</v>
      </c>
      <c r="J64" s="402"/>
      <c r="K64" s="124"/>
      <c r="L64" s="124"/>
      <c r="M64" s="137"/>
      <c r="N64" s="137"/>
      <c r="O64" s="138"/>
      <c r="P64" s="188"/>
      <c r="Q64" s="255"/>
    </row>
    <row r="65" spans="1:17" ht="15.75" thickBot="1" x14ac:dyDescent="0.3">
      <c r="B65" s="675"/>
      <c r="C65" s="613"/>
      <c r="D65" s="677"/>
      <c r="E65" s="8"/>
      <c r="F65" s="678"/>
      <c r="G65" s="628"/>
      <c r="H65" s="628"/>
      <c r="I65" s="628"/>
      <c r="J65" s="628"/>
      <c r="K65" s="628"/>
      <c r="L65" s="628"/>
      <c r="M65" s="628"/>
      <c r="N65" s="628"/>
      <c r="O65" s="628"/>
      <c r="P65" s="629"/>
      <c r="Q65" s="255"/>
    </row>
    <row r="66" spans="1:17" ht="15.75" thickBot="1" x14ac:dyDescent="0.3">
      <c r="A66" s="572" t="s">
        <v>502</v>
      </c>
      <c r="B66" s="215"/>
      <c r="C66" s="69" t="s">
        <v>368</v>
      </c>
      <c r="D66" s="216" t="s">
        <v>45</v>
      </c>
      <c r="E66" s="8"/>
      <c r="F66" s="378">
        <f>+(G66+J66)/2</f>
        <v>711</v>
      </c>
      <c r="G66" s="379">
        <v>552</v>
      </c>
      <c r="H66" s="328"/>
      <c r="I66" s="416" t="s">
        <v>399</v>
      </c>
      <c r="J66" s="555">
        <v>870</v>
      </c>
      <c r="K66" s="328"/>
      <c r="L66" s="336" t="s">
        <v>471</v>
      </c>
      <c r="M66" s="336"/>
      <c r="N66" s="336"/>
      <c r="O66" s="336"/>
      <c r="P66" s="337"/>
      <c r="Q66" s="255"/>
    </row>
    <row r="67" spans="1:17" ht="15.75" thickBot="1" x14ac:dyDescent="0.3">
      <c r="A67" s="572" t="s">
        <v>503</v>
      </c>
      <c r="B67" s="215"/>
      <c r="C67" s="69" t="s">
        <v>369</v>
      </c>
      <c r="D67" s="216" t="s">
        <v>45</v>
      </c>
      <c r="E67" s="8"/>
      <c r="F67" s="378">
        <f t="shared" ref="F67:F68" si="1">+(G67+J67)/2</f>
        <v>1023.5</v>
      </c>
      <c r="G67" s="380">
        <v>747</v>
      </c>
      <c r="H67" s="329"/>
      <c r="I67" s="556" t="s">
        <v>398</v>
      </c>
      <c r="J67" s="558">
        <v>1300</v>
      </c>
      <c r="K67" s="329"/>
      <c r="L67" s="259" t="s">
        <v>474</v>
      </c>
      <c r="M67" s="259"/>
      <c r="N67" s="259"/>
      <c r="O67" s="259"/>
      <c r="P67" s="557"/>
      <c r="Q67" s="255"/>
    </row>
    <row r="68" spans="1:17" ht="15.75" thickBot="1" x14ac:dyDescent="0.3">
      <c r="A68" s="572" t="s">
        <v>501</v>
      </c>
      <c r="B68" s="457">
        <v>3201000612</v>
      </c>
      <c r="C68" s="3" t="s">
        <v>48</v>
      </c>
      <c r="D68" s="211" t="s">
        <v>45</v>
      </c>
      <c r="E68" s="8"/>
      <c r="F68" s="378">
        <f t="shared" si="1"/>
        <v>283.5</v>
      </c>
      <c r="G68" s="381">
        <v>247</v>
      </c>
      <c r="H68" s="126"/>
      <c r="I68" s="122" t="s">
        <v>303</v>
      </c>
      <c r="J68" s="552">
        <v>320</v>
      </c>
      <c r="K68" s="146"/>
      <c r="L68" s="146" t="s">
        <v>472</v>
      </c>
      <c r="M68" s="91"/>
      <c r="N68" s="91"/>
      <c r="O68" s="90"/>
      <c r="P68" s="559" t="s">
        <v>473</v>
      </c>
      <c r="Q68" s="255"/>
    </row>
    <row r="69" spans="1:17" ht="15.75" thickBot="1" x14ac:dyDescent="0.3">
      <c r="B69" s="675"/>
      <c r="C69" s="613"/>
      <c r="D69" s="677"/>
      <c r="E69" s="8"/>
      <c r="F69" s="690"/>
      <c r="G69" s="691"/>
      <c r="H69" s="691"/>
      <c r="I69" s="691"/>
      <c r="J69" s="692"/>
      <c r="K69" s="692"/>
      <c r="L69" s="692"/>
      <c r="M69" s="692"/>
      <c r="N69" s="692"/>
      <c r="O69" s="692"/>
      <c r="P69" s="693"/>
      <c r="Q69" s="255"/>
    </row>
    <row r="70" spans="1:17" ht="15.75" thickBot="1" x14ac:dyDescent="0.3">
      <c r="A70" s="572" t="s">
        <v>585</v>
      </c>
      <c r="B70" s="457">
        <v>321500036</v>
      </c>
      <c r="C70" s="3" t="s">
        <v>114</v>
      </c>
      <c r="D70" s="211" t="s">
        <v>115</v>
      </c>
      <c r="E70" s="8"/>
      <c r="F70" s="359">
        <f>+(G70+J70)/2</f>
        <v>1906.7</v>
      </c>
      <c r="G70" s="375">
        <v>2597.4</v>
      </c>
      <c r="H70" s="126" t="s">
        <v>225</v>
      </c>
      <c r="I70" s="122" t="s">
        <v>224</v>
      </c>
      <c r="J70" s="558">
        <v>1216</v>
      </c>
      <c r="K70" s="119"/>
      <c r="L70" s="119" t="s">
        <v>475</v>
      </c>
      <c r="M70" s="27"/>
      <c r="N70" s="27"/>
      <c r="O70" s="101"/>
      <c r="P70" s="197"/>
      <c r="Q70" s="255"/>
    </row>
    <row r="71" spans="1:17" ht="15.75" thickBot="1" x14ac:dyDescent="0.3">
      <c r="B71" s="622" t="s">
        <v>273</v>
      </c>
      <c r="C71" s="606"/>
      <c r="D71" s="623"/>
      <c r="E71" s="8"/>
      <c r="F71" s="627"/>
      <c r="G71" s="628"/>
      <c r="H71" s="628"/>
      <c r="I71" s="628"/>
      <c r="J71" s="694"/>
      <c r="K71" s="694"/>
      <c r="L71" s="625"/>
      <c r="M71" s="625"/>
      <c r="N71" s="625"/>
      <c r="O71" s="625"/>
      <c r="P71" s="626"/>
      <c r="Q71" s="255"/>
    </row>
    <row r="72" spans="1:17" ht="15.75" thickBot="1" x14ac:dyDescent="0.3">
      <c r="A72" s="572" t="s">
        <v>520</v>
      </c>
      <c r="B72" s="457">
        <v>32050001</v>
      </c>
      <c r="C72" s="3" t="s">
        <v>281</v>
      </c>
      <c r="D72" s="211" t="s">
        <v>45</v>
      </c>
      <c r="E72" s="8"/>
      <c r="F72" s="548">
        <f>(G72+J72)/2</f>
        <v>29.811700000000002</v>
      </c>
      <c r="G72" s="375">
        <f>(1150/50)</f>
        <v>23</v>
      </c>
      <c r="H72" s="126"/>
      <c r="I72" s="122" t="s">
        <v>304</v>
      </c>
      <c r="J72" s="465">
        <f>(1831.17/50)</f>
        <v>36.623400000000004</v>
      </c>
      <c r="K72" s="467" t="s">
        <v>449</v>
      </c>
      <c r="L72" s="139" t="s">
        <v>448</v>
      </c>
      <c r="M72" s="140"/>
      <c r="N72" s="140"/>
      <c r="O72" s="112"/>
      <c r="P72" s="170" t="s">
        <v>450</v>
      </c>
      <c r="Q72" s="255"/>
    </row>
    <row r="73" spans="1:17" ht="15.75" thickBot="1" x14ac:dyDescent="0.3">
      <c r="B73" s="675"/>
      <c r="C73" s="613"/>
      <c r="D73" s="677"/>
      <c r="E73" s="8"/>
      <c r="F73" s="627"/>
      <c r="G73" s="628"/>
      <c r="H73" s="628"/>
      <c r="I73" s="628"/>
      <c r="J73" s="625"/>
      <c r="K73" s="625"/>
      <c r="L73" s="628"/>
      <c r="M73" s="628"/>
      <c r="N73" s="628"/>
      <c r="O73" s="628"/>
      <c r="P73" s="629"/>
      <c r="Q73" s="255"/>
    </row>
    <row r="74" spans="1:17" ht="15.75" thickBot="1" x14ac:dyDescent="0.3">
      <c r="A74" s="572" t="s">
        <v>547</v>
      </c>
      <c r="B74" s="460">
        <v>320700121</v>
      </c>
      <c r="C74" s="462" t="s">
        <v>81</v>
      </c>
      <c r="D74" s="445" t="s">
        <v>45</v>
      </c>
      <c r="E74" s="8"/>
      <c r="F74" s="695" t="s">
        <v>443</v>
      </c>
      <c r="G74" s="696"/>
      <c r="H74" s="696"/>
      <c r="I74" s="696"/>
      <c r="J74" s="696"/>
      <c r="K74" s="696"/>
      <c r="L74" s="696"/>
      <c r="M74" s="696"/>
      <c r="N74" s="696"/>
      <c r="O74" s="696"/>
      <c r="P74" s="697"/>
      <c r="Q74" s="255"/>
    </row>
    <row r="75" spans="1:17" ht="15.75" thickBot="1" x14ac:dyDescent="0.3">
      <c r="B75" s="622" t="s">
        <v>254</v>
      </c>
      <c r="C75" s="606"/>
      <c r="D75" s="623"/>
      <c r="E75" s="8"/>
      <c r="F75" s="627"/>
      <c r="G75" s="628"/>
      <c r="H75" s="628"/>
      <c r="I75" s="628"/>
      <c r="J75" s="628"/>
      <c r="K75" s="628"/>
      <c r="L75" s="628"/>
      <c r="M75" s="628"/>
      <c r="N75" s="628"/>
      <c r="O75" s="628"/>
      <c r="P75" s="629"/>
      <c r="Q75" s="255"/>
    </row>
    <row r="76" spans="1:17" ht="15.75" thickBot="1" x14ac:dyDescent="0.3">
      <c r="B76" s="647">
        <v>32160002</v>
      </c>
      <c r="C76" s="3" t="s">
        <v>118</v>
      </c>
      <c r="D76" s="211" t="s">
        <v>45</v>
      </c>
      <c r="E76" s="8"/>
      <c r="F76" s="549">
        <f>(G76+J76+M76)/3</f>
        <v>172.53943333333336</v>
      </c>
      <c r="G76" s="369">
        <f>(13636.36/100)</f>
        <v>136.36360000000002</v>
      </c>
      <c r="H76" s="304" t="s">
        <v>228</v>
      </c>
      <c r="I76" s="86" t="s">
        <v>231</v>
      </c>
      <c r="J76" s="394">
        <f>17532.47/100</f>
        <v>175.32470000000001</v>
      </c>
      <c r="K76" s="304" t="s">
        <v>229</v>
      </c>
      <c r="L76" s="86" t="s">
        <v>232</v>
      </c>
      <c r="M76" s="87">
        <f>(20593/100)</f>
        <v>205.93</v>
      </c>
      <c r="N76" s="312" t="s">
        <v>38</v>
      </c>
      <c r="O76" s="89" t="s">
        <v>432</v>
      </c>
      <c r="P76" s="226" t="s">
        <v>326</v>
      </c>
      <c r="Q76" s="255"/>
    </row>
    <row r="77" spans="1:17" ht="15.75" thickBot="1" x14ac:dyDescent="0.3">
      <c r="A77" s="572" t="s">
        <v>590</v>
      </c>
      <c r="B77" s="647"/>
      <c r="C77" s="3" t="s">
        <v>119</v>
      </c>
      <c r="D77" s="211" t="s">
        <v>45</v>
      </c>
      <c r="E77" s="8"/>
      <c r="F77" s="366">
        <f t="shared" ref="F77" si="2">(G77+J77+M77)/3</f>
        <v>198.92400000000001</v>
      </c>
      <c r="G77" s="368">
        <f>(16753.25/100)</f>
        <v>167.5325</v>
      </c>
      <c r="H77" s="307" t="s">
        <v>228</v>
      </c>
      <c r="I77" s="101" t="s">
        <v>227</v>
      </c>
      <c r="J77" s="399">
        <f>18051.95/100</f>
        <v>180.51949999999999</v>
      </c>
      <c r="K77" s="307" t="s">
        <v>229</v>
      </c>
      <c r="L77" s="101" t="s">
        <v>230</v>
      </c>
      <c r="M77" s="26">
        <f>(24872/100)</f>
        <v>248.72</v>
      </c>
      <c r="N77" s="311" t="s">
        <v>38</v>
      </c>
      <c r="O77" s="104" t="s">
        <v>432</v>
      </c>
      <c r="P77" s="170" t="s">
        <v>327</v>
      </c>
      <c r="Q77" s="255"/>
    </row>
    <row r="78" spans="1:17" ht="15.75" thickBot="1" x14ac:dyDescent="0.3">
      <c r="B78" s="647"/>
      <c r="C78" s="3" t="s">
        <v>14</v>
      </c>
      <c r="D78" s="211" t="s">
        <v>45</v>
      </c>
      <c r="E78" s="8"/>
      <c r="F78" s="439">
        <f>(G78+J78+M78)/3</f>
        <v>201.44866666666667</v>
      </c>
      <c r="G78" s="370">
        <f>17142.86/100</f>
        <v>171.42860000000002</v>
      </c>
      <c r="H78" s="141" t="s">
        <v>38</v>
      </c>
      <c r="I78" s="90" t="s">
        <v>13</v>
      </c>
      <c r="J78" s="395">
        <f>20259.74/100</f>
        <v>202.59740000000002</v>
      </c>
      <c r="K78" s="305" t="s">
        <v>229</v>
      </c>
      <c r="L78" s="90" t="s">
        <v>233</v>
      </c>
      <c r="M78" s="118">
        <f>(23032/100)</f>
        <v>230.32</v>
      </c>
      <c r="N78" s="142" t="s">
        <v>38</v>
      </c>
      <c r="O78" s="92" t="s">
        <v>432</v>
      </c>
      <c r="P78" s="185" t="s">
        <v>326</v>
      </c>
      <c r="Q78" s="255"/>
    </row>
    <row r="79" spans="1:17" ht="15.75" thickBot="1" x14ac:dyDescent="0.3">
      <c r="B79" s="622"/>
      <c r="C79" s="606"/>
      <c r="D79" s="623"/>
      <c r="E79" s="8"/>
      <c r="F79" s="627"/>
      <c r="G79" s="628"/>
      <c r="H79" s="628"/>
      <c r="I79" s="628"/>
      <c r="J79" s="628"/>
      <c r="K79" s="628"/>
      <c r="L79" s="628"/>
      <c r="M79" s="628"/>
      <c r="N79" s="628"/>
      <c r="O79" s="628"/>
      <c r="P79" s="629"/>
      <c r="Q79" s="255"/>
    </row>
    <row r="80" spans="1:17" ht="15.75" thickBot="1" x14ac:dyDescent="0.3">
      <c r="B80" s="458">
        <v>321200161</v>
      </c>
      <c r="C80" s="462" t="s">
        <v>105</v>
      </c>
      <c r="D80" s="445" t="s">
        <v>62</v>
      </c>
      <c r="E80" s="8"/>
      <c r="F80" s="695" t="s">
        <v>439</v>
      </c>
      <c r="G80" s="696"/>
      <c r="H80" s="696"/>
      <c r="I80" s="696"/>
      <c r="J80" s="696"/>
      <c r="K80" s="696"/>
      <c r="L80" s="696"/>
      <c r="M80" s="696"/>
      <c r="N80" s="696"/>
      <c r="O80" s="696"/>
      <c r="P80" s="697"/>
      <c r="Q80" s="255"/>
    </row>
    <row r="81" spans="1:17" ht="15.75" thickBot="1" x14ac:dyDescent="0.3">
      <c r="B81" s="458">
        <v>321200172</v>
      </c>
      <c r="C81" s="462" t="s">
        <v>106</v>
      </c>
      <c r="D81" s="445" t="s">
        <v>62</v>
      </c>
      <c r="E81" s="342"/>
      <c r="F81" s="695" t="s">
        <v>439</v>
      </c>
      <c r="G81" s="696"/>
      <c r="H81" s="696"/>
      <c r="I81" s="696"/>
      <c r="J81" s="696"/>
      <c r="K81" s="696"/>
      <c r="L81" s="696"/>
      <c r="M81" s="696"/>
      <c r="N81" s="696"/>
      <c r="O81" s="696"/>
      <c r="P81" s="697"/>
      <c r="Q81" s="255"/>
    </row>
    <row r="82" spans="1:17" ht="15.75" thickBot="1" x14ac:dyDescent="0.3">
      <c r="B82" s="622"/>
      <c r="C82" s="606"/>
      <c r="D82" s="623"/>
      <c r="E82" s="342"/>
      <c r="F82" s="624"/>
      <c r="G82" s="625"/>
      <c r="H82" s="625"/>
      <c r="I82" s="625"/>
      <c r="J82" s="625"/>
      <c r="K82" s="625"/>
      <c r="L82" s="625"/>
      <c r="M82" s="625"/>
      <c r="N82" s="625"/>
      <c r="O82" s="625"/>
      <c r="P82" s="626"/>
      <c r="Q82" s="255"/>
    </row>
    <row r="83" spans="1:17" ht="15.75" thickBot="1" x14ac:dyDescent="0.3">
      <c r="A83" s="572" t="s">
        <v>575</v>
      </c>
      <c r="B83" s="458">
        <v>321200192</v>
      </c>
      <c r="C83" s="12" t="s">
        <v>107</v>
      </c>
      <c r="D83" s="212" t="s">
        <v>45</v>
      </c>
      <c r="E83" s="8"/>
      <c r="F83" s="366">
        <f>+G83</f>
        <v>1100</v>
      </c>
      <c r="G83" s="375">
        <v>1100</v>
      </c>
      <c r="H83" s="126"/>
      <c r="I83" s="440" t="s">
        <v>283</v>
      </c>
      <c r="J83" s="560"/>
      <c r="K83" s="441"/>
      <c r="L83" s="441"/>
      <c r="M83" s="441"/>
      <c r="N83" s="441"/>
      <c r="O83" s="441"/>
      <c r="P83" s="442"/>
      <c r="Q83" s="255"/>
    </row>
    <row r="84" spans="1:17" ht="15.75" thickBot="1" x14ac:dyDescent="0.3">
      <c r="B84" s="622" t="s">
        <v>253</v>
      </c>
      <c r="C84" s="606"/>
      <c r="D84" s="623"/>
      <c r="E84" s="8"/>
      <c r="F84" s="627"/>
      <c r="G84" s="628"/>
      <c r="H84" s="628"/>
      <c r="I84" s="628"/>
      <c r="J84" s="628"/>
      <c r="K84" s="628"/>
      <c r="L84" s="628"/>
      <c r="M84" s="628"/>
      <c r="N84" s="628"/>
      <c r="O84" s="628"/>
      <c r="P84" s="629"/>
      <c r="Q84" s="255"/>
    </row>
    <row r="85" spans="1:17" ht="15.75" thickBot="1" x14ac:dyDescent="0.3">
      <c r="A85" s="572" t="s">
        <v>510</v>
      </c>
      <c r="B85" s="647">
        <v>32020003</v>
      </c>
      <c r="C85" s="3" t="s">
        <v>55</v>
      </c>
      <c r="D85" s="211" t="s">
        <v>54</v>
      </c>
      <c r="E85" s="8" t="s">
        <v>379</v>
      </c>
      <c r="F85" s="549">
        <f>(G85+J85)/2</f>
        <v>4182.4699999999993</v>
      </c>
      <c r="G85" s="369">
        <v>5064.9399999999996</v>
      </c>
      <c r="H85" s="304" t="s">
        <v>144</v>
      </c>
      <c r="I85" s="86" t="s">
        <v>145</v>
      </c>
      <c r="J85" s="394">
        <v>3300</v>
      </c>
      <c r="K85" s="314" t="s">
        <v>148</v>
      </c>
      <c r="L85" s="86" t="s">
        <v>147</v>
      </c>
      <c r="M85" s="88"/>
      <c r="N85" s="88"/>
      <c r="O85" s="89"/>
      <c r="P85" s="170" t="s">
        <v>146</v>
      </c>
      <c r="Q85" s="255"/>
    </row>
    <row r="86" spans="1:17" ht="15.75" thickBot="1" x14ac:dyDescent="0.3">
      <c r="A86" s="572" t="s">
        <v>509</v>
      </c>
      <c r="B86" s="647"/>
      <c r="C86" s="3" t="s">
        <v>9</v>
      </c>
      <c r="D86" s="211" t="s">
        <v>56</v>
      </c>
      <c r="E86" s="8"/>
      <c r="F86" s="366">
        <f>+G86</f>
        <v>22.857140000000001</v>
      </c>
      <c r="G86" s="368">
        <f>(34285.71/500)/3</f>
        <v>22.857140000000001</v>
      </c>
      <c r="H86" s="305" t="s">
        <v>144</v>
      </c>
      <c r="I86" s="144" t="s">
        <v>400</v>
      </c>
      <c r="J86" s="403"/>
      <c r="K86" s="145"/>
      <c r="L86" s="146"/>
      <c r="M86" s="91"/>
      <c r="N86" s="91"/>
      <c r="O86" s="92"/>
      <c r="P86" s="185" t="s">
        <v>401</v>
      </c>
      <c r="Q86" s="255"/>
    </row>
    <row r="87" spans="1:17" ht="15.75" thickBot="1" x14ac:dyDescent="0.3">
      <c r="A87" s="572" t="s">
        <v>508</v>
      </c>
      <c r="B87" s="458">
        <v>320200024</v>
      </c>
      <c r="C87" s="462" t="s">
        <v>53</v>
      </c>
      <c r="D87" s="445" t="s">
        <v>54</v>
      </c>
      <c r="E87" s="8"/>
      <c r="F87" s="366">
        <f>(G87+J87)/2</f>
        <v>4182.4699999999993</v>
      </c>
      <c r="G87" s="368">
        <v>5064.9399999999996</v>
      </c>
      <c r="H87" s="304" t="s">
        <v>144</v>
      </c>
      <c r="I87" s="86" t="s">
        <v>145</v>
      </c>
      <c r="J87" s="394">
        <v>3300</v>
      </c>
      <c r="K87" s="314" t="s">
        <v>148</v>
      </c>
      <c r="L87" s="86" t="s">
        <v>147</v>
      </c>
      <c r="M87" s="88"/>
      <c r="N87" s="88"/>
      <c r="O87" s="89"/>
      <c r="P87" s="64" t="s">
        <v>438</v>
      </c>
      <c r="Q87" s="255"/>
    </row>
    <row r="88" spans="1:17" ht="15.75" thickBot="1" x14ac:dyDescent="0.3">
      <c r="B88" s="622"/>
      <c r="C88" s="606"/>
      <c r="D88" s="623"/>
      <c r="E88" s="8"/>
      <c r="F88" s="624"/>
      <c r="G88" s="625"/>
      <c r="H88" s="625"/>
      <c r="I88" s="625"/>
      <c r="J88" s="625"/>
      <c r="K88" s="625"/>
      <c r="L88" s="625"/>
      <c r="M88" s="625"/>
      <c r="N88" s="625"/>
      <c r="O88" s="625"/>
      <c r="P88" s="626"/>
      <c r="Q88" s="255"/>
    </row>
    <row r="89" spans="1:17" ht="15.75" thickBot="1" x14ac:dyDescent="0.3">
      <c r="A89" s="572" t="s">
        <v>521</v>
      </c>
      <c r="B89" s="457">
        <v>320500026</v>
      </c>
      <c r="C89" s="3" t="s">
        <v>19</v>
      </c>
      <c r="D89" s="211" t="s">
        <v>65</v>
      </c>
      <c r="E89" s="8"/>
      <c r="F89" s="548">
        <f>(G89+J89+M89)/3</f>
        <v>374.33333333333331</v>
      </c>
      <c r="G89" s="358">
        <v>338</v>
      </c>
      <c r="H89" s="313" t="s">
        <v>165</v>
      </c>
      <c r="I89" s="147" t="s">
        <v>20</v>
      </c>
      <c r="J89" s="361">
        <f>(900/2)</f>
        <v>450</v>
      </c>
      <c r="K89" s="126" t="s">
        <v>167</v>
      </c>
      <c r="L89" s="108" t="s">
        <v>166</v>
      </c>
      <c r="M89" s="280">
        <f>(1340/2)/2</f>
        <v>335</v>
      </c>
      <c r="N89" s="148" t="s">
        <v>351</v>
      </c>
      <c r="O89" s="109" t="s">
        <v>350</v>
      </c>
      <c r="P89" s="186" t="s">
        <v>168</v>
      </c>
      <c r="Q89" s="255"/>
    </row>
    <row r="90" spans="1:17" ht="15.75" thickBot="1" x14ac:dyDescent="0.3">
      <c r="B90" s="622" t="s">
        <v>274</v>
      </c>
      <c r="C90" s="606"/>
      <c r="D90" s="623"/>
      <c r="E90" s="8"/>
      <c r="F90" s="627"/>
      <c r="G90" s="628"/>
      <c r="H90" s="628"/>
      <c r="I90" s="628"/>
      <c r="J90" s="628"/>
      <c r="K90" s="628"/>
      <c r="L90" s="628"/>
      <c r="M90" s="628"/>
      <c r="N90" s="628"/>
      <c r="O90" s="628"/>
      <c r="P90" s="629"/>
      <c r="Q90" s="255"/>
    </row>
    <row r="91" spans="1:17" ht="15.75" thickBot="1" x14ac:dyDescent="0.3">
      <c r="A91" s="572" t="s">
        <v>505</v>
      </c>
      <c r="B91" s="217">
        <v>320100112</v>
      </c>
      <c r="C91" s="5" t="s">
        <v>262</v>
      </c>
      <c r="D91" s="218" t="s">
        <v>49</v>
      </c>
      <c r="E91" s="8"/>
      <c r="F91" s="382">
        <f>(G91+J91)/2</f>
        <v>2782.4650000000001</v>
      </c>
      <c r="G91" s="383">
        <v>2707.79</v>
      </c>
      <c r="H91" s="343" t="s">
        <v>404</v>
      </c>
      <c r="I91" s="417" t="s">
        <v>403</v>
      </c>
      <c r="J91" s="404">
        <v>2857.14</v>
      </c>
      <c r="K91" s="344" t="s">
        <v>373</v>
      </c>
      <c r="L91" s="416" t="s">
        <v>374</v>
      </c>
      <c r="M91" s="272"/>
      <c r="N91" s="271"/>
      <c r="O91" s="273"/>
      <c r="P91" s="279" t="s">
        <v>140</v>
      </c>
      <c r="Q91" s="255"/>
    </row>
    <row r="92" spans="1:17" ht="15.75" thickBot="1" x14ac:dyDescent="0.3">
      <c r="A92" s="572" t="s">
        <v>506</v>
      </c>
      <c r="B92" s="217">
        <v>320100123</v>
      </c>
      <c r="C92" s="5" t="s">
        <v>263</v>
      </c>
      <c r="D92" s="218" t="s">
        <v>50</v>
      </c>
      <c r="E92" s="8"/>
      <c r="F92" s="372">
        <f>(G92+J92)/2</f>
        <v>119.48050000000001</v>
      </c>
      <c r="G92" s="384">
        <f>(7012.99/50)</f>
        <v>140.25979999999998</v>
      </c>
      <c r="H92" s="325" t="s">
        <v>139</v>
      </c>
      <c r="I92" s="418" t="s">
        <v>402</v>
      </c>
      <c r="J92" s="405">
        <f>(4935.06/50)</f>
        <v>98.701200000000014</v>
      </c>
      <c r="K92" s="345" t="s">
        <v>434</v>
      </c>
      <c r="L92" s="418" t="s">
        <v>433</v>
      </c>
      <c r="M92" s="274"/>
      <c r="N92" s="274"/>
      <c r="O92" s="275"/>
      <c r="P92" s="278" t="s">
        <v>141</v>
      </c>
      <c r="Q92" s="255"/>
    </row>
    <row r="93" spans="1:17" ht="15.75" thickBot="1" x14ac:dyDescent="0.3">
      <c r="A93" s="572" t="s">
        <v>507</v>
      </c>
      <c r="B93" s="217">
        <v>3201001710</v>
      </c>
      <c r="C93" s="5" t="s">
        <v>264</v>
      </c>
      <c r="D93" s="218" t="s">
        <v>49</v>
      </c>
      <c r="E93" s="9"/>
      <c r="F93" s="382">
        <f>(G93+J93)/2</f>
        <v>4757.1450000000004</v>
      </c>
      <c r="G93" s="383">
        <v>3800</v>
      </c>
      <c r="H93" s="343" t="s">
        <v>316</v>
      </c>
      <c r="I93" s="417" t="s">
        <v>352</v>
      </c>
      <c r="J93" s="404">
        <v>5714.29</v>
      </c>
      <c r="K93" s="344" t="s">
        <v>325</v>
      </c>
      <c r="L93" s="419" t="s">
        <v>435</v>
      </c>
      <c r="M93" s="276"/>
      <c r="N93" s="276"/>
      <c r="O93" s="277"/>
      <c r="P93" s="278" t="s">
        <v>255</v>
      </c>
      <c r="Q93" s="255"/>
    </row>
    <row r="94" spans="1:17" ht="15.75" thickBot="1" x14ac:dyDescent="0.3">
      <c r="B94" s="622" t="s">
        <v>247</v>
      </c>
      <c r="C94" s="606"/>
      <c r="D94" s="623"/>
      <c r="E94" s="9"/>
      <c r="F94" s="627"/>
      <c r="G94" s="628"/>
      <c r="H94" s="628"/>
      <c r="I94" s="628"/>
      <c r="J94" s="628"/>
      <c r="K94" s="628"/>
      <c r="L94" s="628"/>
      <c r="M94" s="628"/>
      <c r="N94" s="628"/>
      <c r="O94" s="628"/>
      <c r="P94" s="629"/>
      <c r="Q94" s="255"/>
    </row>
    <row r="95" spans="1:17" ht="18.75" customHeight="1" thickBot="1" x14ac:dyDescent="0.3">
      <c r="A95" s="572" t="s">
        <v>541</v>
      </c>
      <c r="B95" s="647">
        <v>32070006</v>
      </c>
      <c r="C95" s="446" t="s">
        <v>75</v>
      </c>
      <c r="D95" s="219" t="s">
        <v>62</v>
      </c>
      <c r="E95" s="8"/>
      <c r="F95" s="549">
        <f>(G95)</f>
        <v>100</v>
      </c>
      <c r="G95" s="369">
        <v>100</v>
      </c>
      <c r="H95" s="317" t="s">
        <v>353</v>
      </c>
      <c r="I95" s="179" t="s">
        <v>405</v>
      </c>
      <c r="J95" s="406"/>
      <c r="K95" s="150"/>
      <c r="L95" s="150"/>
      <c r="M95" s="151"/>
      <c r="N95" s="151"/>
      <c r="O95" s="152"/>
      <c r="P95" s="192"/>
      <c r="Q95" s="255"/>
    </row>
    <row r="96" spans="1:17" ht="15.75" thickBot="1" x14ac:dyDescent="0.3">
      <c r="A96" s="572" t="s">
        <v>540</v>
      </c>
      <c r="B96" s="647"/>
      <c r="C96" s="3" t="s">
        <v>74</v>
      </c>
      <c r="D96" s="211" t="s">
        <v>45</v>
      </c>
      <c r="E96" s="8"/>
      <c r="F96" s="359">
        <f>(G96+J96)/2</f>
        <v>96.545400000000001</v>
      </c>
      <c r="G96" s="360">
        <v>84</v>
      </c>
      <c r="H96" s="318" t="s">
        <v>182</v>
      </c>
      <c r="I96" s="153" t="s">
        <v>6</v>
      </c>
      <c r="J96" s="361">
        <f>(2727.27/25)</f>
        <v>109.0908</v>
      </c>
      <c r="K96" s="318" t="s">
        <v>37</v>
      </c>
      <c r="L96" s="154" t="s">
        <v>183</v>
      </c>
      <c r="M96" s="143"/>
      <c r="N96" s="143"/>
      <c r="O96" s="155"/>
      <c r="P96" s="193" t="s">
        <v>184</v>
      </c>
      <c r="Q96" s="255"/>
    </row>
    <row r="97" spans="1:17" ht="15.75" thickBot="1" x14ac:dyDescent="0.3">
      <c r="A97" s="572" t="s">
        <v>539</v>
      </c>
      <c r="B97" s="647"/>
      <c r="C97" s="3" t="s">
        <v>73</v>
      </c>
      <c r="D97" s="211" t="s">
        <v>45</v>
      </c>
      <c r="E97" s="8"/>
      <c r="F97" s="371">
        <f>(G97)</f>
        <v>738.96100000000001</v>
      </c>
      <c r="G97" s="368">
        <f>(73896.1/100)</f>
        <v>738.96100000000001</v>
      </c>
      <c r="H97" s="307" t="s">
        <v>187</v>
      </c>
      <c r="I97" s="120" t="s">
        <v>186</v>
      </c>
      <c r="J97" s="407"/>
      <c r="K97" s="156"/>
      <c r="L97" s="119"/>
      <c r="M97" s="27"/>
      <c r="N97" s="27"/>
      <c r="O97" s="101"/>
      <c r="P97" s="190"/>
      <c r="Q97" s="255"/>
    </row>
    <row r="98" spans="1:17" ht="15.75" thickBot="1" x14ac:dyDescent="0.3">
      <c r="A98" s="572" t="s">
        <v>538</v>
      </c>
      <c r="B98" s="647"/>
      <c r="C98" s="3" t="s">
        <v>72</v>
      </c>
      <c r="D98" s="211" t="s">
        <v>62</v>
      </c>
      <c r="E98" s="8"/>
      <c r="F98" s="385">
        <f t="shared" ref="F98" si="3">(G98)</f>
        <v>80</v>
      </c>
      <c r="G98" s="370">
        <v>80</v>
      </c>
      <c r="H98" s="305" t="s">
        <v>182</v>
      </c>
      <c r="I98" s="144" t="s">
        <v>185</v>
      </c>
      <c r="J98" s="403"/>
      <c r="K98" s="145"/>
      <c r="L98" s="146"/>
      <c r="M98" s="91"/>
      <c r="N98" s="91"/>
      <c r="O98" s="90"/>
      <c r="P98" s="191"/>
      <c r="Q98" s="255"/>
    </row>
    <row r="99" spans="1:17" ht="15.75" thickBot="1" x14ac:dyDescent="0.3">
      <c r="A99" s="572" t="s">
        <v>537</v>
      </c>
      <c r="B99" s="647"/>
      <c r="C99" s="462" t="s">
        <v>71</v>
      </c>
      <c r="D99" s="445" t="s">
        <v>45</v>
      </c>
      <c r="E99" s="8"/>
      <c r="F99" s="473">
        <f>(G99)</f>
        <v>277.9221</v>
      </c>
      <c r="G99" s="472">
        <f>(27792.21/100)</f>
        <v>277.9221</v>
      </c>
      <c r="H99" s="469" t="s">
        <v>187</v>
      </c>
      <c r="I99" s="475" t="s">
        <v>451</v>
      </c>
      <c r="J99" s="468"/>
      <c r="K99" s="468"/>
      <c r="L99" s="468"/>
      <c r="M99" s="468"/>
      <c r="N99" s="468"/>
      <c r="O99" s="470"/>
      <c r="P99" s="471" t="s">
        <v>452</v>
      </c>
      <c r="Q99" s="255"/>
    </row>
    <row r="100" spans="1:17" ht="15.75" thickBot="1" x14ac:dyDescent="0.3">
      <c r="B100" s="220"/>
      <c r="C100" s="50"/>
      <c r="D100" s="221"/>
      <c r="E100" s="8"/>
      <c r="F100" s="698"/>
      <c r="G100" s="699"/>
      <c r="H100" s="699"/>
      <c r="I100" s="699"/>
      <c r="J100" s="699"/>
      <c r="K100" s="699"/>
      <c r="L100" s="699"/>
      <c r="M100" s="699"/>
      <c r="N100" s="699"/>
      <c r="O100" s="699"/>
      <c r="P100" s="700"/>
      <c r="Q100" s="255"/>
    </row>
    <row r="101" spans="1:17" ht="15.75" thickBot="1" x14ac:dyDescent="0.3">
      <c r="A101" s="572" t="s">
        <v>592</v>
      </c>
      <c r="B101" s="459">
        <v>321600081</v>
      </c>
      <c r="C101" s="7" t="s">
        <v>120</v>
      </c>
      <c r="D101" s="219" t="s">
        <v>45</v>
      </c>
      <c r="E101" s="8"/>
      <c r="F101" s="371">
        <f>(G101+J101)/2</f>
        <v>2803</v>
      </c>
      <c r="G101" s="375">
        <v>1856</v>
      </c>
      <c r="H101" s="157"/>
      <c r="I101" s="135" t="s">
        <v>234</v>
      </c>
      <c r="J101" s="361">
        <v>3750</v>
      </c>
      <c r="K101" s="303" t="s">
        <v>329</v>
      </c>
      <c r="L101" s="701" t="s">
        <v>328</v>
      </c>
      <c r="M101" s="702"/>
      <c r="N101" s="702"/>
      <c r="O101" s="702"/>
      <c r="P101" s="703"/>
      <c r="Q101" s="255"/>
    </row>
    <row r="102" spans="1:17" ht="15.75" thickBot="1" x14ac:dyDescent="0.3">
      <c r="B102" s="622" t="s">
        <v>252</v>
      </c>
      <c r="C102" s="606"/>
      <c r="D102" s="623"/>
      <c r="E102" s="8"/>
      <c r="F102" s="627"/>
      <c r="G102" s="628"/>
      <c r="H102" s="628"/>
      <c r="I102" s="628"/>
      <c r="J102" s="628"/>
      <c r="K102" s="628"/>
      <c r="L102" s="628"/>
      <c r="M102" s="628"/>
      <c r="N102" s="628"/>
      <c r="O102" s="628"/>
      <c r="P102" s="629"/>
      <c r="Q102" s="255"/>
    </row>
    <row r="103" spans="1:17" ht="15.75" thickBot="1" x14ac:dyDescent="0.3">
      <c r="A103" s="572" t="s">
        <v>518</v>
      </c>
      <c r="B103" s="289">
        <v>32030001</v>
      </c>
      <c r="C103" s="3" t="s">
        <v>10</v>
      </c>
      <c r="D103" s="211" t="s">
        <v>45</v>
      </c>
      <c r="E103" s="8"/>
      <c r="F103" s="548">
        <f>(G103+J103)/2</f>
        <v>22.43</v>
      </c>
      <c r="G103" s="358">
        <f>(2196/100)</f>
        <v>21.96</v>
      </c>
      <c r="H103" s="313" t="s">
        <v>162</v>
      </c>
      <c r="I103" s="147" t="s">
        <v>163</v>
      </c>
      <c r="J103" s="361">
        <f>(2290/100)</f>
        <v>22.9</v>
      </c>
      <c r="K103" s="313"/>
      <c r="L103" s="568" t="s">
        <v>383</v>
      </c>
      <c r="M103" s="158"/>
      <c r="N103" s="158"/>
      <c r="O103" s="109"/>
      <c r="P103" s="170" t="s">
        <v>164</v>
      </c>
      <c r="Q103" s="255"/>
    </row>
    <row r="104" spans="1:17" ht="15.75" thickBot="1" x14ac:dyDescent="0.3">
      <c r="B104" s="675"/>
      <c r="C104" s="613"/>
      <c r="D104" s="677"/>
      <c r="E104" s="8"/>
      <c r="F104" s="627"/>
      <c r="G104" s="628"/>
      <c r="H104" s="628"/>
      <c r="I104" s="628"/>
      <c r="J104" s="628"/>
      <c r="K104" s="628"/>
      <c r="L104" s="628"/>
      <c r="M104" s="628"/>
      <c r="N104" s="628"/>
      <c r="O104" s="628"/>
      <c r="P104" s="629"/>
      <c r="Q104" s="255"/>
    </row>
    <row r="105" spans="1:17" ht="15.75" thickBot="1" x14ac:dyDescent="0.3">
      <c r="B105" s="458">
        <v>321500154</v>
      </c>
      <c r="C105" s="462" t="s">
        <v>293</v>
      </c>
      <c r="D105" s="445" t="s">
        <v>62</v>
      </c>
      <c r="E105" s="8"/>
      <c r="F105" s="695" t="s">
        <v>442</v>
      </c>
      <c r="G105" s="696"/>
      <c r="H105" s="696"/>
      <c r="I105" s="696"/>
      <c r="J105" s="696"/>
      <c r="K105" s="696"/>
      <c r="L105" s="696"/>
      <c r="M105" s="696"/>
      <c r="N105" s="696"/>
      <c r="O105" s="696"/>
      <c r="P105" s="697"/>
      <c r="Q105" s="255"/>
    </row>
    <row r="106" spans="1:17" ht="15.75" thickBot="1" x14ac:dyDescent="0.3">
      <c r="B106" s="622" t="s">
        <v>275</v>
      </c>
      <c r="C106" s="606"/>
      <c r="D106" s="623"/>
      <c r="E106" s="8"/>
      <c r="F106" s="627"/>
      <c r="G106" s="628"/>
      <c r="H106" s="628"/>
      <c r="I106" s="628"/>
      <c r="J106" s="628"/>
      <c r="K106" s="628"/>
      <c r="L106" s="628"/>
      <c r="M106" s="628"/>
      <c r="N106" s="628"/>
      <c r="O106" s="628"/>
      <c r="P106" s="629"/>
      <c r="Q106" s="255"/>
    </row>
    <row r="107" spans="1:17" ht="15.75" thickBot="1" x14ac:dyDescent="0.3">
      <c r="A107" s="572" t="s">
        <v>543</v>
      </c>
      <c r="B107" s="643">
        <v>32070007</v>
      </c>
      <c r="C107" s="1" t="s">
        <v>77</v>
      </c>
      <c r="D107" s="208" t="s">
        <v>45</v>
      </c>
      <c r="E107" s="8"/>
      <c r="F107" s="386">
        <f>(G107+J107+M107)/3</f>
        <v>11.728499999999999</v>
      </c>
      <c r="G107" s="367">
        <f>(954.55/100)</f>
        <v>9.5454999999999988</v>
      </c>
      <c r="H107" s="306" t="s">
        <v>37</v>
      </c>
      <c r="I107" s="131" t="s">
        <v>191</v>
      </c>
      <c r="J107" s="394">
        <f>(864/100)</f>
        <v>8.64</v>
      </c>
      <c r="K107" s="321" t="s">
        <v>331</v>
      </c>
      <c r="L107" s="131" t="s">
        <v>330</v>
      </c>
      <c r="M107" s="159">
        <f>(1700/100)</f>
        <v>17</v>
      </c>
      <c r="N107" s="324" t="s">
        <v>331</v>
      </c>
      <c r="O107" s="160" t="s">
        <v>332</v>
      </c>
      <c r="P107" s="65" t="s">
        <v>189</v>
      </c>
      <c r="Q107" s="255"/>
    </row>
    <row r="108" spans="1:17" ht="15.75" thickBot="1" x14ac:dyDescent="0.3">
      <c r="A108" s="572" t="s">
        <v>544</v>
      </c>
      <c r="B108" s="643"/>
      <c r="C108" s="1" t="s">
        <v>78</v>
      </c>
      <c r="D108" s="208" t="s">
        <v>45</v>
      </c>
      <c r="E108" s="8"/>
      <c r="F108" s="365">
        <f>(G108+J108)/2</f>
        <v>17.590900000000001</v>
      </c>
      <c r="G108" s="387">
        <f>(1218.18/100)</f>
        <v>12.181800000000001</v>
      </c>
      <c r="H108" s="319" t="s">
        <v>188</v>
      </c>
      <c r="I108" s="161" t="s">
        <v>5</v>
      </c>
      <c r="J108" s="399">
        <f>(2300/100)</f>
        <v>23</v>
      </c>
      <c r="K108" s="322" t="s">
        <v>331</v>
      </c>
      <c r="L108" s="85" t="s">
        <v>333</v>
      </c>
      <c r="M108" s="29"/>
      <c r="N108" s="29"/>
      <c r="O108" s="257"/>
      <c r="P108" s="65" t="s">
        <v>189</v>
      </c>
      <c r="Q108" s="255"/>
    </row>
    <row r="109" spans="1:17" ht="15.75" thickBot="1" x14ac:dyDescent="0.3">
      <c r="A109" s="572" t="s">
        <v>545</v>
      </c>
      <c r="B109" s="643"/>
      <c r="C109" s="1" t="s">
        <v>79</v>
      </c>
      <c r="D109" s="208" t="s">
        <v>45</v>
      </c>
      <c r="E109" s="8"/>
      <c r="F109" s="365">
        <f t="shared" ref="F109:F110" si="4">(G109+J109)/2</f>
        <v>35.811700000000002</v>
      </c>
      <c r="G109" s="387">
        <f>(1831.17/50)</f>
        <v>36.623400000000004</v>
      </c>
      <c r="H109" s="319" t="s">
        <v>188</v>
      </c>
      <c r="I109" s="161" t="s">
        <v>192</v>
      </c>
      <c r="J109" s="376">
        <f>(1750/50)</f>
        <v>35</v>
      </c>
      <c r="K109" s="323" t="s">
        <v>331</v>
      </c>
      <c r="L109" s="162" t="s">
        <v>334</v>
      </c>
      <c r="M109" s="163"/>
      <c r="N109" s="163"/>
      <c r="O109" s="160"/>
      <c r="P109" s="65" t="s">
        <v>193</v>
      </c>
      <c r="Q109" s="255"/>
    </row>
    <row r="110" spans="1:17" ht="15.75" thickBot="1" x14ac:dyDescent="0.3">
      <c r="A110" s="572" t="s">
        <v>546</v>
      </c>
      <c r="B110" s="643"/>
      <c r="C110" s="6" t="s">
        <v>80</v>
      </c>
      <c r="D110" s="222" t="s">
        <v>45</v>
      </c>
      <c r="E110" s="8"/>
      <c r="F110" s="365">
        <f t="shared" si="4"/>
        <v>76</v>
      </c>
      <c r="G110" s="387">
        <f>(2250/25)</f>
        <v>90</v>
      </c>
      <c r="H110" s="319" t="s">
        <v>454</v>
      </c>
      <c r="I110" s="476" t="s">
        <v>453</v>
      </c>
      <c r="J110" s="399">
        <f>(1550/25)</f>
        <v>62</v>
      </c>
      <c r="K110" s="322" t="s">
        <v>335</v>
      </c>
      <c r="L110" s="85" t="s">
        <v>455</v>
      </c>
      <c r="M110" s="29"/>
      <c r="N110" s="29"/>
      <c r="O110" s="257"/>
      <c r="P110" s="65"/>
      <c r="Q110" s="255"/>
    </row>
    <row r="111" spans="1:17" ht="15.75" thickBot="1" x14ac:dyDescent="0.3">
      <c r="A111" s="572" t="s">
        <v>542</v>
      </c>
      <c r="B111" s="643"/>
      <c r="C111" s="1" t="s">
        <v>76</v>
      </c>
      <c r="D111" s="208" t="s">
        <v>45</v>
      </c>
      <c r="E111" s="8"/>
      <c r="F111" s="388">
        <f t="shared" ref="F111" si="5">(G111)</f>
        <v>8.2338000000000005</v>
      </c>
      <c r="G111" s="389">
        <f>(823.38/100)</f>
        <v>8.2338000000000005</v>
      </c>
      <c r="H111" s="320" t="s">
        <v>37</v>
      </c>
      <c r="I111" s="96" t="s">
        <v>190</v>
      </c>
      <c r="J111" s="408"/>
      <c r="K111" s="164"/>
      <c r="L111" s="162"/>
      <c r="M111" s="163"/>
      <c r="N111" s="163"/>
      <c r="O111" s="160"/>
      <c r="P111" s="65" t="s">
        <v>189</v>
      </c>
      <c r="Q111" s="255"/>
    </row>
    <row r="112" spans="1:17" ht="15.75" thickBot="1" x14ac:dyDescent="0.3">
      <c r="B112" s="622"/>
      <c r="C112" s="606"/>
      <c r="D112" s="623"/>
      <c r="E112" s="8"/>
      <c r="F112" s="627"/>
      <c r="G112" s="628"/>
      <c r="H112" s="628"/>
      <c r="I112" s="628"/>
      <c r="J112" s="628"/>
      <c r="K112" s="628"/>
      <c r="L112" s="628"/>
      <c r="M112" s="628"/>
      <c r="N112" s="628"/>
      <c r="O112" s="628"/>
      <c r="P112" s="629"/>
      <c r="Q112" s="255"/>
    </row>
    <row r="113" spans="1:17" ht="15.75" thickBot="1" x14ac:dyDescent="0.3">
      <c r="A113" s="572" t="s">
        <v>566</v>
      </c>
      <c r="B113" s="457">
        <v>321100011</v>
      </c>
      <c r="C113" s="3" t="s">
        <v>25</v>
      </c>
      <c r="D113" s="211" t="s">
        <v>45</v>
      </c>
      <c r="E113" s="8"/>
      <c r="F113" s="366">
        <f>(G113+J113)/2</f>
        <v>51.5779</v>
      </c>
      <c r="G113" s="375">
        <v>59</v>
      </c>
      <c r="H113" s="126"/>
      <c r="I113" s="568" t="s">
        <v>216</v>
      </c>
      <c r="J113" s="361">
        <f>(2207.79/50)</f>
        <v>44.155799999999999</v>
      </c>
      <c r="K113" s="313" t="s">
        <v>218</v>
      </c>
      <c r="L113" s="707" t="s">
        <v>217</v>
      </c>
      <c r="M113" s="708"/>
      <c r="N113" s="708"/>
      <c r="O113" s="708"/>
      <c r="P113" s="709"/>
      <c r="Q113" s="255"/>
    </row>
    <row r="114" spans="1:17" ht="15.75" thickBot="1" x14ac:dyDescent="0.3">
      <c r="B114" s="622" t="s">
        <v>291</v>
      </c>
      <c r="C114" s="606"/>
      <c r="D114" s="623"/>
      <c r="E114" s="8"/>
      <c r="F114" s="627"/>
      <c r="G114" s="628"/>
      <c r="H114" s="628"/>
      <c r="I114" s="628"/>
      <c r="J114" s="628"/>
      <c r="K114" s="628"/>
      <c r="L114" s="628"/>
      <c r="M114" s="628"/>
      <c r="N114" s="628"/>
      <c r="O114" s="628"/>
      <c r="P114" s="629"/>
      <c r="Q114" s="255"/>
    </row>
    <row r="115" spans="1:17" ht="15.75" thickBot="1" x14ac:dyDescent="0.3">
      <c r="A115" s="572" t="s">
        <v>561</v>
      </c>
      <c r="B115" s="710">
        <v>32090019</v>
      </c>
      <c r="C115" s="14" t="s">
        <v>92</v>
      </c>
      <c r="D115" s="223" t="s">
        <v>62</v>
      </c>
      <c r="E115" s="8"/>
      <c r="F115" s="371">
        <f t="shared" ref="F115:F117" si="6">(G115)</f>
        <v>1201.3</v>
      </c>
      <c r="G115" s="369">
        <f>(1201.3)</f>
        <v>1201.3</v>
      </c>
      <c r="H115" s="304" t="s">
        <v>210</v>
      </c>
      <c r="I115" s="165" t="s">
        <v>209</v>
      </c>
      <c r="J115" s="477"/>
      <c r="K115" s="315"/>
      <c r="L115" s="131"/>
      <c r="M115" s="132"/>
      <c r="N115" s="132"/>
      <c r="O115" s="133"/>
      <c r="P115" s="194"/>
      <c r="Q115" s="255"/>
    </row>
    <row r="116" spans="1:17" ht="15.75" thickBot="1" x14ac:dyDescent="0.3">
      <c r="A116" s="572" t="s">
        <v>560</v>
      </c>
      <c r="B116" s="710"/>
      <c r="C116" s="14" t="s">
        <v>90</v>
      </c>
      <c r="D116" s="223" t="s">
        <v>62</v>
      </c>
      <c r="E116" s="8"/>
      <c r="F116" s="371">
        <f t="shared" si="6"/>
        <v>1201.3</v>
      </c>
      <c r="G116" s="368">
        <v>1201.3</v>
      </c>
      <c r="H116" s="307" t="s">
        <v>210</v>
      </c>
      <c r="I116" s="166" t="s">
        <v>212</v>
      </c>
      <c r="J116" s="478"/>
      <c r="K116" s="325"/>
      <c r="L116" s="85"/>
      <c r="M116" s="30"/>
      <c r="N116" s="30"/>
      <c r="O116" s="167"/>
      <c r="P116" s="195"/>
      <c r="Q116" s="255"/>
    </row>
    <row r="117" spans="1:17" ht="15.75" thickBot="1" x14ac:dyDescent="0.3">
      <c r="A117" s="572" t="s">
        <v>562</v>
      </c>
      <c r="B117" s="710"/>
      <c r="C117" s="14" t="s">
        <v>91</v>
      </c>
      <c r="D117" s="223" t="s">
        <v>62</v>
      </c>
      <c r="E117" s="8"/>
      <c r="F117" s="371">
        <f t="shared" si="6"/>
        <v>1201.3</v>
      </c>
      <c r="G117" s="368">
        <v>1201.3</v>
      </c>
      <c r="H117" s="307" t="s">
        <v>210</v>
      </c>
      <c r="I117" s="166" t="s">
        <v>211</v>
      </c>
      <c r="J117" s="478"/>
      <c r="K117" s="325"/>
      <c r="L117" s="85"/>
      <c r="M117" s="30"/>
      <c r="N117" s="30"/>
      <c r="O117" s="167"/>
      <c r="P117" s="196"/>
      <c r="Q117" s="255"/>
    </row>
    <row r="118" spans="1:17" ht="15.75" thickBot="1" x14ac:dyDescent="0.3">
      <c r="A118" s="572" t="s">
        <v>568</v>
      </c>
      <c r="B118" s="711">
        <v>32120004</v>
      </c>
      <c r="C118" s="14" t="s">
        <v>28</v>
      </c>
      <c r="D118" s="223" t="s">
        <v>45</v>
      </c>
      <c r="E118" s="8"/>
      <c r="F118" s="371">
        <f>+(G118+J118)/2</f>
        <v>270.79219999999998</v>
      </c>
      <c r="G118" s="368">
        <f>(43896.1/250)</f>
        <v>175.58439999999999</v>
      </c>
      <c r="H118" s="307" t="s">
        <v>37</v>
      </c>
      <c r="I118" s="168" t="s">
        <v>29</v>
      </c>
      <c r="J118" s="558">
        <v>366</v>
      </c>
      <c r="K118" s="168"/>
      <c r="L118" s="168" t="s">
        <v>476</v>
      </c>
      <c r="M118" s="31"/>
      <c r="N118" s="31"/>
      <c r="O118" s="169"/>
      <c r="P118" s="170" t="s">
        <v>479</v>
      </c>
      <c r="Q118" s="255"/>
    </row>
    <row r="119" spans="1:17" ht="15.75" thickBot="1" x14ac:dyDescent="0.3">
      <c r="A119" s="572" t="s">
        <v>567</v>
      </c>
      <c r="B119" s="711"/>
      <c r="C119" s="7" t="s">
        <v>98</v>
      </c>
      <c r="D119" s="219" t="s">
        <v>45</v>
      </c>
      <c r="E119" s="8"/>
      <c r="F119" s="371">
        <f>+(G119+J119)/2</f>
        <v>136.51949999999999</v>
      </c>
      <c r="G119" s="368">
        <f>(11103.9/100)</f>
        <v>111.039</v>
      </c>
      <c r="H119" s="307" t="s">
        <v>37</v>
      </c>
      <c r="I119" s="119" t="s">
        <v>219</v>
      </c>
      <c r="J119" s="558">
        <v>162</v>
      </c>
      <c r="K119" s="119"/>
      <c r="L119" s="119" t="s">
        <v>477</v>
      </c>
      <c r="M119" s="27"/>
      <c r="N119" s="27"/>
      <c r="O119" s="104"/>
      <c r="P119" s="170" t="s">
        <v>478</v>
      </c>
      <c r="Q119" s="255"/>
    </row>
    <row r="120" spans="1:17" ht="15.75" thickBot="1" x14ac:dyDescent="0.3">
      <c r="A120" s="572" t="s">
        <v>571</v>
      </c>
      <c r="B120" s="712">
        <v>32120005</v>
      </c>
      <c r="C120" s="4" t="s">
        <v>102</v>
      </c>
      <c r="D120" s="213" t="s">
        <v>45</v>
      </c>
      <c r="E120" s="8"/>
      <c r="F120" s="371">
        <f>(G120+J120)/2</f>
        <v>515</v>
      </c>
      <c r="G120" s="368">
        <v>280</v>
      </c>
      <c r="H120" s="116"/>
      <c r="I120" s="119" t="s">
        <v>27</v>
      </c>
      <c r="J120" s="558">
        <v>750</v>
      </c>
      <c r="K120" s="119"/>
      <c r="L120" s="119" t="s">
        <v>483</v>
      </c>
      <c r="M120" s="27"/>
      <c r="N120" s="27"/>
      <c r="O120" s="101"/>
      <c r="P120" s="188"/>
      <c r="Q120" s="255"/>
    </row>
    <row r="121" spans="1:17" ht="15.75" thickBot="1" x14ac:dyDescent="0.3">
      <c r="A121" s="572" t="s">
        <v>569</v>
      </c>
      <c r="B121" s="712"/>
      <c r="C121" s="77" t="s">
        <v>99</v>
      </c>
      <c r="D121" s="213" t="s">
        <v>100</v>
      </c>
      <c r="E121" s="8"/>
      <c r="F121" s="371">
        <f>+(G121+J121)/2</f>
        <v>378</v>
      </c>
      <c r="G121" s="368">
        <v>270</v>
      </c>
      <c r="H121" s="307" t="s">
        <v>259</v>
      </c>
      <c r="I121" s="438" t="s">
        <v>258</v>
      </c>
      <c r="J121" s="558">
        <v>486</v>
      </c>
      <c r="K121" s="119"/>
      <c r="L121" s="119" t="s">
        <v>480</v>
      </c>
      <c r="M121" s="27"/>
      <c r="N121" s="27"/>
      <c r="O121" s="104"/>
      <c r="P121" s="170" t="s">
        <v>481</v>
      </c>
      <c r="Q121" s="255"/>
    </row>
    <row r="122" spans="1:17" ht="15.75" thickBot="1" x14ac:dyDescent="0.3">
      <c r="A122" s="572" t="s">
        <v>570</v>
      </c>
      <c r="B122" s="712"/>
      <c r="C122" s="4" t="s">
        <v>101</v>
      </c>
      <c r="D122" s="213" t="s">
        <v>100</v>
      </c>
      <c r="E122" s="8"/>
      <c r="F122" s="371">
        <f>+(G122+J122)/2</f>
        <v>378</v>
      </c>
      <c r="G122" s="368">
        <v>270</v>
      </c>
      <c r="H122" s="307" t="s">
        <v>259</v>
      </c>
      <c r="I122" s="119" t="s">
        <v>258</v>
      </c>
      <c r="J122" s="558">
        <v>486</v>
      </c>
      <c r="K122" s="119"/>
      <c r="L122" s="119" t="s">
        <v>482</v>
      </c>
      <c r="M122" s="27"/>
      <c r="N122" s="27"/>
      <c r="O122" s="101"/>
      <c r="P122" s="170" t="s">
        <v>481</v>
      </c>
      <c r="Q122" s="255"/>
    </row>
    <row r="123" spans="1:17" ht="15.75" thickBot="1" x14ac:dyDescent="0.3">
      <c r="A123" s="572" t="s">
        <v>572</v>
      </c>
      <c r="B123" s="712"/>
      <c r="C123" s="4" t="s">
        <v>26</v>
      </c>
      <c r="D123" s="213" t="s">
        <v>45</v>
      </c>
      <c r="E123" s="8"/>
      <c r="F123" s="371">
        <f>(G123+J123)/2</f>
        <v>515</v>
      </c>
      <c r="G123" s="370">
        <v>280</v>
      </c>
      <c r="H123" s="141"/>
      <c r="I123" s="146" t="s">
        <v>27</v>
      </c>
      <c r="J123" s="552">
        <v>750</v>
      </c>
      <c r="K123" s="146"/>
      <c r="L123" s="146" t="s">
        <v>483</v>
      </c>
      <c r="M123" s="91"/>
      <c r="N123" s="91"/>
      <c r="O123" s="90"/>
      <c r="P123" s="191"/>
      <c r="Q123" s="255"/>
    </row>
    <row r="124" spans="1:17" ht="15.75" thickBot="1" x14ac:dyDescent="0.3">
      <c r="B124" s="622" t="s">
        <v>248</v>
      </c>
      <c r="C124" s="606"/>
      <c r="D124" s="623"/>
      <c r="E124" s="255"/>
      <c r="F124" s="704"/>
      <c r="G124" s="705"/>
      <c r="H124" s="705"/>
      <c r="I124" s="705"/>
      <c r="J124" s="705"/>
      <c r="K124" s="705"/>
      <c r="L124" s="705"/>
      <c r="M124" s="705"/>
      <c r="N124" s="705"/>
      <c r="O124" s="705"/>
      <c r="P124" s="706"/>
      <c r="Q124" s="255"/>
    </row>
    <row r="125" spans="1:17" ht="15.75" thickBot="1" x14ac:dyDescent="0.3">
      <c r="B125" s="458">
        <v>32120011</v>
      </c>
      <c r="C125" s="462" t="s">
        <v>276</v>
      </c>
      <c r="D125" s="445" t="s">
        <v>45</v>
      </c>
      <c r="E125" s="8"/>
      <c r="F125" s="695" t="s">
        <v>441</v>
      </c>
      <c r="G125" s="696"/>
      <c r="H125" s="696"/>
      <c r="I125" s="696"/>
      <c r="J125" s="696"/>
      <c r="K125" s="696"/>
      <c r="L125" s="696"/>
      <c r="M125" s="696"/>
      <c r="N125" s="696"/>
      <c r="O125" s="696"/>
      <c r="P125" s="697"/>
      <c r="Q125" s="255"/>
    </row>
    <row r="126" spans="1:17" ht="15.75" thickBot="1" x14ac:dyDescent="0.3">
      <c r="B126" s="622" t="s">
        <v>251</v>
      </c>
      <c r="C126" s="606"/>
      <c r="D126" s="623"/>
      <c r="E126" s="8"/>
      <c r="F126" s="627"/>
      <c r="G126" s="628"/>
      <c r="H126" s="628"/>
      <c r="I126" s="628"/>
      <c r="J126" s="628"/>
      <c r="K126" s="628"/>
      <c r="L126" s="628"/>
      <c r="M126" s="628"/>
      <c r="N126" s="628"/>
      <c r="O126" s="628"/>
      <c r="P126" s="629"/>
      <c r="Q126" s="255"/>
    </row>
    <row r="127" spans="1:17" ht="15.75" thickBot="1" x14ac:dyDescent="0.3">
      <c r="A127" s="572" t="s">
        <v>548</v>
      </c>
      <c r="B127" s="647">
        <v>32080004</v>
      </c>
      <c r="C127" s="569" t="s">
        <v>82</v>
      </c>
      <c r="D127" s="570" t="s">
        <v>45</v>
      </c>
      <c r="E127" s="8"/>
      <c r="F127" s="371">
        <f>(G127)</f>
        <v>272</v>
      </c>
      <c r="G127" s="369">
        <v>272</v>
      </c>
      <c r="H127" s="304" t="s">
        <v>354</v>
      </c>
      <c r="I127" s="571" t="s">
        <v>194</v>
      </c>
      <c r="J127" s="410"/>
      <c r="K127" s="99"/>
      <c r="L127" s="99"/>
      <c r="M127" s="88"/>
      <c r="N127" s="88"/>
      <c r="O127" s="86"/>
      <c r="P127" s="190"/>
      <c r="Q127" s="255"/>
    </row>
    <row r="128" spans="1:17" ht="15.75" thickBot="1" x14ac:dyDescent="0.3">
      <c r="A128" s="572" t="s">
        <v>549</v>
      </c>
      <c r="B128" s="647"/>
      <c r="C128" s="3" t="s">
        <v>83</v>
      </c>
      <c r="D128" s="211" t="s">
        <v>45</v>
      </c>
      <c r="E128" s="8"/>
      <c r="F128" s="371">
        <f t="shared" ref="F128:F129" si="7">(G128)</f>
        <v>367</v>
      </c>
      <c r="G128" s="368">
        <v>367</v>
      </c>
      <c r="H128" s="304" t="s">
        <v>354</v>
      </c>
      <c r="I128" s="119" t="s">
        <v>194</v>
      </c>
      <c r="J128" s="400"/>
      <c r="K128" s="119"/>
      <c r="L128" s="119"/>
      <c r="M128" s="27"/>
      <c r="N128" s="27"/>
      <c r="O128" s="101"/>
      <c r="P128" s="197"/>
      <c r="Q128" s="255"/>
    </row>
    <row r="129" spans="1:17" ht="15.75" thickBot="1" x14ac:dyDescent="0.3">
      <c r="A129" s="572" t="s">
        <v>550</v>
      </c>
      <c r="B129" s="647"/>
      <c r="C129" s="3" t="s">
        <v>8</v>
      </c>
      <c r="D129" s="211" t="s">
        <v>45</v>
      </c>
      <c r="E129" s="8"/>
      <c r="F129" s="371">
        <f t="shared" si="7"/>
        <v>272</v>
      </c>
      <c r="G129" s="368">
        <v>272</v>
      </c>
      <c r="H129" s="304" t="s">
        <v>354</v>
      </c>
      <c r="I129" s="119" t="s">
        <v>194</v>
      </c>
      <c r="J129" s="400"/>
      <c r="K129" s="119"/>
      <c r="L129" s="119"/>
      <c r="M129" s="27"/>
      <c r="N129" s="27"/>
      <c r="O129" s="101"/>
      <c r="P129" s="197"/>
      <c r="Q129" s="255"/>
    </row>
    <row r="130" spans="1:17" ht="15.75" thickBot="1" x14ac:dyDescent="0.3">
      <c r="A130" s="572" t="s">
        <v>551</v>
      </c>
      <c r="B130" s="458">
        <v>320800057</v>
      </c>
      <c r="C130" s="12" t="s">
        <v>266</v>
      </c>
      <c r="D130" s="212" t="s">
        <v>45</v>
      </c>
      <c r="E130" s="8"/>
      <c r="F130" s="366">
        <f>(G130)</f>
        <v>585</v>
      </c>
      <c r="G130" s="370">
        <v>585</v>
      </c>
      <c r="H130" s="304" t="s">
        <v>354</v>
      </c>
      <c r="I130" s="97" t="s">
        <v>288</v>
      </c>
      <c r="J130" s="397"/>
      <c r="K130" s="97"/>
      <c r="L130" s="97"/>
      <c r="M130" s="98"/>
      <c r="N130" s="98"/>
      <c r="O130" s="149"/>
      <c r="P130" s="198"/>
      <c r="Q130" s="255"/>
    </row>
    <row r="131" spans="1:17" ht="15.75" thickBot="1" x14ac:dyDescent="0.3">
      <c r="B131" s="622"/>
      <c r="C131" s="606"/>
      <c r="D131" s="623"/>
      <c r="E131" s="8"/>
      <c r="F131" s="627"/>
      <c r="G131" s="628"/>
      <c r="H131" s="628"/>
      <c r="I131" s="628"/>
      <c r="J131" s="628"/>
      <c r="K131" s="628"/>
      <c r="L131" s="628"/>
      <c r="M131" s="628"/>
      <c r="N131" s="628"/>
      <c r="O131" s="628"/>
      <c r="P131" s="629"/>
      <c r="Q131" s="255"/>
    </row>
    <row r="132" spans="1:17" ht="15.75" thickBot="1" x14ac:dyDescent="0.3">
      <c r="A132" s="572" t="s">
        <v>557</v>
      </c>
      <c r="B132" s="457">
        <v>320900102</v>
      </c>
      <c r="C132" s="3" t="s">
        <v>87</v>
      </c>
      <c r="D132" s="211" t="s">
        <v>62</v>
      </c>
      <c r="E132" s="8"/>
      <c r="F132" s="371">
        <f>(G132)</f>
        <v>413</v>
      </c>
      <c r="G132" s="375">
        <v>413</v>
      </c>
      <c r="H132" s="126"/>
      <c r="I132" s="124" t="s">
        <v>205</v>
      </c>
      <c r="J132" s="402"/>
      <c r="K132" s="124"/>
      <c r="L132" s="124"/>
      <c r="M132" s="158"/>
      <c r="N132" s="158"/>
      <c r="O132" s="108"/>
      <c r="P132" s="188"/>
      <c r="Q132" s="255"/>
    </row>
    <row r="133" spans="1:17" ht="15.75" thickBot="1" x14ac:dyDescent="0.3">
      <c r="B133" s="622" t="s">
        <v>277</v>
      </c>
      <c r="C133" s="606"/>
      <c r="D133" s="623"/>
      <c r="E133" s="8"/>
      <c r="F133" s="627"/>
      <c r="G133" s="628"/>
      <c r="H133" s="628"/>
      <c r="I133" s="628"/>
      <c r="J133" s="628"/>
      <c r="K133" s="628"/>
      <c r="L133" s="628"/>
      <c r="M133" s="628"/>
      <c r="N133" s="628"/>
      <c r="O133" s="628"/>
      <c r="P133" s="629"/>
      <c r="Q133" s="255"/>
    </row>
    <row r="134" spans="1:17" ht="15.75" thickBot="1" x14ac:dyDescent="0.3">
      <c r="A134" s="572" t="s">
        <v>559</v>
      </c>
      <c r="B134" s="457">
        <v>320900135</v>
      </c>
      <c r="C134" s="3" t="s">
        <v>89</v>
      </c>
      <c r="D134" s="211" t="s">
        <v>45</v>
      </c>
      <c r="E134" s="8"/>
      <c r="F134" s="374">
        <f>(G134)</f>
        <v>95.779250000000005</v>
      </c>
      <c r="G134" s="369">
        <f>(7662.34/8)/10</f>
        <v>95.779250000000005</v>
      </c>
      <c r="H134" s="114" t="s">
        <v>1</v>
      </c>
      <c r="I134" s="99" t="s">
        <v>206</v>
      </c>
      <c r="J134" s="410"/>
      <c r="K134" s="99"/>
      <c r="L134" s="99"/>
      <c r="M134" s="88"/>
      <c r="N134" s="88"/>
      <c r="O134" s="89"/>
      <c r="P134" s="170" t="s">
        <v>208</v>
      </c>
      <c r="Q134" s="255"/>
    </row>
    <row r="135" spans="1:17" ht="15.75" thickBot="1" x14ac:dyDescent="0.3">
      <c r="A135" s="572" t="s">
        <v>558</v>
      </c>
      <c r="B135" s="457">
        <v>320900131</v>
      </c>
      <c r="C135" s="3" t="s">
        <v>88</v>
      </c>
      <c r="D135" s="211" t="s">
        <v>45</v>
      </c>
      <c r="E135" s="8"/>
      <c r="F135" s="385">
        <f>(G135)</f>
        <v>162.33781250000001</v>
      </c>
      <c r="G135" s="370">
        <f>(5194.81/2)/16</f>
        <v>162.33781250000001</v>
      </c>
      <c r="H135" s="141" t="s">
        <v>1</v>
      </c>
      <c r="I135" s="146" t="s">
        <v>207</v>
      </c>
      <c r="J135" s="409"/>
      <c r="K135" s="146"/>
      <c r="L135" s="146"/>
      <c r="M135" s="91"/>
      <c r="N135" s="91"/>
      <c r="O135" s="92"/>
      <c r="P135" s="170" t="s">
        <v>375</v>
      </c>
      <c r="Q135" s="255"/>
    </row>
    <row r="136" spans="1:17" ht="15.75" thickBot="1" x14ac:dyDescent="0.3">
      <c r="B136" s="622"/>
      <c r="C136" s="606"/>
      <c r="D136" s="623"/>
      <c r="E136" s="8"/>
      <c r="F136" s="627"/>
      <c r="G136" s="628"/>
      <c r="H136" s="628"/>
      <c r="I136" s="628"/>
      <c r="J136" s="628"/>
      <c r="K136" s="628"/>
      <c r="L136" s="628"/>
      <c r="M136" s="628"/>
      <c r="N136" s="628"/>
      <c r="O136" s="628"/>
      <c r="P136" s="629"/>
      <c r="Q136" s="255"/>
    </row>
    <row r="137" spans="1:17" ht="15.75" thickBot="1" x14ac:dyDescent="0.3">
      <c r="A137" s="572" t="s">
        <v>563</v>
      </c>
      <c r="B137" s="457">
        <v>320900212</v>
      </c>
      <c r="C137" s="3" t="s">
        <v>24</v>
      </c>
      <c r="D137" s="211" t="s">
        <v>62</v>
      </c>
      <c r="E137" s="8"/>
      <c r="F137" s="382">
        <f>(G137)</f>
        <v>690</v>
      </c>
      <c r="G137" s="383">
        <v>690</v>
      </c>
      <c r="H137" s="171" t="s">
        <v>310</v>
      </c>
      <c r="I137" s="172" t="s">
        <v>257</v>
      </c>
      <c r="J137" s="411"/>
      <c r="K137" s="173"/>
      <c r="L137" s="174"/>
      <c r="M137" s="175"/>
      <c r="N137" s="175"/>
      <c r="O137" s="175"/>
      <c r="P137" s="199"/>
      <c r="Q137" s="255"/>
    </row>
    <row r="138" spans="1:17" ht="15.75" thickBot="1" x14ac:dyDescent="0.3">
      <c r="B138" s="622"/>
      <c r="C138" s="606"/>
      <c r="D138" s="623"/>
      <c r="E138" s="8"/>
      <c r="F138" s="627"/>
      <c r="G138" s="628"/>
      <c r="H138" s="628"/>
      <c r="I138" s="628"/>
      <c r="J138" s="628"/>
      <c r="K138" s="628"/>
      <c r="L138" s="628"/>
      <c r="M138" s="628"/>
      <c r="N138" s="628"/>
      <c r="O138" s="628"/>
      <c r="P138" s="629"/>
      <c r="Q138" s="255"/>
    </row>
    <row r="139" spans="1:17" ht="15.75" thickBot="1" x14ac:dyDescent="0.3">
      <c r="A139" s="572" t="s">
        <v>523</v>
      </c>
      <c r="B139" s="457">
        <v>320500044</v>
      </c>
      <c r="C139" s="3" t="s">
        <v>21</v>
      </c>
      <c r="D139" s="211" t="s">
        <v>58</v>
      </c>
      <c r="E139" s="8"/>
      <c r="F139" s="548">
        <f>+(G139+J139)/2</f>
        <v>246</v>
      </c>
      <c r="G139" s="394">
        <f>(2500/10)</f>
        <v>250</v>
      </c>
      <c r="H139" s="114" t="s">
        <v>419</v>
      </c>
      <c r="I139" s="421" t="s">
        <v>418</v>
      </c>
      <c r="J139" s="394">
        <v>242</v>
      </c>
      <c r="K139" s="451"/>
      <c r="L139" s="86" t="s">
        <v>484</v>
      </c>
      <c r="M139" s="88"/>
      <c r="N139" s="88"/>
      <c r="O139" s="89"/>
      <c r="P139" s="226" t="s">
        <v>485</v>
      </c>
      <c r="Q139" s="255"/>
    </row>
    <row r="140" spans="1:17" ht="15.75" thickBot="1" x14ac:dyDescent="0.3">
      <c r="A140" s="572" t="s">
        <v>522</v>
      </c>
      <c r="B140" s="457">
        <v>320500031</v>
      </c>
      <c r="C140" s="3" t="s">
        <v>66</v>
      </c>
      <c r="D140" s="211" t="s">
        <v>58</v>
      </c>
      <c r="E140" s="8"/>
      <c r="F140" s="366">
        <f>(G140+J140)/2</f>
        <v>5594</v>
      </c>
      <c r="G140" s="370">
        <v>3350</v>
      </c>
      <c r="H140" s="141" t="s">
        <v>170</v>
      </c>
      <c r="I140" s="90" t="s">
        <v>169</v>
      </c>
      <c r="J140" s="395">
        <v>7838</v>
      </c>
      <c r="K140" s="141" t="s">
        <v>171</v>
      </c>
      <c r="L140" s="146" t="s">
        <v>172</v>
      </c>
      <c r="M140" s="176"/>
      <c r="N140" s="176"/>
      <c r="O140" s="146"/>
      <c r="P140" s="139"/>
      <c r="Q140" s="255"/>
    </row>
    <row r="141" spans="1:17" ht="15.75" thickBot="1" x14ac:dyDescent="0.3">
      <c r="A141" s="572" t="s">
        <v>588</v>
      </c>
      <c r="B141" s="458">
        <v>321500066</v>
      </c>
      <c r="C141" s="4" t="s">
        <v>284</v>
      </c>
      <c r="D141" s="213" t="s">
        <v>117</v>
      </c>
      <c r="E141" s="8"/>
      <c r="F141" s="366">
        <f>(G141)</f>
        <v>22200</v>
      </c>
      <c r="G141" s="370">
        <v>22200</v>
      </c>
      <c r="H141" s="105"/>
      <c r="I141" s="177" t="s">
        <v>336</v>
      </c>
      <c r="J141" s="412"/>
      <c r="K141" s="105"/>
      <c r="L141" s="105"/>
      <c r="M141" s="105"/>
      <c r="N141" s="105"/>
      <c r="O141" s="178"/>
      <c r="P141" s="64" t="s">
        <v>337</v>
      </c>
      <c r="Q141" s="255"/>
    </row>
    <row r="142" spans="1:17" ht="15.75" thickBot="1" x14ac:dyDescent="0.3">
      <c r="B142" s="622"/>
      <c r="C142" s="606"/>
      <c r="D142" s="623"/>
      <c r="E142" s="8"/>
      <c r="F142" s="713"/>
      <c r="G142" s="714"/>
      <c r="H142" s="714"/>
      <c r="I142" s="714"/>
      <c r="J142" s="714"/>
      <c r="K142" s="714"/>
      <c r="L142" s="714"/>
      <c r="M142" s="714"/>
      <c r="N142" s="714"/>
      <c r="O142" s="714"/>
      <c r="P142" s="715"/>
      <c r="Q142" s="255"/>
    </row>
    <row r="143" spans="1:17" ht="15.75" thickBot="1" x14ac:dyDescent="0.3">
      <c r="A143" s="572" t="s">
        <v>591</v>
      </c>
      <c r="B143" s="457">
        <v>321600051</v>
      </c>
      <c r="C143" s="3" t="s">
        <v>33</v>
      </c>
      <c r="D143" s="211" t="s">
        <v>45</v>
      </c>
      <c r="E143" s="8"/>
      <c r="F143" s="549">
        <f>(G143+J143+M143)/3</f>
        <v>128.1</v>
      </c>
      <c r="G143" s="369">
        <f>(993/10)</f>
        <v>99.3</v>
      </c>
      <c r="H143" s="114" t="s">
        <v>38</v>
      </c>
      <c r="I143" s="86" t="s">
        <v>235</v>
      </c>
      <c r="J143" s="394">
        <v>129</v>
      </c>
      <c r="K143" s="114"/>
      <c r="L143" s="99" t="s">
        <v>32</v>
      </c>
      <c r="M143" s="100">
        <f>(780/5)</f>
        <v>156</v>
      </c>
      <c r="N143" s="309" t="s">
        <v>349</v>
      </c>
      <c r="O143" s="716" t="s">
        <v>338</v>
      </c>
      <c r="P143" s="717"/>
      <c r="Q143" s="255"/>
    </row>
    <row r="144" spans="1:17" ht="15.75" thickBot="1" x14ac:dyDescent="0.3">
      <c r="A144" s="572" t="s">
        <v>554</v>
      </c>
      <c r="B144" s="457">
        <v>320900041</v>
      </c>
      <c r="C144" s="3" t="s">
        <v>85</v>
      </c>
      <c r="D144" s="211" t="s">
        <v>62</v>
      </c>
      <c r="E144" s="8"/>
      <c r="F144" s="439">
        <f>(G144)</f>
        <v>58</v>
      </c>
      <c r="G144" s="370">
        <f>(5800/100)</f>
        <v>58</v>
      </c>
      <c r="H144" s="305" t="s">
        <v>199</v>
      </c>
      <c r="I144" s="90" t="s">
        <v>420</v>
      </c>
      <c r="J144" s="395"/>
      <c r="K144" s="141"/>
      <c r="L144" s="146"/>
      <c r="M144" s="176"/>
      <c r="N144" s="176"/>
      <c r="O144" s="146"/>
      <c r="P144" s="200"/>
      <c r="Q144" s="255"/>
    </row>
    <row r="145" spans="1:17" ht="15.75" thickBot="1" x14ac:dyDescent="0.3">
      <c r="B145" s="622"/>
      <c r="C145" s="606"/>
      <c r="D145" s="623"/>
      <c r="E145" s="8"/>
      <c r="F145" s="713"/>
      <c r="G145" s="714"/>
      <c r="H145" s="714"/>
      <c r="I145" s="714"/>
      <c r="J145" s="714"/>
      <c r="K145" s="714"/>
      <c r="L145" s="714"/>
      <c r="M145" s="714"/>
      <c r="N145" s="714"/>
      <c r="O145" s="714"/>
      <c r="P145" s="715"/>
      <c r="Q145" s="255"/>
    </row>
    <row r="146" spans="1:17" ht="15.75" thickBot="1" x14ac:dyDescent="0.3">
      <c r="A146" s="572" t="s">
        <v>587</v>
      </c>
      <c r="B146" s="289">
        <v>321500062</v>
      </c>
      <c r="C146" s="2" t="s">
        <v>265</v>
      </c>
      <c r="D146" s="209" t="s">
        <v>58</v>
      </c>
      <c r="E146" s="8"/>
      <c r="F146" s="390">
        <f>(G146)</f>
        <v>24415.57</v>
      </c>
      <c r="G146" s="377">
        <v>24415.57</v>
      </c>
      <c r="H146" s="316" t="s">
        <v>3</v>
      </c>
      <c r="I146" s="718" t="s">
        <v>308</v>
      </c>
      <c r="J146" s="719"/>
      <c r="K146" s="719"/>
      <c r="L146" s="719"/>
      <c r="M146" s="719"/>
      <c r="N146" s="719"/>
      <c r="O146" s="719"/>
      <c r="P146" s="720"/>
      <c r="Q146" s="255"/>
    </row>
    <row r="147" spans="1:17" ht="15.75" thickBot="1" x14ac:dyDescent="0.3">
      <c r="B147" s="622" t="s">
        <v>289</v>
      </c>
      <c r="C147" s="606"/>
      <c r="D147" s="623"/>
      <c r="E147" s="8"/>
      <c r="F147" s="713"/>
      <c r="G147" s="714"/>
      <c r="H147" s="714"/>
      <c r="I147" s="714"/>
      <c r="J147" s="714"/>
      <c r="K147" s="714"/>
      <c r="L147" s="714"/>
      <c r="M147" s="714"/>
      <c r="N147" s="714"/>
      <c r="O147" s="714"/>
      <c r="P147" s="715"/>
      <c r="Q147" s="255"/>
    </row>
    <row r="148" spans="1:17" ht="15.75" thickBot="1" x14ac:dyDescent="0.3">
      <c r="B148" s="460">
        <v>3211000211</v>
      </c>
      <c r="C148" s="462" t="s">
        <v>95</v>
      </c>
      <c r="D148" s="445" t="s">
        <v>45</v>
      </c>
      <c r="E148" s="8"/>
      <c r="F148" s="695" t="s">
        <v>440</v>
      </c>
      <c r="G148" s="696"/>
      <c r="H148" s="696"/>
      <c r="I148" s="696"/>
      <c r="J148" s="696"/>
      <c r="K148" s="696"/>
      <c r="L148" s="696"/>
      <c r="M148" s="696"/>
      <c r="N148" s="696"/>
      <c r="O148" s="696"/>
      <c r="P148" s="697"/>
      <c r="Q148" s="255"/>
    </row>
    <row r="149" spans="1:17" ht="15.75" thickBot="1" x14ac:dyDescent="0.3">
      <c r="B149" s="460">
        <v>3211000212</v>
      </c>
      <c r="C149" s="462" t="s">
        <v>96</v>
      </c>
      <c r="D149" s="445" t="s">
        <v>62</v>
      </c>
      <c r="E149" s="8"/>
      <c r="F149" s="695" t="s">
        <v>440</v>
      </c>
      <c r="G149" s="696"/>
      <c r="H149" s="696"/>
      <c r="I149" s="696"/>
      <c r="J149" s="696"/>
      <c r="K149" s="696"/>
      <c r="L149" s="696"/>
      <c r="M149" s="696"/>
      <c r="N149" s="696"/>
      <c r="O149" s="696"/>
      <c r="P149" s="697"/>
      <c r="Q149" s="255"/>
    </row>
    <row r="150" spans="1:17" ht="15.75" thickBot="1" x14ac:dyDescent="0.3">
      <c r="B150" s="622" t="s">
        <v>249</v>
      </c>
      <c r="C150" s="606"/>
      <c r="D150" s="623"/>
      <c r="E150" s="8"/>
      <c r="F150" s="721"/>
      <c r="G150" s="722"/>
      <c r="H150" s="714"/>
      <c r="I150" s="714"/>
      <c r="J150" s="714"/>
      <c r="K150" s="714"/>
      <c r="L150" s="714"/>
      <c r="M150" s="714"/>
      <c r="N150" s="714"/>
      <c r="O150" s="714"/>
      <c r="P150" s="715"/>
      <c r="Q150" s="255"/>
    </row>
    <row r="151" spans="1:17" ht="15.75" thickBot="1" x14ac:dyDescent="0.3">
      <c r="A151" s="572" t="s">
        <v>578</v>
      </c>
      <c r="B151" s="725">
        <v>32130006</v>
      </c>
      <c r="C151" s="12" t="s">
        <v>267</v>
      </c>
      <c r="D151" s="212" t="s">
        <v>62</v>
      </c>
      <c r="E151" s="8"/>
      <c r="F151" s="448">
        <f>G151</f>
        <v>124</v>
      </c>
      <c r="G151" s="447">
        <v>124</v>
      </c>
      <c r="H151" s="726"/>
      <c r="I151" s="179" t="s">
        <v>305</v>
      </c>
      <c r="J151" s="362"/>
      <c r="K151" s="179"/>
      <c r="L151" s="179"/>
      <c r="M151" s="151"/>
      <c r="N151" s="151"/>
      <c r="O151" s="152"/>
      <c r="P151" s="190"/>
      <c r="Q151" s="255"/>
    </row>
    <row r="152" spans="1:17" ht="15.75" thickBot="1" x14ac:dyDescent="0.3">
      <c r="A152" s="572" t="s">
        <v>573</v>
      </c>
      <c r="B152" s="725"/>
      <c r="C152" s="539" t="s">
        <v>103</v>
      </c>
      <c r="D152" s="540" t="s">
        <v>45</v>
      </c>
      <c r="E152" s="8"/>
      <c r="F152" s="448">
        <f>(G152)</f>
        <v>65</v>
      </c>
      <c r="G152" s="447">
        <v>65</v>
      </c>
      <c r="H152" s="727"/>
      <c r="I152" s="179" t="s">
        <v>305</v>
      </c>
      <c r="J152" s="363"/>
      <c r="K152" s="180"/>
      <c r="L152" s="180"/>
      <c r="M152" s="32"/>
      <c r="N152" s="32"/>
      <c r="O152" s="181"/>
      <c r="P152" s="197"/>
      <c r="Q152" s="255"/>
    </row>
    <row r="153" spans="1:17" x14ac:dyDescent="0.25">
      <c r="A153" s="572" t="s">
        <v>596</v>
      </c>
      <c r="B153" s="734">
        <v>322300033</v>
      </c>
      <c r="C153" s="2" t="s">
        <v>407</v>
      </c>
      <c r="D153" s="209" t="s">
        <v>62</v>
      </c>
      <c r="E153" s="8"/>
      <c r="F153" s="736">
        <f>+(G153+J153)/2</f>
        <v>457.85700000000003</v>
      </c>
      <c r="G153" s="738">
        <f>(4857.14/10)</f>
        <v>485.71400000000006</v>
      </c>
      <c r="H153" s="739" t="s">
        <v>412</v>
      </c>
      <c r="I153" s="741" t="s">
        <v>413</v>
      </c>
      <c r="J153" s="740">
        <v>430</v>
      </c>
      <c r="K153" s="745"/>
      <c r="L153" s="741" t="s">
        <v>486</v>
      </c>
      <c r="M153" s="745"/>
      <c r="N153" s="745"/>
      <c r="O153" s="745"/>
      <c r="P153" s="742"/>
      <c r="Q153" s="255"/>
    </row>
    <row r="154" spans="1:17" s="341" customFormat="1" x14ac:dyDescent="0.25">
      <c r="A154" s="572" t="s">
        <v>597</v>
      </c>
      <c r="B154" s="735"/>
      <c r="C154" s="2" t="s">
        <v>408</v>
      </c>
      <c r="D154" s="209" t="s">
        <v>62</v>
      </c>
      <c r="E154" s="8"/>
      <c r="F154" s="736"/>
      <c r="G154" s="738"/>
      <c r="H154" s="739"/>
      <c r="I154" s="741"/>
      <c r="J154" s="740"/>
      <c r="K154" s="746"/>
      <c r="L154" s="741"/>
      <c r="M154" s="746"/>
      <c r="N154" s="746"/>
      <c r="O154" s="746"/>
      <c r="P154" s="743"/>
    </row>
    <row r="155" spans="1:17" s="341" customFormat="1" ht="15.75" thickBot="1" x14ac:dyDescent="0.3">
      <c r="A155" s="572" t="s">
        <v>598</v>
      </c>
      <c r="B155" s="735"/>
      <c r="C155" s="2" t="s">
        <v>409</v>
      </c>
      <c r="D155" s="209" t="s">
        <v>62</v>
      </c>
      <c r="E155" s="8"/>
      <c r="F155" s="737"/>
      <c r="G155" s="738"/>
      <c r="H155" s="739"/>
      <c r="I155" s="741"/>
      <c r="J155" s="740"/>
      <c r="K155" s="747"/>
      <c r="L155" s="741"/>
      <c r="M155" s="747"/>
      <c r="N155" s="747"/>
      <c r="O155" s="747"/>
      <c r="P155" s="744"/>
    </row>
    <row r="156" spans="1:17" s="341" customFormat="1" ht="15.75" thickBot="1" x14ac:dyDescent="0.3">
      <c r="A156" s="572" t="s">
        <v>599</v>
      </c>
      <c r="B156" s="631"/>
      <c r="C156" s="541" t="s">
        <v>410</v>
      </c>
      <c r="D156" s="542" t="s">
        <v>62</v>
      </c>
      <c r="E156" s="8"/>
      <c r="F156" s="439">
        <f>(G156)</f>
        <v>485.71400000000006</v>
      </c>
      <c r="G156" s="384">
        <f>(4857.14/10)</f>
        <v>485.71400000000006</v>
      </c>
      <c r="H156" s="346" t="s">
        <v>412</v>
      </c>
      <c r="I156" s="420" t="s">
        <v>414</v>
      </c>
      <c r="J156" s="393"/>
      <c r="K156" s="347"/>
      <c r="L156" s="97"/>
      <c r="M156" s="348"/>
      <c r="N156" s="348"/>
      <c r="O156" s="97"/>
      <c r="P156" s="349"/>
    </row>
    <row r="157" spans="1:17" s="341" customFormat="1" ht="15.75" thickBot="1" x14ac:dyDescent="0.3">
      <c r="A157" s="572" t="s">
        <v>595</v>
      </c>
      <c r="B157" s="632"/>
      <c r="C157" s="2" t="s">
        <v>406</v>
      </c>
      <c r="D157" s="209" t="s">
        <v>62</v>
      </c>
      <c r="E157" s="8"/>
      <c r="F157" s="439">
        <f>(G157)</f>
        <v>646.10400000000004</v>
      </c>
      <c r="G157" s="373">
        <f>(6461.04/10)</f>
        <v>646.10400000000004</v>
      </c>
      <c r="H157" s="346" t="s">
        <v>412</v>
      </c>
      <c r="I157" s="420" t="s">
        <v>411</v>
      </c>
      <c r="J157" s="393"/>
      <c r="K157" s="347"/>
      <c r="L157" s="97"/>
      <c r="M157" s="348"/>
      <c r="N157" s="348"/>
      <c r="O157" s="97"/>
      <c r="P157" s="349"/>
    </row>
    <row r="158" spans="1:17" ht="15.75" thickBot="1" x14ac:dyDescent="0.3">
      <c r="A158" s="572" t="s">
        <v>600</v>
      </c>
      <c r="B158" s="457">
        <v>322300054</v>
      </c>
      <c r="C158" s="3" t="s">
        <v>121</v>
      </c>
      <c r="D158" s="211" t="s">
        <v>45</v>
      </c>
      <c r="E158" s="8"/>
      <c r="F158" s="439">
        <f>(G158+J158)/2</f>
        <v>67.850600000000014</v>
      </c>
      <c r="G158" s="370">
        <f>(4935.06/50)</f>
        <v>98.701200000000014</v>
      </c>
      <c r="H158" s="305" t="s">
        <v>37</v>
      </c>
      <c r="I158" s="90" t="s">
        <v>240</v>
      </c>
      <c r="J158" s="395">
        <v>37</v>
      </c>
      <c r="K158" s="141"/>
      <c r="L158" s="146" t="s">
        <v>241</v>
      </c>
      <c r="M158" s="176"/>
      <c r="N158" s="176"/>
      <c r="O158" s="146"/>
      <c r="P158" s="200"/>
      <c r="Q158" s="255"/>
    </row>
    <row r="159" spans="1:17" ht="15.75" thickBot="1" x14ac:dyDescent="0.3">
      <c r="B159" s="728" t="s">
        <v>360</v>
      </c>
      <c r="C159" s="729"/>
      <c r="D159" s="730"/>
      <c r="E159" s="8"/>
      <c r="F159" s="731"/>
      <c r="G159" s="732"/>
      <c r="H159" s="732"/>
      <c r="I159" s="732"/>
      <c r="J159" s="732"/>
      <c r="K159" s="732"/>
      <c r="L159" s="732"/>
      <c r="M159" s="732"/>
      <c r="N159" s="732"/>
      <c r="O159" s="732"/>
      <c r="P159" s="733"/>
      <c r="Q159" s="255"/>
    </row>
    <row r="160" spans="1:17" ht="15.75" thickBot="1" x14ac:dyDescent="0.3">
      <c r="A160" s="572" t="s">
        <v>513</v>
      </c>
      <c r="B160" s="647">
        <v>32020006</v>
      </c>
      <c r="C160" s="3" t="s">
        <v>367</v>
      </c>
      <c r="D160" s="211" t="s">
        <v>58</v>
      </c>
      <c r="E160" s="8"/>
      <c r="F160" s="374">
        <f>+(G160+J160)/2</f>
        <v>478</v>
      </c>
      <c r="G160" s="452">
        <v>356</v>
      </c>
      <c r="H160" s="304" t="s">
        <v>416</v>
      </c>
      <c r="I160" s="99" t="s">
        <v>415</v>
      </c>
      <c r="J160" s="555">
        <f>3600/6</f>
        <v>600</v>
      </c>
      <c r="K160" s="561" t="s">
        <v>488</v>
      </c>
      <c r="L160" s="99" t="s">
        <v>487</v>
      </c>
      <c r="M160" s="88"/>
      <c r="N160" s="88"/>
      <c r="O160" s="89"/>
      <c r="P160" s="170" t="s">
        <v>417</v>
      </c>
      <c r="Q160" s="255"/>
    </row>
    <row r="161" spans="1:17" ht="15.75" thickBot="1" x14ac:dyDescent="0.3">
      <c r="A161" s="572" t="s">
        <v>514</v>
      </c>
      <c r="B161" s="647"/>
      <c r="C161" s="3" t="s">
        <v>2</v>
      </c>
      <c r="D161" s="211" t="s">
        <v>58</v>
      </c>
      <c r="E161" s="8"/>
      <c r="F161" s="371">
        <f>+(G161+J161)/2</f>
        <v>323.33333333333337</v>
      </c>
      <c r="G161" s="368">
        <v>230</v>
      </c>
      <c r="H161" s="307" t="s">
        <v>156</v>
      </c>
      <c r="I161" s="119" t="s">
        <v>155</v>
      </c>
      <c r="J161" s="558">
        <f>+(2500/6)</f>
        <v>416.66666666666669</v>
      </c>
      <c r="K161" s="305" t="s">
        <v>3</v>
      </c>
      <c r="L161" s="119" t="s">
        <v>489</v>
      </c>
      <c r="M161" s="27"/>
      <c r="N161" s="27"/>
      <c r="O161" s="101"/>
      <c r="P161" s="201"/>
      <c r="Q161" s="255"/>
    </row>
    <row r="162" spans="1:17" ht="15.75" thickBot="1" x14ac:dyDescent="0.3">
      <c r="A162" s="572" t="s">
        <v>515</v>
      </c>
      <c r="B162" s="647"/>
      <c r="C162" s="3" t="s">
        <v>60</v>
      </c>
      <c r="D162" s="211" t="s">
        <v>58</v>
      </c>
      <c r="E162" s="8"/>
      <c r="F162" s="385">
        <f>+(G162+J162)/2</f>
        <v>515.83333333333326</v>
      </c>
      <c r="G162" s="370">
        <v>340</v>
      </c>
      <c r="H162" s="305" t="s">
        <v>3</v>
      </c>
      <c r="I162" s="146" t="s">
        <v>421</v>
      </c>
      <c r="J162" s="552">
        <f>4150/6</f>
        <v>691.66666666666663</v>
      </c>
      <c r="K162" s="305" t="s">
        <v>3</v>
      </c>
      <c r="L162" s="146" t="s">
        <v>490</v>
      </c>
      <c r="M162" s="91"/>
      <c r="N162" s="91"/>
      <c r="O162" s="92"/>
      <c r="P162" s="170" t="s">
        <v>154</v>
      </c>
      <c r="Q162" s="255"/>
    </row>
    <row r="163" spans="1:17" ht="15.75" thickBot="1" x14ac:dyDescent="0.3">
      <c r="B163" s="749"/>
      <c r="C163" s="750"/>
      <c r="D163" s="751"/>
      <c r="E163" s="8"/>
      <c r="F163" s="704"/>
      <c r="G163" s="705"/>
      <c r="H163" s="705"/>
      <c r="I163" s="705"/>
      <c r="J163" s="705"/>
      <c r="K163" s="705"/>
      <c r="L163" s="705"/>
      <c r="M163" s="705"/>
      <c r="N163" s="705"/>
      <c r="O163" s="705"/>
      <c r="P163" s="706"/>
      <c r="Q163" s="255"/>
    </row>
    <row r="164" spans="1:17" ht="15.75" thickBot="1" x14ac:dyDescent="0.3">
      <c r="A164" s="572" t="s">
        <v>555</v>
      </c>
      <c r="B164" s="457">
        <v>320900052</v>
      </c>
      <c r="C164" s="3" t="s">
        <v>86</v>
      </c>
      <c r="D164" s="211" t="s">
        <v>45</v>
      </c>
      <c r="E164" s="8"/>
      <c r="F164" s="548">
        <f>(G164+J164+M164)/3</f>
        <v>2576.7633333333333</v>
      </c>
      <c r="G164" s="375">
        <v>1116</v>
      </c>
      <c r="H164" s="313" t="s">
        <v>4</v>
      </c>
      <c r="I164" s="108" t="s">
        <v>200</v>
      </c>
      <c r="J164" s="361">
        <v>5714.29</v>
      </c>
      <c r="K164" s="313" t="s">
        <v>384</v>
      </c>
      <c r="L164" s="124" t="s">
        <v>201</v>
      </c>
      <c r="M164" s="123">
        <v>900</v>
      </c>
      <c r="N164" s="326" t="s">
        <v>202</v>
      </c>
      <c r="O164" s="723" t="s">
        <v>339</v>
      </c>
      <c r="P164" s="724"/>
      <c r="Q164" s="255"/>
    </row>
    <row r="165" spans="1:17" ht="15.75" thickBot="1" x14ac:dyDescent="0.3">
      <c r="B165" s="728"/>
      <c r="C165" s="729"/>
      <c r="D165" s="730"/>
      <c r="E165" s="8"/>
      <c r="F165" s="713"/>
      <c r="G165" s="714"/>
      <c r="H165" s="714"/>
      <c r="I165" s="714"/>
      <c r="J165" s="714"/>
      <c r="K165" s="714"/>
      <c r="L165" s="714"/>
      <c r="M165" s="714"/>
      <c r="N165" s="714"/>
      <c r="O165" s="714"/>
      <c r="P165" s="715"/>
      <c r="Q165" s="255"/>
    </row>
    <row r="166" spans="1:17" ht="15.75" thickBot="1" x14ac:dyDescent="0.3">
      <c r="A166" s="572" t="s">
        <v>574</v>
      </c>
      <c r="B166" s="461">
        <v>3212000815</v>
      </c>
      <c r="C166" s="1" t="s">
        <v>104</v>
      </c>
      <c r="D166" s="208" t="s">
        <v>45</v>
      </c>
      <c r="E166" s="8"/>
      <c r="F166" s="390">
        <f>(G166)</f>
        <v>1688.31</v>
      </c>
      <c r="G166" s="377">
        <v>1688.31</v>
      </c>
      <c r="H166" s="316" t="s">
        <v>239</v>
      </c>
      <c r="I166" s="135" t="s">
        <v>220</v>
      </c>
      <c r="J166" s="413"/>
      <c r="K166" s="135"/>
      <c r="L166" s="135"/>
      <c r="M166" s="136"/>
      <c r="N166" s="136"/>
      <c r="O166" s="135"/>
      <c r="P166" s="189"/>
      <c r="Q166" s="255"/>
    </row>
    <row r="167" spans="1:17" ht="15.75" thickBot="1" x14ac:dyDescent="0.3">
      <c r="B167" s="460">
        <v>321200332</v>
      </c>
      <c r="C167" s="462" t="s">
        <v>285</v>
      </c>
      <c r="D167" s="445" t="s">
        <v>62</v>
      </c>
      <c r="E167" s="255"/>
      <c r="F167" s="695" t="s">
        <v>439</v>
      </c>
      <c r="G167" s="696"/>
      <c r="H167" s="696"/>
      <c r="I167" s="696"/>
      <c r="J167" s="696"/>
      <c r="K167" s="696"/>
      <c r="L167" s="696"/>
      <c r="M167" s="696"/>
      <c r="N167" s="696"/>
      <c r="O167" s="696"/>
      <c r="P167" s="697"/>
      <c r="Q167" s="255"/>
    </row>
    <row r="168" spans="1:17" ht="15.75" thickBot="1" x14ac:dyDescent="0.3">
      <c r="B168" s="728" t="s">
        <v>250</v>
      </c>
      <c r="C168" s="729"/>
      <c r="D168" s="730"/>
      <c r="E168" s="10"/>
      <c r="F168" s="713"/>
      <c r="G168" s="714"/>
      <c r="H168" s="714"/>
      <c r="I168" s="714"/>
      <c r="J168" s="714"/>
      <c r="K168" s="714"/>
      <c r="L168" s="714"/>
      <c r="M168" s="714"/>
      <c r="N168" s="714"/>
      <c r="O168" s="714"/>
      <c r="P168" s="715"/>
      <c r="Q168" s="255"/>
    </row>
    <row r="169" spans="1:17" ht="15.75" thickBot="1" x14ac:dyDescent="0.3">
      <c r="A169" s="572" t="s">
        <v>527</v>
      </c>
      <c r="B169" s="647">
        <v>32060005</v>
      </c>
      <c r="C169" s="3" t="s">
        <v>69</v>
      </c>
      <c r="D169" s="543" t="s">
        <v>68</v>
      </c>
      <c r="E169" s="10"/>
      <c r="F169" s="549">
        <f>((G169+J169)/2)</f>
        <v>432.5</v>
      </c>
      <c r="G169" s="369">
        <v>368</v>
      </c>
      <c r="H169" s="304" t="s">
        <v>174</v>
      </c>
      <c r="I169" s="86" t="s">
        <v>176</v>
      </c>
      <c r="J169" s="394">
        <v>497</v>
      </c>
      <c r="K169" s="304" t="s">
        <v>174</v>
      </c>
      <c r="L169" s="86" t="s">
        <v>177</v>
      </c>
      <c r="M169" s="88"/>
      <c r="N169" s="88"/>
      <c r="O169" s="89"/>
      <c r="P169" s="170" t="s">
        <v>179</v>
      </c>
      <c r="Q169" s="255"/>
    </row>
    <row r="170" spans="1:17" ht="15.75" thickBot="1" x14ac:dyDescent="0.3">
      <c r="A170" s="572" t="s">
        <v>528</v>
      </c>
      <c r="B170" s="647"/>
      <c r="C170" s="3" t="s">
        <v>23</v>
      </c>
      <c r="D170" s="543" t="s">
        <v>68</v>
      </c>
      <c r="E170" s="10"/>
      <c r="F170" s="366">
        <f t="shared" ref="F170:F173" si="8">((G170+J170)/2)</f>
        <v>585.5</v>
      </c>
      <c r="G170" s="368">
        <v>677</v>
      </c>
      <c r="H170" s="307" t="s">
        <v>174</v>
      </c>
      <c r="I170" s="101" t="s">
        <v>22</v>
      </c>
      <c r="J170" s="399">
        <v>494</v>
      </c>
      <c r="K170" s="307" t="s">
        <v>174</v>
      </c>
      <c r="L170" s="101" t="s">
        <v>178</v>
      </c>
      <c r="M170" s="27"/>
      <c r="N170" s="27"/>
      <c r="O170" s="104"/>
      <c r="P170" s="170" t="s">
        <v>180</v>
      </c>
      <c r="Q170" s="255"/>
    </row>
    <row r="171" spans="1:17" ht="16.5" thickBot="1" x14ac:dyDescent="0.3">
      <c r="A171" s="572" t="s">
        <v>529</v>
      </c>
      <c r="B171" s="647"/>
      <c r="C171" s="3" t="s">
        <v>70</v>
      </c>
      <c r="D171" s="543" t="s">
        <v>68</v>
      </c>
      <c r="E171" s="25"/>
      <c r="F171" s="366">
        <f t="shared" si="8"/>
        <v>758.5</v>
      </c>
      <c r="G171" s="368">
        <v>887</v>
      </c>
      <c r="H171" s="307" t="s">
        <v>174</v>
      </c>
      <c r="I171" s="101" t="s">
        <v>173</v>
      </c>
      <c r="J171" s="399">
        <v>630</v>
      </c>
      <c r="K171" s="307" t="s">
        <v>174</v>
      </c>
      <c r="L171" s="101" t="s">
        <v>175</v>
      </c>
      <c r="M171" s="27"/>
      <c r="N171" s="27"/>
      <c r="O171" s="104"/>
      <c r="P171" s="170" t="s">
        <v>181</v>
      </c>
      <c r="Q171" s="255"/>
    </row>
    <row r="172" spans="1:17" ht="16.5" thickBot="1" x14ac:dyDescent="0.3">
      <c r="A172" s="572" t="s">
        <v>511</v>
      </c>
      <c r="B172" s="647">
        <v>32020004</v>
      </c>
      <c r="C172" s="3" t="s">
        <v>57</v>
      </c>
      <c r="D172" s="543" t="s">
        <v>58</v>
      </c>
      <c r="E172" s="25"/>
      <c r="F172" s="366">
        <f t="shared" si="8"/>
        <v>77.5</v>
      </c>
      <c r="G172" s="368">
        <v>73</v>
      </c>
      <c r="H172" s="182" t="s">
        <v>150</v>
      </c>
      <c r="I172" s="101" t="s">
        <v>149</v>
      </c>
      <c r="J172" s="399">
        <v>82</v>
      </c>
      <c r="K172" s="307" t="s">
        <v>355</v>
      </c>
      <c r="L172" s="119" t="s">
        <v>152</v>
      </c>
      <c r="M172" s="28"/>
      <c r="N172" s="28"/>
      <c r="O172" s="119"/>
      <c r="P172" s="202"/>
      <c r="Q172" s="255"/>
    </row>
    <row r="173" spans="1:17" ht="15.75" thickBot="1" x14ac:dyDescent="0.3">
      <c r="A173" s="572" t="s">
        <v>512</v>
      </c>
      <c r="B173" s="748"/>
      <c r="C173" s="224" t="s">
        <v>59</v>
      </c>
      <c r="D173" s="544" t="s">
        <v>58</v>
      </c>
      <c r="E173" s="10"/>
      <c r="F173" s="366">
        <f t="shared" si="8"/>
        <v>110</v>
      </c>
      <c r="G173" s="391">
        <v>103</v>
      </c>
      <c r="H173" s="203" t="s">
        <v>150</v>
      </c>
      <c r="I173" s="204" t="s">
        <v>151</v>
      </c>
      <c r="J173" s="414">
        <v>117</v>
      </c>
      <c r="K173" s="327" t="s">
        <v>355</v>
      </c>
      <c r="L173" s="205" t="s">
        <v>153</v>
      </c>
      <c r="M173" s="206"/>
      <c r="N173" s="206"/>
      <c r="O173" s="205"/>
      <c r="P173" s="207"/>
      <c r="Q173" s="255"/>
    </row>
  </sheetData>
  <mergeCells count="173">
    <mergeCell ref="B169:B171"/>
    <mergeCell ref="B172:B173"/>
    <mergeCell ref="B160:B162"/>
    <mergeCell ref="B163:D163"/>
    <mergeCell ref="F163:P163"/>
    <mergeCell ref="B165:D165"/>
    <mergeCell ref="F165:P165"/>
    <mergeCell ref="B168:D168"/>
    <mergeCell ref="F168:P168"/>
    <mergeCell ref="F167:P167"/>
    <mergeCell ref="I146:P146"/>
    <mergeCell ref="B147:D147"/>
    <mergeCell ref="F147:P147"/>
    <mergeCell ref="B150:D150"/>
    <mergeCell ref="F150:P150"/>
    <mergeCell ref="O164:P164"/>
    <mergeCell ref="B151:B152"/>
    <mergeCell ref="H151:H152"/>
    <mergeCell ref="B159:D159"/>
    <mergeCell ref="F159:P159"/>
    <mergeCell ref="B153:B157"/>
    <mergeCell ref="F153:F155"/>
    <mergeCell ref="G153:G155"/>
    <mergeCell ref="H153:H155"/>
    <mergeCell ref="F148:P148"/>
    <mergeCell ref="F149:P149"/>
    <mergeCell ref="J153:J155"/>
    <mergeCell ref="I153:I155"/>
    <mergeCell ref="L153:L155"/>
    <mergeCell ref="P153:P155"/>
    <mergeCell ref="O153:O155"/>
    <mergeCell ref="N153:N155"/>
    <mergeCell ref="M153:M155"/>
    <mergeCell ref="K153:K155"/>
    <mergeCell ref="B138:D138"/>
    <mergeCell ref="F138:P138"/>
    <mergeCell ref="B142:D142"/>
    <mergeCell ref="F142:P142"/>
    <mergeCell ref="B145:D145"/>
    <mergeCell ref="F145:P145"/>
    <mergeCell ref="B131:D131"/>
    <mergeCell ref="F131:P131"/>
    <mergeCell ref="B133:D133"/>
    <mergeCell ref="F133:P133"/>
    <mergeCell ref="B136:D136"/>
    <mergeCell ref="F136:P136"/>
    <mergeCell ref="O143:P143"/>
    <mergeCell ref="B124:D124"/>
    <mergeCell ref="F124:P124"/>
    <mergeCell ref="B126:D126"/>
    <mergeCell ref="F126:P126"/>
    <mergeCell ref="B127:B129"/>
    <mergeCell ref="L113:P113"/>
    <mergeCell ref="B114:D114"/>
    <mergeCell ref="F114:P114"/>
    <mergeCell ref="B115:B117"/>
    <mergeCell ref="B118:B119"/>
    <mergeCell ref="B120:B123"/>
    <mergeCell ref="F125:P125"/>
    <mergeCell ref="F105:P105"/>
    <mergeCell ref="B106:D106"/>
    <mergeCell ref="F106:P106"/>
    <mergeCell ref="B107:B111"/>
    <mergeCell ref="B112:D112"/>
    <mergeCell ref="F112:P112"/>
    <mergeCell ref="F100:P100"/>
    <mergeCell ref="B102:D102"/>
    <mergeCell ref="F102:P102"/>
    <mergeCell ref="B104:D104"/>
    <mergeCell ref="F104:P104"/>
    <mergeCell ref="L101:P101"/>
    <mergeCell ref="B90:D90"/>
    <mergeCell ref="F90:P90"/>
    <mergeCell ref="B94:D94"/>
    <mergeCell ref="F94:P94"/>
    <mergeCell ref="B95:B99"/>
    <mergeCell ref="B84:D84"/>
    <mergeCell ref="F84:P84"/>
    <mergeCell ref="B85:B86"/>
    <mergeCell ref="B88:D88"/>
    <mergeCell ref="F88:P88"/>
    <mergeCell ref="B76:B78"/>
    <mergeCell ref="B79:D79"/>
    <mergeCell ref="F79:P79"/>
    <mergeCell ref="B82:D82"/>
    <mergeCell ref="F82:P82"/>
    <mergeCell ref="B71:D71"/>
    <mergeCell ref="F71:P71"/>
    <mergeCell ref="B73:D73"/>
    <mergeCell ref="F73:P73"/>
    <mergeCell ref="F74:P74"/>
    <mergeCell ref="B75:D75"/>
    <mergeCell ref="F75:P75"/>
    <mergeCell ref="F80:P80"/>
    <mergeCell ref="F81:P81"/>
    <mergeCell ref="B63:D63"/>
    <mergeCell ref="F63:P63"/>
    <mergeCell ref="B65:D65"/>
    <mergeCell ref="F65:P65"/>
    <mergeCell ref="B69:D69"/>
    <mergeCell ref="F69:P69"/>
    <mergeCell ref="B57:B58"/>
    <mergeCell ref="B59:D59"/>
    <mergeCell ref="F59:P59"/>
    <mergeCell ref="B61:D61"/>
    <mergeCell ref="F61:P61"/>
    <mergeCell ref="C39:D39"/>
    <mergeCell ref="B22:B23"/>
    <mergeCell ref="L22:P22"/>
    <mergeCell ref="O23:P23"/>
    <mergeCell ref="B52:D52"/>
    <mergeCell ref="F52:P52"/>
    <mergeCell ref="B54:D54"/>
    <mergeCell ref="F54:P54"/>
    <mergeCell ref="B56:D56"/>
    <mergeCell ref="F56:P56"/>
    <mergeCell ref="B42:D42"/>
    <mergeCell ref="F42:P42"/>
    <mergeCell ref="B44:D44"/>
    <mergeCell ref="F44:P44"/>
    <mergeCell ref="B46:D46"/>
    <mergeCell ref="F46:P46"/>
    <mergeCell ref="B47:B51"/>
    <mergeCell ref="L51:P51"/>
    <mergeCell ref="L50:P50"/>
    <mergeCell ref="L49:P49"/>
    <mergeCell ref="L48:P48"/>
    <mergeCell ref="L47:P47"/>
    <mergeCell ref="B29:D29"/>
    <mergeCell ref="F29:P29"/>
    <mergeCell ref="B24:B25"/>
    <mergeCell ref="B26:D26"/>
    <mergeCell ref="F26:P26"/>
    <mergeCell ref="B27:B28"/>
    <mergeCell ref="O27:P27"/>
    <mergeCell ref="O28:P28"/>
    <mergeCell ref="B36:B37"/>
    <mergeCell ref="O36:P36"/>
    <mergeCell ref="L38:P38"/>
    <mergeCell ref="B31:D31"/>
    <mergeCell ref="C1:Q1"/>
    <mergeCell ref="B3:C3"/>
    <mergeCell ref="D3:E3"/>
    <mergeCell ref="F3:G3"/>
    <mergeCell ref="H3:I3"/>
    <mergeCell ref="J3:K3"/>
    <mergeCell ref="L3:M3"/>
    <mergeCell ref="N3:O3"/>
    <mergeCell ref="P3:Q3"/>
    <mergeCell ref="B40:D40"/>
    <mergeCell ref="F40:P40"/>
    <mergeCell ref="B21:D21"/>
    <mergeCell ref="F21:P21"/>
    <mergeCell ref="B9:B14"/>
    <mergeCell ref="B6:D6"/>
    <mergeCell ref="F6:P6"/>
    <mergeCell ref="B7:D7"/>
    <mergeCell ref="F7:P7"/>
    <mergeCell ref="L13:O13"/>
    <mergeCell ref="B19:B20"/>
    <mergeCell ref="B15:D15"/>
    <mergeCell ref="F15:P15"/>
    <mergeCell ref="B16:B17"/>
    <mergeCell ref="B18:D18"/>
    <mergeCell ref="F18:P18"/>
    <mergeCell ref="F12:P12"/>
    <mergeCell ref="F14:P14"/>
    <mergeCell ref="F10:P10"/>
    <mergeCell ref="F31:P31"/>
    <mergeCell ref="B35:D35"/>
    <mergeCell ref="F35:P35"/>
    <mergeCell ref="F39:P39"/>
    <mergeCell ref="F37:P37"/>
  </mergeCells>
  <hyperlinks>
    <hyperlink ref="I62" r:id="rId1"/>
    <hyperlink ref="L62" r:id="rId2"/>
    <hyperlink ref="I32" r:id="rId3"/>
    <hyperlink ref="I34" r:id="rId4"/>
    <hyperlink ref="I19" r:id="rId5"/>
    <hyperlink ref="L19" r:id="rId6"/>
    <hyperlink ref="I89" r:id="rId7"/>
    <hyperlink ref="I107" r:id="rId8"/>
    <hyperlink ref="I109" r:id="rId9"/>
    <hyperlink ref="I108" r:id="rId10"/>
    <hyperlink ref="I111" r:id="rId11"/>
    <hyperlink ref="I166" r:id="rId12"/>
    <hyperlink ref="I96" r:id="rId13"/>
    <hyperlink ref="I103" r:id="rId14"/>
    <hyperlink ref="I120" r:id="rId15"/>
    <hyperlink ref="L101" r:id="rId16" location="position=2&amp;search_layout=stack&amp;type=item&amp;tracking_id=b079918a-0923-4ef0-a7bc-cd168f966715"/>
    <hyperlink ref="I121" r:id="rId17"/>
    <hyperlink ref="I9" r:id="rId18"/>
    <hyperlink ref="I99" r:id="rId19"/>
    <hyperlink ref="I8" r:id="rId20"/>
    <hyperlink ref="I153" r:id="rId21"/>
    <hyperlink ref="I25" r:id="rId22"/>
    <hyperlink ref="L25" r:id="rId23"/>
    <hyperlink ref="I45" r:id="rId24"/>
    <hyperlink ref="I20" r:id="rId25"/>
    <hyperlink ref="I113" r:id="rId26"/>
    <hyperlink ref="I127" r:id="rId27"/>
    <hyperlink ref="L103" r:id="rId28"/>
  </hyperlinks>
  <pageMargins left="0.7" right="0.7" top="0.75" bottom="0.75" header="0.3" footer="0.3"/>
  <pageSetup orientation="portrait" r:id="rId29"/>
  <ignoredErrors>
    <ignoredError sqref="J161 F86 F96 F1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topLeftCell="A37" zoomScaleNormal="100" workbookViewId="0">
      <selection activeCell="G52" sqref="G52"/>
    </sheetView>
  </sheetViews>
  <sheetFormatPr baseColWidth="10" defaultRowHeight="15" x14ac:dyDescent="0.25"/>
  <cols>
    <col min="1" max="1" width="11.42578125" style="281"/>
    <col min="2" max="2" width="11.42578125" style="255"/>
    <col min="3" max="3" width="67.28515625" customWidth="1"/>
    <col min="5" max="5" width="16.28515625" customWidth="1"/>
    <col min="6" max="6" width="15.28515625" customWidth="1"/>
    <col min="7" max="7" width="15.28515625" style="13" customWidth="1"/>
    <col min="9" max="9" width="15.140625" customWidth="1"/>
    <col min="10" max="10" width="32" style="424" customWidth="1"/>
    <col min="11" max="11" width="23.140625" style="423" customWidth="1"/>
  </cols>
  <sheetData>
    <row r="1" spans="2:8" ht="15.75" thickBot="1" x14ac:dyDescent="0.3"/>
    <row r="2" spans="2:8" ht="45.75" thickBot="1" x14ac:dyDescent="0.3">
      <c r="B2" s="752" t="s">
        <v>243</v>
      </c>
      <c r="C2" s="753"/>
      <c r="D2" s="754"/>
      <c r="E2" s="350" t="s">
        <v>446</v>
      </c>
      <c r="F2" s="295" t="s">
        <v>492</v>
      </c>
      <c r="G2" s="268" t="s">
        <v>493</v>
      </c>
      <c r="H2" s="355"/>
    </row>
    <row r="3" spans="2:8" x14ac:dyDescent="0.25">
      <c r="B3" s="293">
        <v>321200019</v>
      </c>
      <c r="C3" s="294" t="s">
        <v>97</v>
      </c>
      <c r="D3" s="296" t="s">
        <v>62</v>
      </c>
      <c r="E3" s="297">
        <v>576.625</v>
      </c>
      <c r="F3" s="265">
        <f>('PRECIO REFERENCIA Nov 2022'!F8)</f>
        <v>576.625</v>
      </c>
      <c r="G3" s="550">
        <f>(F3-E3)/E3</f>
        <v>0</v>
      </c>
    </row>
    <row r="4" spans="2:8" x14ac:dyDescent="0.25">
      <c r="B4" s="630">
        <v>320700022</v>
      </c>
      <c r="C4" s="3" t="s">
        <v>361</v>
      </c>
      <c r="D4" s="210" t="s">
        <v>62</v>
      </c>
      <c r="E4" s="298">
        <v>3.8831000000000002</v>
      </c>
      <c r="F4" s="266">
        <f>('PRECIO REFERENCIA Nov 2022'!F9)</f>
        <v>3.8961000000000001</v>
      </c>
      <c r="G4" s="288">
        <f>(F4-E4)/E4</f>
        <v>3.3478406427853778E-3</v>
      </c>
    </row>
    <row r="5" spans="2:8" x14ac:dyDescent="0.25">
      <c r="B5" s="631"/>
      <c r="C5" s="463" t="s">
        <v>362</v>
      </c>
      <c r="D5" s="479" t="s">
        <v>62</v>
      </c>
      <c r="E5" s="300"/>
      <c r="F5" s="260"/>
      <c r="G5" s="290"/>
      <c r="H5" s="456" t="s">
        <v>445</v>
      </c>
    </row>
    <row r="6" spans="2:8" x14ac:dyDescent="0.25">
      <c r="B6" s="631"/>
      <c r="C6" s="3" t="s">
        <v>363</v>
      </c>
      <c r="D6" s="210" t="s">
        <v>62</v>
      </c>
      <c r="E6" s="298">
        <v>4.6428500000000001</v>
      </c>
      <c r="F6" s="266">
        <f>('PRECIO REFERENCIA Nov 2022'!F11)</f>
        <v>4.6428500000000001</v>
      </c>
      <c r="G6" s="288">
        <f>(F6-E6)/E6</f>
        <v>0</v>
      </c>
    </row>
    <row r="7" spans="2:8" x14ac:dyDescent="0.25">
      <c r="B7" s="631"/>
      <c r="C7" s="455" t="s">
        <v>364</v>
      </c>
      <c r="D7" s="479" t="s">
        <v>62</v>
      </c>
      <c r="E7" s="300"/>
      <c r="F7" s="260"/>
      <c r="G7" s="290"/>
      <c r="H7" s="454" t="s">
        <v>445</v>
      </c>
    </row>
    <row r="8" spans="2:8" x14ac:dyDescent="0.25">
      <c r="B8" s="631"/>
      <c r="C8" s="3" t="s">
        <v>365</v>
      </c>
      <c r="D8" s="210" t="s">
        <v>62</v>
      </c>
      <c r="E8" s="298">
        <v>5</v>
      </c>
      <c r="F8" s="266">
        <f>('PRECIO REFERENCIA Nov 2022'!F13)</f>
        <v>5</v>
      </c>
      <c r="G8" s="288">
        <f>(F8-E8)/E8</f>
        <v>0</v>
      </c>
    </row>
    <row r="9" spans="2:8" x14ac:dyDescent="0.25">
      <c r="B9" s="632"/>
      <c r="C9" s="455" t="s">
        <v>366</v>
      </c>
      <c r="D9" s="479" t="s">
        <v>62</v>
      </c>
      <c r="E9" s="300"/>
      <c r="F9" s="260"/>
      <c r="G9" s="290"/>
      <c r="H9" s="454" t="s">
        <v>445</v>
      </c>
    </row>
    <row r="10" spans="2:8" x14ac:dyDescent="0.25">
      <c r="B10" s="622" t="s">
        <v>244</v>
      </c>
      <c r="C10" s="606"/>
      <c r="D10" s="623"/>
      <c r="E10" s="338"/>
      <c r="F10" s="339"/>
      <c r="G10" s="340"/>
    </row>
    <row r="11" spans="2:8" x14ac:dyDescent="0.25">
      <c r="B11" s="647">
        <v>31290027</v>
      </c>
      <c r="C11" s="3" t="s">
        <v>42</v>
      </c>
      <c r="D11" s="211" t="s">
        <v>43</v>
      </c>
      <c r="E11" s="298">
        <v>369.48099999999999</v>
      </c>
      <c r="F11" s="266">
        <f>('PRECIO REFERENCIA Nov 2022'!F16)</f>
        <v>461.1</v>
      </c>
      <c r="G11" s="288">
        <f t="shared" ref="G11:G67" si="0">(F11-E11)/E11</f>
        <v>0.24796674253885864</v>
      </c>
    </row>
    <row r="12" spans="2:8" x14ac:dyDescent="0.25">
      <c r="B12" s="647"/>
      <c r="C12" s="3" t="s">
        <v>40</v>
      </c>
      <c r="D12" s="211" t="s">
        <v>41</v>
      </c>
      <c r="E12" s="298">
        <v>493.44</v>
      </c>
      <c r="F12" s="266">
        <f>('PRECIO REFERENCIA Nov 2022'!F17)</f>
        <v>508.44</v>
      </c>
      <c r="G12" s="288">
        <f t="shared" si="0"/>
        <v>3.0398832684824902E-2</v>
      </c>
    </row>
    <row r="13" spans="2:8" x14ac:dyDescent="0.25">
      <c r="B13" s="622" t="s">
        <v>245</v>
      </c>
      <c r="C13" s="606"/>
      <c r="D13" s="623"/>
      <c r="E13" s="338"/>
      <c r="F13" s="339"/>
      <c r="G13" s="340"/>
    </row>
    <row r="14" spans="2:8" x14ac:dyDescent="0.25">
      <c r="B14" s="643">
        <v>32020001</v>
      </c>
      <c r="C14" s="1" t="s">
        <v>51</v>
      </c>
      <c r="D14" s="208" t="s">
        <v>52</v>
      </c>
      <c r="E14" s="298">
        <v>794.7403333333333</v>
      </c>
      <c r="F14" s="266">
        <f>('PRECIO REFERENCIA Nov 2022'!F19)</f>
        <v>794.7403333333333</v>
      </c>
      <c r="G14" s="288">
        <f t="shared" si="0"/>
        <v>0</v>
      </c>
    </row>
    <row r="15" spans="2:8" x14ac:dyDescent="0.25">
      <c r="B15" s="643"/>
      <c r="C15" s="12" t="s">
        <v>67</v>
      </c>
      <c r="D15" s="212" t="s">
        <v>68</v>
      </c>
      <c r="E15" s="298">
        <v>162.5</v>
      </c>
      <c r="F15" s="266">
        <f>('PRECIO REFERENCIA Nov 2022'!F20)</f>
        <v>176.5</v>
      </c>
      <c r="G15" s="354">
        <f t="shared" si="0"/>
        <v>8.615384615384615E-2</v>
      </c>
    </row>
    <row r="16" spans="2:8" x14ac:dyDescent="0.25">
      <c r="B16" s="622" t="s">
        <v>268</v>
      </c>
      <c r="C16" s="606"/>
      <c r="D16" s="623"/>
      <c r="E16" s="338"/>
      <c r="F16" s="339"/>
      <c r="G16" s="340"/>
    </row>
    <row r="17" spans="2:8" x14ac:dyDescent="0.25">
      <c r="B17" s="647">
        <v>321000014</v>
      </c>
      <c r="C17" s="3" t="s">
        <v>93</v>
      </c>
      <c r="D17" s="211" t="s">
        <v>45</v>
      </c>
      <c r="E17" s="298">
        <v>285</v>
      </c>
      <c r="F17" s="266">
        <f>('PRECIO REFERENCIA Nov 2022'!F22)</f>
        <v>330</v>
      </c>
      <c r="G17" s="288">
        <f t="shared" si="0"/>
        <v>0.15789473684210525</v>
      </c>
    </row>
    <row r="18" spans="2:8" x14ac:dyDescent="0.25">
      <c r="B18" s="647"/>
      <c r="C18" s="3" t="s">
        <v>94</v>
      </c>
      <c r="D18" s="211" t="s">
        <v>62</v>
      </c>
      <c r="E18" s="298">
        <v>946.27733333333333</v>
      </c>
      <c r="F18" s="266">
        <f>('PRECIO REFERENCIA Nov 2022'!F23)</f>
        <v>1064.2773333333332</v>
      </c>
      <c r="G18" s="288">
        <f t="shared" si="0"/>
        <v>0.12469917205385865</v>
      </c>
    </row>
    <row r="19" spans="2:8" x14ac:dyDescent="0.25">
      <c r="B19" s="647">
        <v>32020007</v>
      </c>
      <c r="C19" s="3" t="s">
        <v>63</v>
      </c>
      <c r="D19" s="211" t="s">
        <v>45</v>
      </c>
      <c r="E19" s="298">
        <v>58.454116666666664</v>
      </c>
      <c r="F19" s="266">
        <f>('PRECIO REFERENCIA Nov 2022'!F24)</f>
        <v>59.754116666666668</v>
      </c>
      <c r="G19" s="288">
        <f t="shared" si="0"/>
        <v>2.2239665469811581E-2</v>
      </c>
    </row>
    <row r="20" spans="2:8" x14ac:dyDescent="0.25">
      <c r="B20" s="647"/>
      <c r="C20" s="4" t="s">
        <v>61</v>
      </c>
      <c r="D20" s="213" t="s">
        <v>62</v>
      </c>
      <c r="E20" s="298">
        <v>188.63634999999999</v>
      </c>
      <c r="F20" s="266">
        <f>('PRECIO REFERENCIA Nov 2022'!F25)</f>
        <v>198.63634999999999</v>
      </c>
      <c r="G20" s="288">
        <f t="shared" si="0"/>
        <v>5.3012052024967615E-2</v>
      </c>
    </row>
    <row r="21" spans="2:8" x14ac:dyDescent="0.25">
      <c r="B21" s="622" t="s">
        <v>246</v>
      </c>
      <c r="C21" s="606"/>
      <c r="D21" s="623"/>
      <c r="E21" s="338"/>
      <c r="F21" s="339"/>
      <c r="G21" s="340"/>
    </row>
    <row r="22" spans="2:8" x14ac:dyDescent="0.25">
      <c r="B22" s="647">
        <v>32090001</v>
      </c>
      <c r="C22" s="3" t="s">
        <v>12</v>
      </c>
      <c r="D22" s="211" t="s">
        <v>84</v>
      </c>
      <c r="E22" s="298">
        <v>280.73</v>
      </c>
      <c r="F22" s="266">
        <f>('PRECIO REFERENCIA Nov 2022'!F27)</f>
        <v>354.06333333333333</v>
      </c>
      <c r="G22" s="288">
        <f t="shared" si="0"/>
        <v>0.26122371436374209</v>
      </c>
    </row>
    <row r="23" spans="2:8" x14ac:dyDescent="0.25">
      <c r="B23" s="647"/>
      <c r="C23" s="3" t="s">
        <v>198</v>
      </c>
      <c r="D23" s="211" t="s">
        <v>84</v>
      </c>
      <c r="E23" s="298">
        <v>306.70666666666665</v>
      </c>
      <c r="F23" s="266">
        <f>('PRECIO REFERENCIA Nov 2022'!F28)</f>
        <v>380.03999999999996</v>
      </c>
      <c r="G23" s="288">
        <f t="shared" si="0"/>
        <v>0.23909924792418374</v>
      </c>
    </row>
    <row r="24" spans="2:8" x14ac:dyDescent="0.25">
      <c r="B24" s="622" t="s">
        <v>269</v>
      </c>
      <c r="C24" s="606"/>
      <c r="D24" s="623"/>
      <c r="E24" s="338"/>
      <c r="F24" s="339"/>
      <c r="G24" s="340"/>
    </row>
    <row r="25" spans="2:8" x14ac:dyDescent="0.25">
      <c r="B25" s="283">
        <v>32010001</v>
      </c>
      <c r="C25" s="3" t="s">
        <v>44</v>
      </c>
      <c r="D25" s="211" t="s">
        <v>45</v>
      </c>
      <c r="E25" s="298">
        <v>35.532449999999997</v>
      </c>
      <c r="F25" s="266">
        <f>('PRECIO REFERENCIA Nov 2022'!F30)</f>
        <v>35.532449999999997</v>
      </c>
      <c r="G25" s="288">
        <f t="shared" si="0"/>
        <v>0</v>
      </c>
    </row>
    <row r="26" spans="2:8" x14ac:dyDescent="0.25">
      <c r="B26" s="622" t="s">
        <v>290</v>
      </c>
      <c r="C26" s="606"/>
      <c r="D26" s="623"/>
      <c r="E26" s="338"/>
      <c r="F26" s="339"/>
      <c r="G26" s="340"/>
    </row>
    <row r="27" spans="2:8" x14ac:dyDescent="0.25">
      <c r="B27" s="283">
        <v>320100049</v>
      </c>
      <c r="C27" s="3" t="s">
        <v>16</v>
      </c>
      <c r="D27" s="211" t="s">
        <v>45</v>
      </c>
      <c r="E27" s="298">
        <v>1016.221</v>
      </c>
      <c r="F27" s="266">
        <f>('PRECIO REFERENCIA Nov 2022'!F32)</f>
        <v>1051.721</v>
      </c>
      <c r="G27" s="288">
        <f t="shared" si="0"/>
        <v>3.4933346191428835E-2</v>
      </c>
    </row>
    <row r="28" spans="2:8" x14ac:dyDescent="0.25">
      <c r="B28" s="283">
        <v>320100053</v>
      </c>
      <c r="C28" s="7" t="s">
        <v>46</v>
      </c>
      <c r="D28" s="211" t="s">
        <v>47</v>
      </c>
      <c r="E28" s="298">
        <v>26.127270000000003</v>
      </c>
      <c r="F28" s="266">
        <f>('PRECIO REFERENCIA Nov 2022'!F33)</f>
        <v>26.127270000000003</v>
      </c>
      <c r="G28" s="288">
        <f t="shared" si="0"/>
        <v>0</v>
      </c>
    </row>
    <row r="29" spans="2:8" x14ac:dyDescent="0.25">
      <c r="B29" s="283">
        <v>320100073</v>
      </c>
      <c r="C29" s="3" t="s">
        <v>17</v>
      </c>
      <c r="D29" s="211" t="s">
        <v>45</v>
      </c>
      <c r="E29" s="298">
        <v>10.688310000000001</v>
      </c>
      <c r="F29" s="266">
        <f>('PRECIO REFERENCIA Nov 2022'!F34)</f>
        <v>10.688310000000001</v>
      </c>
      <c r="G29" s="354">
        <f t="shared" si="0"/>
        <v>0</v>
      </c>
    </row>
    <row r="30" spans="2:8" x14ac:dyDescent="0.25">
      <c r="B30" s="622"/>
      <c r="C30" s="606"/>
      <c r="D30" s="623"/>
      <c r="E30" s="338"/>
      <c r="F30" s="339"/>
      <c r="G30" s="340"/>
    </row>
    <row r="31" spans="2:8" x14ac:dyDescent="0.25">
      <c r="B31" s="647">
        <v>32130001</v>
      </c>
      <c r="C31" s="3" t="s">
        <v>110</v>
      </c>
      <c r="D31" s="211" t="s">
        <v>45</v>
      </c>
      <c r="E31" s="298">
        <v>525.52088888888886</v>
      </c>
      <c r="F31" s="266">
        <f>('PRECIO REFERENCIA Nov 2022'!F36)</f>
        <v>558.85422222222223</v>
      </c>
      <c r="G31" s="288">
        <f t="shared" si="0"/>
        <v>6.3429131054733495E-2</v>
      </c>
    </row>
    <row r="32" spans="2:8" x14ac:dyDescent="0.25">
      <c r="B32" s="647"/>
      <c r="C32" s="455" t="s">
        <v>111</v>
      </c>
      <c r="D32" s="214" t="s">
        <v>45</v>
      </c>
      <c r="E32" s="300"/>
      <c r="F32" s="260"/>
      <c r="G32" s="290"/>
      <c r="H32" s="454" t="s">
        <v>456</v>
      </c>
    </row>
    <row r="33" spans="2:8" x14ac:dyDescent="0.25">
      <c r="B33" s="283">
        <v>322300022</v>
      </c>
      <c r="C33" s="3" t="s">
        <v>34</v>
      </c>
      <c r="D33" s="211" t="s">
        <v>45</v>
      </c>
      <c r="E33" s="298">
        <v>393</v>
      </c>
      <c r="F33" s="266">
        <f>('PRECIO REFERENCIA Nov 2022'!F38)</f>
        <v>436.5</v>
      </c>
      <c r="G33" s="288">
        <f t="shared" si="0"/>
        <v>0.11068702290076336</v>
      </c>
    </row>
    <row r="34" spans="2:8" x14ac:dyDescent="0.25">
      <c r="B34" s="261">
        <v>321500181</v>
      </c>
      <c r="C34" s="755" t="s">
        <v>292</v>
      </c>
      <c r="D34" s="756"/>
      <c r="E34" s="300"/>
      <c r="F34" s="260"/>
      <c r="G34" s="290"/>
      <c r="H34" s="454" t="s">
        <v>444</v>
      </c>
    </row>
    <row r="35" spans="2:8" x14ac:dyDescent="0.25">
      <c r="B35" s="622" t="s">
        <v>270</v>
      </c>
      <c r="C35" s="606"/>
      <c r="D35" s="623"/>
      <c r="E35" s="338"/>
      <c r="F35" s="339"/>
      <c r="G35" s="340"/>
    </row>
    <row r="36" spans="2:8" x14ac:dyDescent="0.25">
      <c r="B36" s="283">
        <v>321220013</v>
      </c>
      <c r="C36" s="3" t="s">
        <v>109</v>
      </c>
      <c r="D36" s="211" t="s">
        <v>62</v>
      </c>
      <c r="E36" s="298">
        <v>49.5</v>
      </c>
      <c r="F36" s="266">
        <f>('PRECIO REFERENCIA Nov 2022'!F41)</f>
        <v>72</v>
      </c>
      <c r="G36" s="288">
        <f t="shared" si="0"/>
        <v>0.45454545454545453</v>
      </c>
    </row>
    <row r="37" spans="2:8" x14ac:dyDescent="0.25">
      <c r="B37" s="679"/>
      <c r="C37" s="612"/>
      <c r="D37" s="680"/>
      <c r="E37" s="338"/>
      <c r="F37" s="339"/>
      <c r="G37" s="340"/>
    </row>
    <row r="38" spans="2:8" x14ac:dyDescent="0.25">
      <c r="B38" s="283">
        <v>322300061</v>
      </c>
      <c r="C38" s="3" t="s">
        <v>122</v>
      </c>
      <c r="D38" s="211" t="s">
        <v>45</v>
      </c>
      <c r="E38" s="298">
        <v>518.61333333333334</v>
      </c>
      <c r="F38" s="266">
        <f>('PRECIO REFERENCIA Nov 2022'!F43)</f>
        <v>601.94666666666672</v>
      </c>
      <c r="G38" s="288">
        <f t="shared" si="0"/>
        <v>0.16068490333196223</v>
      </c>
    </row>
    <row r="39" spans="2:8" x14ac:dyDescent="0.25">
      <c r="B39" s="675"/>
      <c r="C39" s="613"/>
      <c r="D39" s="677"/>
      <c r="E39" s="338"/>
      <c r="F39" s="339"/>
      <c r="G39" s="340"/>
    </row>
    <row r="40" spans="2:8" x14ac:dyDescent="0.25">
      <c r="B40" s="287">
        <v>320300033</v>
      </c>
      <c r="C40" s="12" t="s">
        <v>64</v>
      </c>
      <c r="D40" s="212" t="s">
        <v>62</v>
      </c>
      <c r="E40" s="298">
        <v>1077</v>
      </c>
      <c r="F40" s="266">
        <f>('PRECIO REFERENCIA Nov 2022'!F45)</f>
        <v>1196</v>
      </c>
      <c r="G40" s="288">
        <f t="shared" si="0"/>
        <v>0.11049210770659239</v>
      </c>
    </row>
    <row r="41" spans="2:8" x14ac:dyDescent="0.25">
      <c r="B41" s="757"/>
      <c r="C41" s="613"/>
      <c r="D41" s="677"/>
      <c r="E41" s="338"/>
      <c r="F41" s="339"/>
      <c r="G41" s="340"/>
    </row>
    <row r="42" spans="2:8" x14ac:dyDescent="0.25">
      <c r="B42" s="643">
        <v>32070005</v>
      </c>
      <c r="C42" s="331" t="s">
        <v>386</v>
      </c>
      <c r="D42" s="330" t="s">
        <v>62</v>
      </c>
      <c r="E42" s="334">
        <v>45.779200000000003</v>
      </c>
      <c r="F42" s="335">
        <f>('PRECIO REFERENCIA Nov 2022'!F47)</f>
        <v>45.779200000000003</v>
      </c>
      <c r="G42" s="464">
        <f>(F42-E42)/E42</f>
        <v>0</v>
      </c>
    </row>
    <row r="43" spans="2:8" x14ac:dyDescent="0.25">
      <c r="B43" s="643"/>
      <c r="C43" s="331" t="s">
        <v>387</v>
      </c>
      <c r="D43" s="330" t="s">
        <v>62</v>
      </c>
      <c r="E43" s="334">
        <v>40.779200000000003</v>
      </c>
      <c r="F43" s="335">
        <f>('PRECIO REFERENCIA Nov 2022'!F48)</f>
        <v>40.779200000000003</v>
      </c>
      <c r="G43" s="464">
        <f t="shared" ref="G43:G46" si="1">(F43-E43)/E43</f>
        <v>0</v>
      </c>
    </row>
    <row r="44" spans="2:8" x14ac:dyDescent="0.25">
      <c r="B44" s="643"/>
      <c r="C44" s="331" t="s">
        <v>388</v>
      </c>
      <c r="D44" s="330" t="s">
        <v>62</v>
      </c>
      <c r="E44" s="334">
        <v>40.78</v>
      </c>
      <c r="F44" s="335">
        <f>('PRECIO REFERENCIA Nov 2022'!F49)</f>
        <v>40.78</v>
      </c>
      <c r="G44" s="464">
        <f t="shared" si="1"/>
        <v>0</v>
      </c>
    </row>
    <row r="45" spans="2:8" x14ac:dyDescent="0.25">
      <c r="B45" s="643"/>
      <c r="C45" s="331" t="s">
        <v>389</v>
      </c>
      <c r="D45" s="330" t="s">
        <v>62</v>
      </c>
      <c r="E45" s="334">
        <v>43.375</v>
      </c>
      <c r="F45" s="335">
        <f>('PRECIO REFERENCIA Nov 2022'!F50)</f>
        <v>43.375</v>
      </c>
      <c r="G45" s="464">
        <f t="shared" si="1"/>
        <v>0</v>
      </c>
    </row>
    <row r="46" spans="2:8" x14ac:dyDescent="0.25">
      <c r="B46" s="643"/>
      <c r="C46" s="331" t="s">
        <v>385</v>
      </c>
      <c r="D46" s="330" t="s">
        <v>62</v>
      </c>
      <c r="E46" s="334">
        <v>48.376599999999996</v>
      </c>
      <c r="F46" s="335">
        <f>('PRECIO REFERENCIA Nov 2022'!F51)</f>
        <v>48.376599999999996</v>
      </c>
      <c r="G46" s="464">
        <f t="shared" si="1"/>
        <v>0</v>
      </c>
    </row>
    <row r="47" spans="2:8" x14ac:dyDescent="0.25">
      <c r="B47" s="758"/>
      <c r="C47" s="613"/>
      <c r="D47" s="677"/>
      <c r="E47" s="338"/>
      <c r="F47" s="339"/>
      <c r="G47" s="340"/>
    </row>
    <row r="48" spans="2:8" x14ac:dyDescent="0.25">
      <c r="B48" s="283">
        <v>321600012</v>
      </c>
      <c r="C48" s="3" t="s">
        <v>31</v>
      </c>
      <c r="D48" s="211" t="s">
        <v>45</v>
      </c>
      <c r="E48" s="298">
        <v>43.0779</v>
      </c>
      <c r="F48" s="266">
        <f>('PRECIO REFERENCIA Nov 2022'!F53)</f>
        <v>43.0779</v>
      </c>
      <c r="G48" s="288">
        <f t="shared" si="0"/>
        <v>0</v>
      </c>
    </row>
    <row r="49" spans="2:8" x14ac:dyDescent="0.25">
      <c r="B49" s="675"/>
      <c r="C49" s="613"/>
      <c r="D49" s="677"/>
      <c r="E49" s="338"/>
      <c r="F49" s="339"/>
      <c r="G49" s="340"/>
    </row>
    <row r="50" spans="2:8" x14ac:dyDescent="0.25">
      <c r="B50" s="283">
        <v>320900071</v>
      </c>
      <c r="C50" s="3" t="s">
        <v>35</v>
      </c>
      <c r="D50" s="211" t="s">
        <v>62</v>
      </c>
      <c r="E50" s="298">
        <v>611</v>
      </c>
      <c r="F50" s="266">
        <f>('PRECIO REFERENCIA Nov 2022'!F55)</f>
        <v>710.5</v>
      </c>
      <c r="G50" s="288">
        <f t="shared" si="0"/>
        <v>0.16284779050736498</v>
      </c>
    </row>
    <row r="51" spans="2:8" x14ac:dyDescent="0.25">
      <c r="B51" s="622" t="s">
        <v>271</v>
      </c>
      <c r="C51" s="606"/>
      <c r="D51" s="623"/>
      <c r="E51" s="338"/>
      <c r="F51" s="339"/>
      <c r="G51" s="340"/>
    </row>
    <row r="52" spans="2:8" x14ac:dyDescent="0.25">
      <c r="B52" s="647">
        <v>32150002</v>
      </c>
      <c r="C52" s="573" t="s">
        <v>112</v>
      </c>
      <c r="D52" s="445" t="s">
        <v>58</v>
      </c>
      <c r="E52" s="585" t="s">
        <v>582</v>
      </c>
      <c r="F52" s="586">
        <v>3376.62</v>
      </c>
      <c r="G52" s="453"/>
      <c r="H52" s="454"/>
    </row>
    <row r="53" spans="2:8" x14ac:dyDescent="0.25">
      <c r="B53" s="647"/>
      <c r="C53" s="573" t="s">
        <v>113</v>
      </c>
      <c r="D53" s="445" t="s">
        <v>68</v>
      </c>
      <c r="E53" s="585" t="s">
        <v>582</v>
      </c>
      <c r="F53" s="586">
        <v>8441.56</v>
      </c>
      <c r="G53" s="453"/>
      <c r="H53" s="454"/>
    </row>
    <row r="54" spans="2:8" x14ac:dyDescent="0.25">
      <c r="B54" s="675"/>
      <c r="C54" s="613"/>
      <c r="D54" s="677"/>
      <c r="E54" s="338"/>
      <c r="F54" s="339"/>
      <c r="G54" s="340"/>
    </row>
    <row r="55" spans="2:8" x14ac:dyDescent="0.25">
      <c r="B55" s="283">
        <v>3212002017</v>
      </c>
      <c r="C55" s="7" t="s">
        <v>108</v>
      </c>
      <c r="D55" s="211" t="s">
        <v>62</v>
      </c>
      <c r="E55" s="298">
        <v>4155.84</v>
      </c>
      <c r="F55" s="266">
        <f>('PRECIO REFERENCIA Nov 2022'!F60)</f>
        <v>4155.84</v>
      </c>
      <c r="G55" s="288">
        <f t="shared" si="0"/>
        <v>0</v>
      </c>
    </row>
    <row r="56" spans="2:8" x14ac:dyDescent="0.25">
      <c r="B56" s="622" t="s">
        <v>272</v>
      </c>
      <c r="C56" s="606"/>
      <c r="D56" s="623"/>
      <c r="E56" s="338"/>
      <c r="F56" s="339"/>
      <c r="G56" s="340"/>
    </row>
    <row r="57" spans="2:8" x14ac:dyDescent="0.25">
      <c r="B57" s="282">
        <v>32220001</v>
      </c>
      <c r="C57" s="46" t="s">
        <v>280</v>
      </c>
      <c r="D57" s="208" t="s">
        <v>45</v>
      </c>
      <c r="E57" s="298">
        <v>2728.83</v>
      </c>
      <c r="F57" s="266">
        <f>('PRECIO REFERENCIA Nov 2022'!F62)</f>
        <v>2928.83</v>
      </c>
      <c r="G57" s="288">
        <f t="shared" si="0"/>
        <v>7.32914838960287E-2</v>
      </c>
    </row>
    <row r="58" spans="2:8" x14ac:dyDescent="0.25">
      <c r="B58" s="675"/>
      <c r="C58" s="613"/>
      <c r="D58" s="677"/>
      <c r="E58" s="338"/>
      <c r="F58" s="339"/>
      <c r="G58" s="340"/>
    </row>
    <row r="59" spans="2:8" x14ac:dyDescent="0.25">
      <c r="B59" s="283">
        <v>321500041</v>
      </c>
      <c r="C59" s="3" t="s">
        <v>116</v>
      </c>
      <c r="D59" s="211" t="s">
        <v>62</v>
      </c>
      <c r="E59" s="298">
        <v>1577.9221</v>
      </c>
      <c r="F59" s="266">
        <f>('PRECIO REFERENCIA Nov 2022'!F64)</f>
        <v>1577.9221</v>
      </c>
      <c r="G59" s="288">
        <f>(F59-E59)/E59</f>
        <v>0</v>
      </c>
    </row>
    <row r="60" spans="2:8" x14ac:dyDescent="0.25">
      <c r="B60" s="675"/>
      <c r="C60" s="613"/>
      <c r="D60" s="677"/>
      <c r="E60" s="338"/>
      <c r="F60" s="339"/>
      <c r="G60" s="340"/>
    </row>
    <row r="61" spans="2:8" x14ac:dyDescent="0.25">
      <c r="B61" s="759">
        <v>3201000612</v>
      </c>
      <c r="C61" s="69" t="s">
        <v>368</v>
      </c>
      <c r="D61" s="216" t="s">
        <v>45</v>
      </c>
      <c r="E61" s="298">
        <v>626</v>
      </c>
      <c r="F61" s="266">
        <f>('PRECIO REFERENCIA Nov 2022'!F66)</f>
        <v>711</v>
      </c>
      <c r="G61" s="288">
        <f>(F61-E61)/E61</f>
        <v>0.13578274760383385</v>
      </c>
    </row>
    <row r="62" spans="2:8" x14ac:dyDescent="0.25">
      <c r="B62" s="760"/>
      <c r="C62" s="69" t="s">
        <v>369</v>
      </c>
      <c r="D62" s="216" t="s">
        <v>45</v>
      </c>
      <c r="E62" s="298">
        <v>1023.5</v>
      </c>
      <c r="F62" s="266">
        <f>('PRECIO REFERENCIA Nov 2022'!F67)</f>
        <v>1023.5</v>
      </c>
      <c r="G62" s="288">
        <f>(F62-E62)/E62</f>
        <v>0</v>
      </c>
    </row>
    <row r="63" spans="2:8" x14ac:dyDescent="0.25">
      <c r="B63" s="761"/>
      <c r="C63" s="3" t="s">
        <v>48</v>
      </c>
      <c r="D63" s="211" t="s">
        <v>45</v>
      </c>
      <c r="E63" s="298">
        <v>283.5</v>
      </c>
      <c r="F63" s="266">
        <f>('PRECIO REFERENCIA Nov 2022'!F68)</f>
        <v>283.5</v>
      </c>
      <c r="G63" s="288">
        <f>(F63-E63)/E63</f>
        <v>0</v>
      </c>
    </row>
    <row r="64" spans="2:8" x14ac:dyDescent="0.25">
      <c r="B64" s="675"/>
      <c r="C64" s="613"/>
      <c r="D64" s="677"/>
      <c r="E64" s="338"/>
      <c r="F64" s="339"/>
      <c r="G64" s="340"/>
    </row>
    <row r="65" spans="2:8" x14ac:dyDescent="0.25">
      <c r="B65" s="283">
        <v>321500036</v>
      </c>
      <c r="C65" s="3" t="s">
        <v>114</v>
      </c>
      <c r="D65" s="211" t="s">
        <v>115</v>
      </c>
      <c r="E65" s="298">
        <v>1906.7</v>
      </c>
      <c r="F65" s="266">
        <f>('PRECIO REFERENCIA Nov 2022'!F70)</f>
        <v>1906.7</v>
      </c>
      <c r="G65" s="288">
        <f t="shared" si="0"/>
        <v>0</v>
      </c>
    </row>
    <row r="66" spans="2:8" x14ac:dyDescent="0.25">
      <c r="B66" s="622" t="s">
        <v>273</v>
      </c>
      <c r="C66" s="606"/>
      <c r="D66" s="623"/>
      <c r="E66" s="338"/>
      <c r="F66" s="339"/>
      <c r="G66" s="340"/>
    </row>
    <row r="67" spans="2:8" x14ac:dyDescent="0.25">
      <c r="B67" s="283">
        <v>32050001</v>
      </c>
      <c r="C67" s="3" t="s">
        <v>281</v>
      </c>
      <c r="D67" s="211" t="s">
        <v>45</v>
      </c>
      <c r="E67" s="298">
        <v>28.311700000000002</v>
      </c>
      <c r="F67" s="266">
        <f>('PRECIO REFERENCIA Nov 2022'!F72)</f>
        <v>29.811700000000002</v>
      </c>
      <c r="G67" s="466">
        <f t="shared" si="0"/>
        <v>5.2981629502996994E-2</v>
      </c>
    </row>
    <row r="68" spans="2:8" x14ac:dyDescent="0.25">
      <c r="B68" s="675"/>
      <c r="C68" s="613"/>
      <c r="D68" s="677"/>
      <c r="E68" s="338"/>
      <c r="F68" s="339"/>
      <c r="G68" s="340"/>
    </row>
    <row r="69" spans="2:8" x14ac:dyDescent="0.25">
      <c r="B69" s="286">
        <v>320700121</v>
      </c>
      <c r="C69" s="284" t="s">
        <v>81</v>
      </c>
      <c r="D69" s="214" t="s">
        <v>45</v>
      </c>
      <c r="E69" s="300"/>
      <c r="F69" s="260"/>
      <c r="G69" s="290"/>
      <c r="H69" s="454" t="s">
        <v>443</v>
      </c>
    </row>
    <row r="70" spans="2:8" x14ac:dyDescent="0.25">
      <c r="B70" s="622" t="s">
        <v>254</v>
      </c>
      <c r="C70" s="606"/>
      <c r="D70" s="623"/>
      <c r="E70" s="338"/>
      <c r="F70" s="339"/>
      <c r="G70" s="340"/>
    </row>
    <row r="71" spans="2:8" x14ac:dyDescent="0.25">
      <c r="B71" s="647">
        <v>32160002</v>
      </c>
      <c r="C71" s="3" t="s">
        <v>118</v>
      </c>
      <c r="D71" s="211" t="s">
        <v>45</v>
      </c>
      <c r="E71" s="298">
        <v>163.27913333333333</v>
      </c>
      <c r="F71" s="266">
        <f>('PRECIO REFERENCIA Nov 2022'!F76)</f>
        <v>172.53943333333336</v>
      </c>
      <c r="G71" s="288">
        <f t="shared" ref="G71:G134" si="2">(F71-E71)/E71</f>
        <v>5.6714534251570192E-2</v>
      </c>
    </row>
    <row r="72" spans="2:8" x14ac:dyDescent="0.25">
      <c r="B72" s="647"/>
      <c r="C72" s="3" t="s">
        <v>119</v>
      </c>
      <c r="D72" s="211" t="s">
        <v>45</v>
      </c>
      <c r="E72" s="298">
        <v>188.3537</v>
      </c>
      <c r="F72" s="266">
        <f>('PRECIO REFERENCIA Nov 2022'!F77)</f>
        <v>198.92400000000001</v>
      </c>
      <c r="G72" s="288">
        <f t="shared" si="2"/>
        <v>5.6119417882420163E-2</v>
      </c>
    </row>
    <row r="73" spans="2:8" x14ac:dyDescent="0.25">
      <c r="B73" s="647"/>
      <c r="C73" s="3" t="s">
        <v>14</v>
      </c>
      <c r="D73" s="211" t="s">
        <v>45</v>
      </c>
      <c r="E73" s="298">
        <v>170.51430000000002</v>
      </c>
      <c r="F73" s="266">
        <f>('PRECIO REFERENCIA Nov 2022'!F78)</f>
        <v>201.44866666666667</v>
      </c>
      <c r="G73" s="288">
        <f t="shared" si="2"/>
        <v>0.18141801987672965</v>
      </c>
    </row>
    <row r="74" spans="2:8" x14ac:dyDescent="0.25">
      <c r="B74" s="622"/>
      <c r="C74" s="606"/>
      <c r="D74" s="623"/>
      <c r="E74" s="338"/>
      <c r="F74" s="339"/>
      <c r="G74" s="340"/>
    </row>
    <row r="75" spans="2:8" x14ac:dyDescent="0.25">
      <c r="B75" s="287">
        <v>321200161</v>
      </c>
      <c r="C75" s="284" t="s">
        <v>105</v>
      </c>
      <c r="D75" s="214" t="s">
        <v>62</v>
      </c>
      <c r="E75" s="300"/>
      <c r="F75" s="260"/>
      <c r="G75" s="290"/>
      <c r="H75" s="454" t="s">
        <v>439</v>
      </c>
    </row>
    <row r="76" spans="2:8" x14ac:dyDescent="0.25">
      <c r="B76" s="287">
        <v>321200172</v>
      </c>
      <c r="C76" s="284" t="s">
        <v>106</v>
      </c>
      <c r="D76" s="214" t="s">
        <v>62</v>
      </c>
      <c r="E76" s="300"/>
      <c r="F76" s="260"/>
      <c r="G76" s="290"/>
      <c r="H76" s="454" t="s">
        <v>439</v>
      </c>
    </row>
    <row r="77" spans="2:8" x14ac:dyDescent="0.25">
      <c r="B77" s="622"/>
      <c r="C77" s="606"/>
      <c r="D77" s="623"/>
      <c r="E77" s="338"/>
      <c r="F77" s="339"/>
      <c r="G77" s="340"/>
    </row>
    <row r="78" spans="2:8" x14ac:dyDescent="0.25">
      <c r="B78" s="287">
        <v>321200192</v>
      </c>
      <c r="C78" s="12" t="s">
        <v>107</v>
      </c>
      <c r="D78" s="212" t="s">
        <v>45</v>
      </c>
      <c r="E78" s="301">
        <v>950</v>
      </c>
      <c r="F78" s="267">
        <f>('PRECIO REFERENCIA Nov 2022'!F83)</f>
        <v>1100</v>
      </c>
      <c r="G78" s="288">
        <f t="shared" si="2"/>
        <v>0.15789473684210525</v>
      </c>
    </row>
    <row r="79" spans="2:8" x14ac:dyDescent="0.25">
      <c r="B79" s="622" t="s">
        <v>253</v>
      </c>
      <c r="C79" s="606"/>
      <c r="D79" s="623"/>
      <c r="E79" s="338"/>
      <c r="F79" s="339"/>
      <c r="G79" s="340"/>
    </row>
    <row r="80" spans="2:8" x14ac:dyDescent="0.25">
      <c r="B80" s="647">
        <v>32020003</v>
      </c>
      <c r="C80" s="3" t="s">
        <v>55</v>
      </c>
      <c r="D80" s="211" t="s">
        <v>54</v>
      </c>
      <c r="E80" s="298">
        <v>3882.47</v>
      </c>
      <c r="F80" s="266">
        <f>('PRECIO REFERENCIA Nov 2022'!F85)</f>
        <v>4182.4699999999993</v>
      </c>
      <c r="G80" s="288">
        <f t="shared" si="2"/>
        <v>7.7270397453167591E-2</v>
      </c>
    </row>
    <row r="81" spans="2:8" x14ac:dyDescent="0.25">
      <c r="B81" s="647"/>
      <c r="C81" s="3" t="s">
        <v>9</v>
      </c>
      <c r="D81" s="211" t="s">
        <v>56</v>
      </c>
      <c r="E81" s="298">
        <v>22.857140000000001</v>
      </c>
      <c r="F81" s="266">
        <f>('PRECIO REFERENCIA Nov 2022'!F86)</f>
        <v>22.857140000000001</v>
      </c>
      <c r="G81" s="288">
        <f t="shared" si="2"/>
        <v>0</v>
      </c>
    </row>
    <row r="82" spans="2:8" x14ac:dyDescent="0.25">
      <c r="B82" s="287">
        <v>320200024</v>
      </c>
      <c r="C82" s="259" t="s">
        <v>53</v>
      </c>
      <c r="D82" s="269" t="s">
        <v>54</v>
      </c>
      <c r="E82" s="298">
        <v>3882.47</v>
      </c>
      <c r="F82" s="266">
        <f>('PRECIO REFERENCIA Nov 2022'!F87)</f>
        <v>4182.4699999999993</v>
      </c>
      <c r="G82" s="474">
        <f>(F82-E82)/E82</f>
        <v>7.7270397453167591E-2</v>
      </c>
      <c r="H82" t="s">
        <v>458</v>
      </c>
    </row>
    <row r="83" spans="2:8" x14ac:dyDescent="0.25">
      <c r="B83" s="622"/>
      <c r="C83" s="606"/>
      <c r="D83" s="623"/>
      <c r="E83" s="338"/>
      <c r="F83" s="339"/>
      <c r="G83" s="340"/>
    </row>
    <row r="84" spans="2:8" x14ac:dyDescent="0.25">
      <c r="B84" s="283">
        <v>320500026</v>
      </c>
      <c r="C84" s="3" t="s">
        <v>19</v>
      </c>
      <c r="D84" s="211" t="s">
        <v>65</v>
      </c>
      <c r="E84" s="298">
        <v>330</v>
      </c>
      <c r="F84" s="266">
        <f>('PRECIO REFERENCIA Nov 2022'!F89)</f>
        <v>374.33333333333331</v>
      </c>
      <c r="G84" s="288">
        <f t="shared" si="2"/>
        <v>0.13434343434343429</v>
      </c>
    </row>
    <row r="85" spans="2:8" x14ac:dyDescent="0.25">
      <c r="B85" s="622" t="s">
        <v>274</v>
      </c>
      <c r="C85" s="606"/>
      <c r="D85" s="623"/>
      <c r="E85" s="338"/>
      <c r="F85" s="339"/>
      <c r="G85" s="340"/>
    </row>
    <row r="86" spans="2:8" x14ac:dyDescent="0.25">
      <c r="B86" s="217">
        <v>320100112</v>
      </c>
      <c r="C86" s="5" t="s">
        <v>262</v>
      </c>
      <c r="D86" s="218" t="s">
        <v>49</v>
      </c>
      <c r="E86" s="298">
        <v>2782.4650000000001</v>
      </c>
      <c r="F86" s="266">
        <f>('PRECIO REFERENCIA Nov 2022'!F91)</f>
        <v>2782.4650000000001</v>
      </c>
      <c r="G86" s="288">
        <f t="shared" si="2"/>
        <v>0</v>
      </c>
    </row>
    <row r="87" spans="2:8" x14ac:dyDescent="0.25">
      <c r="B87" s="217">
        <v>320100123</v>
      </c>
      <c r="C87" s="5" t="s">
        <v>263</v>
      </c>
      <c r="D87" s="218" t="s">
        <v>50</v>
      </c>
      <c r="E87" s="298">
        <v>119.48050000000001</v>
      </c>
      <c r="F87" s="266">
        <f>('PRECIO REFERENCIA Nov 2022'!F92)</f>
        <v>119.48050000000001</v>
      </c>
      <c r="G87" s="288">
        <f t="shared" si="2"/>
        <v>0</v>
      </c>
    </row>
    <row r="88" spans="2:8" x14ac:dyDescent="0.25">
      <c r="B88" s="217">
        <v>3201001710</v>
      </c>
      <c r="C88" s="5" t="s">
        <v>264</v>
      </c>
      <c r="D88" s="218" t="s">
        <v>49</v>
      </c>
      <c r="E88" s="298">
        <v>4757.1450000000004</v>
      </c>
      <c r="F88" s="266">
        <f>('PRECIO REFERENCIA Nov 2022'!F93)</f>
        <v>4757.1450000000004</v>
      </c>
      <c r="G88" s="288">
        <f t="shared" si="2"/>
        <v>0</v>
      </c>
    </row>
    <row r="89" spans="2:8" x14ac:dyDescent="0.25">
      <c r="B89" s="622" t="s">
        <v>247</v>
      </c>
      <c r="C89" s="606"/>
      <c r="D89" s="623"/>
      <c r="E89" s="338"/>
      <c r="F89" s="339"/>
      <c r="G89" s="340"/>
    </row>
    <row r="90" spans="2:8" x14ac:dyDescent="0.25">
      <c r="B90" s="647">
        <v>32070006</v>
      </c>
      <c r="C90" s="7" t="s">
        <v>75</v>
      </c>
      <c r="D90" s="219" t="s">
        <v>62</v>
      </c>
      <c r="E90" s="298">
        <v>100</v>
      </c>
      <c r="F90" s="270">
        <f>('PRECIO REFERENCIA Nov 2022'!F95)</f>
        <v>100</v>
      </c>
      <c r="G90" s="288">
        <f>(F90-E90)/E90</f>
        <v>0</v>
      </c>
    </row>
    <row r="91" spans="2:8" x14ac:dyDescent="0.25">
      <c r="B91" s="647"/>
      <c r="C91" s="3" t="s">
        <v>74</v>
      </c>
      <c r="D91" s="211" t="s">
        <v>45</v>
      </c>
      <c r="E91" s="301">
        <v>96.545400000000001</v>
      </c>
      <c r="F91" s="264">
        <f>('PRECIO REFERENCIA Nov 2022'!F96)</f>
        <v>96.545400000000001</v>
      </c>
      <c r="G91" s="288">
        <f t="shared" si="2"/>
        <v>0</v>
      </c>
    </row>
    <row r="92" spans="2:8" x14ac:dyDescent="0.25">
      <c r="B92" s="647"/>
      <c r="C92" s="3" t="s">
        <v>73</v>
      </c>
      <c r="D92" s="211" t="s">
        <v>45</v>
      </c>
      <c r="E92" s="298">
        <v>738.96100000000001</v>
      </c>
      <c r="F92" s="270">
        <f>('PRECIO REFERENCIA Nov 2022'!F97)</f>
        <v>738.96100000000001</v>
      </c>
      <c r="G92" s="288">
        <f t="shared" si="2"/>
        <v>0</v>
      </c>
    </row>
    <row r="93" spans="2:8" x14ac:dyDescent="0.25">
      <c r="B93" s="647"/>
      <c r="C93" s="3" t="s">
        <v>72</v>
      </c>
      <c r="D93" s="211" t="s">
        <v>62</v>
      </c>
      <c r="E93" s="299">
        <v>80</v>
      </c>
      <c r="F93" s="270">
        <f>('PRECIO REFERENCIA Nov 2022'!F98)</f>
        <v>80</v>
      </c>
      <c r="G93" s="288">
        <f t="shared" si="2"/>
        <v>0</v>
      </c>
    </row>
    <row r="94" spans="2:8" x14ac:dyDescent="0.25">
      <c r="B94" s="647"/>
      <c r="C94" s="259" t="s">
        <v>71</v>
      </c>
      <c r="D94" s="269" t="s">
        <v>45</v>
      </c>
      <c r="E94" s="299">
        <v>277.9221</v>
      </c>
      <c r="F94" s="270">
        <f>('PRECIO REFERENCIA Nov 2022'!F99)</f>
        <v>277.9221</v>
      </c>
      <c r="G94" s="474">
        <f t="shared" si="2"/>
        <v>0</v>
      </c>
    </row>
    <row r="95" spans="2:8" x14ac:dyDescent="0.25">
      <c r="B95" s="220"/>
      <c r="C95" s="50"/>
      <c r="D95" s="221"/>
      <c r="E95" s="338"/>
      <c r="F95" s="339"/>
      <c r="G95" s="340"/>
    </row>
    <row r="96" spans="2:8" x14ac:dyDescent="0.25">
      <c r="B96" s="285">
        <v>321600081</v>
      </c>
      <c r="C96" s="7" t="s">
        <v>120</v>
      </c>
      <c r="D96" s="219" t="s">
        <v>45</v>
      </c>
      <c r="E96" s="298">
        <v>2628</v>
      </c>
      <c r="F96" s="266">
        <f>('PRECIO REFERENCIA Nov 2022'!F101)</f>
        <v>2803</v>
      </c>
      <c r="G96" s="288">
        <f t="shared" si="2"/>
        <v>6.6590563165905628E-2</v>
      </c>
    </row>
    <row r="97" spans="2:8" x14ac:dyDescent="0.25">
      <c r="B97" s="622" t="s">
        <v>252</v>
      </c>
      <c r="C97" s="606"/>
      <c r="D97" s="623"/>
      <c r="E97" s="338"/>
      <c r="F97" s="339"/>
      <c r="G97" s="340"/>
    </row>
    <row r="98" spans="2:8" x14ac:dyDescent="0.25">
      <c r="B98" s="289">
        <v>32030001</v>
      </c>
      <c r="C98" s="3" t="s">
        <v>10</v>
      </c>
      <c r="D98" s="211" t="s">
        <v>45</v>
      </c>
      <c r="E98" s="298">
        <v>20.59</v>
      </c>
      <c r="F98" s="266">
        <f>('PRECIO REFERENCIA Nov 2022'!F103)</f>
        <v>22.43</v>
      </c>
      <c r="G98" s="288">
        <f t="shared" si="2"/>
        <v>8.9363768819815434E-2</v>
      </c>
    </row>
    <row r="99" spans="2:8" x14ac:dyDescent="0.25">
      <c r="B99" s="675"/>
      <c r="C99" s="613"/>
      <c r="D99" s="677"/>
      <c r="E99" s="338"/>
      <c r="F99" s="339"/>
      <c r="G99" s="340"/>
    </row>
    <row r="100" spans="2:8" x14ac:dyDescent="0.25">
      <c r="B100" s="287">
        <v>321500154</v>
      </c>
      <c r="C100" s="284" t="s">
        <v>293</v>
      </c>
      <c r="D100" s="214" t="s">
        <v>62</v>
      </c>
      <c r="E100" s="300"/>
      <c r="F100" s="260"/>
      <c r="G100" s="290"/>
      <c r="H100" s="454" t="s">
        <v>442</v>
      </c>
    </row>
    <row r="101" spans="2:8" x14ac:dyDescent="0.25">
      <c r="B101" s="622" t="s">
        <v>275</v>
      </c>
      <c r="C101" s="606"/>
      <c r="D101" s="623"/>
      <c r="E101" s="338"/>
      <c r="F101" s="339"/>
      <c r="G101" s="340"/>
    </row>
    <row r="102" spans="2:8" x14ac:dyDescent="0.25">
      <c r="B102" s="643">
        <v>32070007</v>
      </c>
      <c r="C102" s="1" t="s">
        <v>77</v>
      </c>
      <c r="D102" s="208" t="s">
        <v>45</v>
      </c>
      <c r="E102" s="298">
        <v>10.580733333333333</v>
      </c>
      <c r="F102" s="266">
        <f>('PRECIO REFERENCIA Nov 2022'!F107)</f>
        <v>11.728499999999999</v>
      </c>
      <c r="G102" s="288">
        <f t="shared" si="2"/>
        <v>0.10847704317911164</v>
      </c>
    </row>
    <row r="103" spans="2:8" x14ac:dyDescent="0.25">
      <c r="B103" s="643"/>
      <c r="C103" s="1" t="s">
        <v>78</v>
      </c>
      <c r="D103" s="208" t="s">
        <v>45</v>
      </c>
      <c r="E103" s="298">
        <v>17.590900000000001</v>
      </c>
      <c r="F103" s="266">
        <f>('PRECIO REFERENCIA Nov 2022'!F108)</f>
        <v>17.590900000000001</v>
      </c>
      <c r="G103" s="288">
        <f t="shared" si="2"/>
        <v>0</v>
      </c>
    </row>
    <row r="104" spans="2:8" x14ac:dyDescent="0.25">
      <c r="B104" s="643"/>
      <c r="C104" s="1" t="s">
        <v>79</v>
      </c>
      <c r="D104" s="208" t="s">
        <v>45</v>
      </c>
      <c r="E104" s="298">
        <v>33.311700000000002</v>
      </c>
      <c r="F104" s="266">
        <f>('PRECIO REFERENCIA Nov 2022'!F109)</f>
        <v>35.811700000000002</v>
      </c>
      <c r="G104" s="288">
        <f t="shared" si="2"/>
        <v>7.5048706610590266E-2</v>
      </c>
    </row>
    <row r="105" spans="2:8" x14ac:dyDescent="0.25">
      <c r="B105" s="643"/>
      <c r="C105" s="6" t="s">
        <v>80</v>
      </c>
      <c r="D105" s="222" t="s">
        <v>45</v>
      </c>
      <c r="E105" s="298">
        <v>64</v>
      </c>
      <c r="F105" s="266">
        <f>('PRECIO REFERENCIA Nov 2022'!F110)</f>
        <v>76</v>
      </c>
      <c r="G105" s="288">
        <f t="shared" si="2"/>
        <v>0.1875</v>
      </c>
    </row>
    <row r="106" spans="2:8" x14ac:dyDescent="0.25">
      <c r="B106" s="643"/>
      <c r="C106" s="1" t="s">
        <v>76</v>
      </c>
      <c r="D106" s="208" t="s">
        <v>45</v>
      </c>
      <c r="E106" s="298">
        <v>8.2338000000000005</v>
      </c>
      <c r="F106" s="266">
        <f>('PRECIO REFERENCIA Nov 2022'!F111)</f>
        <v>8.2338000000000005</v>
      </c>
      <c r="G106" s="288">
        <f t="shared" si="2"/>
        <v>0</v>
      </c>
    </row>
    <row r="107" spans="2:8" x14ac:dyDescent="0.25">
      <c r="B107" s="622"/>
      <c r="C107" s="606"/>
      <c r="D107" s="623"/>
      <c r="E107" s="338"/>
      <c r="F107" s="339"/>
      <c r="G107" s="340"/>
    </row>
    <row r="108" spans="2:8" x14ac:dyDescent="0.25">
      <c r="B108" s="283">
        <v>321100011</v>
      </c>
      <c r="C108" s="3" t="s">
        <v>25</v>
      </c>
      <c r="D108" s="211" t="s">
        <v>45</v>
      </c>
      <c r="E108" s="298">
        <v>51.5779</v>
      </c>
      <c r="F108" s="266">
        <f>('PRECIO REFERENCIA Nov 2022'!F113)</f>
        <v>51.5779</v>
      </c>
      <c r="G108" s="288">
        <f t="shared" si="2"/>
        <v>0</v>
      </c>
    </row>
    <row r="109" spans="2:8" x14ac:dyDescent="0.25">
      <c r="B109" s="622" t="s">
        <v>291</v>
      </c>
      <c r="C109" s="606"/>
      <c r="D109" s="623"/>
      <c r="E109" s="338"/>
      <c r="F109" s="339"/>
      <c r="G109" s="340"/>
    </row>
    <row r="110" spans="2:8" x14ac:dyDescent="0.25">
      <c r="B110" s="710">
        <v>32090019</v>
      </c>
      <c r="C110" s="14" t="s">
        <v>92</v>
      </c>
      <c r="D110" s="223" t="s">
        <v>62</v>
      </c>
      <c r="E110" s="298">
        <v>1201.3</v>
      </c>
      <c r="F110" s="266">
        <f>('PRECIO REFERENCIA Nov 2022'!F115)</f>
        <v>1201.3</v>
      </c>
      <c r="G110" s="288">
        <f t="shared" si="2"/>
        <v>0</v>
      </c>
    </row>
    <row r="111" spans="2:8" x14ac:dyDescent="0.25">
      <c r="B111" s="710"/>
      <c r="C111" s="14" t="s">
        <v>90</v>
      </c>
      <c r="D111" s="223" t="s">
        <v>62</v>
      </c>
      <c r="E111" s="298">
        <v>1201.3</v>
      </c>
      <c r="F111" s="266">
        <f>('PRECIO REFERENCIA Nov 2022'!F116)</f>
        <v>1201.3</v>
      </c>
      <c r="G111" s="288">
        <f t="shared" si="2"/>
        <v>0</v>
      </c>
    </row>
    <row r="112" spans="2:8" x14ac:dyDescent="0.25">
      <c r="B112" s="710"/>
      <c r="C112" s="14" t="s">
        <v>91</v>
      </c>
      <c r="D112" s="223" t="s">
        <v>62</v>
      </c>
      <c r="E112" s="298">
        <v>1201.3</v>
      </c>
      <c r="F112" s="266">
        <f>('PRECIO REFERENCIA Nov 2022'!F117)</f>
        <v>1201.3</v>
      </c>
      <c r="G112" s="288">
        <f t="shared" si="2"/>
        <v>0</v>
      </c>
    </row>
    <row r="113" spans="2:8" x14ac:dyDescent="0.25">
      <c r="B113" s="711">
        <v>32120004</v>
      </c>
      <c r="C113" s="14" t="s">
        <v>28</v>
      </c>
      <c r="D113" s="223" t="s">
        <v>45</v>
      </c>
      <c r="E113" s="298">
        <v>270.79219999999998</v>
      </c>
      <c r="F113" s="266">
        <f>('PRECIO REFERENCIA Nov 2022'!F118)</f>
        <v>270.79219999999998</v>
      </c>
      <c r="G113" s="288">
        <f t="shared" si="2"/>
        <v>0</v>
      </c>
    </row>
    <row r="114" spans="2:8" x14ac:dyDescent="0.25">
      <c r="B114" s="711"/>
      <c r="C114" s="7" t="s">
        <v>98</v>
      </c>
      <c r="D114" s="219" t="s">
        <v>45</v>
      </c>
      <c r="E114" s="298">
        <v>125.01949999999999</v>
      </c>
      <c r="F114" s="266">
        <f>('PRECIO REFERENCIA Nov 2022'!F119)</f>
        <v>136.51949999999999</v>
      </c>
      <c r="G114" s="288">
        <f t="shared" si="2"/>
        <v>9.1985650238562783E-2</v>
      </c>
    </row>
    <row r="115" spans="2:8" x14ac:dyDescent="0.25">
      <c r="B115" s="712">
        <v>32120005</v>
      </c>
      <c r="C115" s="4" t="s">
        <v>102</v>
      </c>
      <c r="D115" s="213" t="s">
        <v>45</v>
      </c>
      <c r="E115" s="301">
        <v>515</v>
      </c>
      <c r="F115" s="270">
        <f>('PRECIO REFERENCIA Nov 2022'!F120)</f>
        <v>515</v>
      </c>
      <c r="G115" s="288">
        <f>(F115-E115)/E115</f>
        <v>0</v>
      </c>
    </row>
    <row r="116" spans="2:8" x14ac:dyDescent="0.25">
      <c r="B116" s="712"/>
      <c r="C116" s="77" t="s">
        <v>99</v>
      </c>
      <c r="D116" s="213" t="s">
        <v>100</v>
      </c>
      <c r="E116" s="298">
        <v>320.5</v>
      </c>
      <c r="F116" s="266">
        <f>('PRECIO REFERENCIA Nov 2022'!F121)</f>
        <v>378</v>
      </c>
      <c r="G116" s="288">
        <f t="shared" si="2"/>
        <v>0.1794071762870515</v>
      </c>
    </row>
    <row r="117" spans="2:8" x14ac:dyDescent="0.25">
      <c r="B117" s="712"/>
      <c r="C117" s="4" t="s">
        <v>101</v>
      </c>
      <c r="D117" s="213" t="s">
        <v>100</v>
      </c>
      <c r="E117" s="298">
        <v>320.5</v>
      </c>
      <c r="F117" s="266">
        <f>('PRECIO REFERENCIA Nov 2022'!F122)</f>
        <v>378</v>
      </c>
      <c r="G117" s="288">
        <f t="shared" si="2"/>
        <v>0.1794071762870515</v>
      </c>
    </row>
    <row r="118" spans="2:8" x14ac:dyDescent="0.25">
      <c r="B118" s="712"/>
      <c r="C118" s="4" t="s">
        <v>26</v>
      </c>
      <c r="D118" s="213" t="s">
        <v>45</v>
      </c>
      <c r="E118" s="301">
        <v>515</v>
      </c>
      <c r="F118" s="270">
        <f>('PRECIO REFERENCIA Nov 2022'!F123)</f>
        <v>515</v>
      </c>
      <c r="G118" s="288">
        <f t="shared" si="2"/>
        <v>0</v>
      </c>
    </row>
    <row r="119" spans="2:8" x14ac:dyDescent="0.25">
      <c r="B119" s="622" t="s">
        <v>248</v>
      </c>
      <c r="C119" s="606"/>
      <c r="D119" s="623"/>
      <c r="E119" s="338"/>
      <c r="F119" s="339"/>
      <c r="G119" s="340"/>
    </row>
    <row r="120" spans="2:8" x14ac:dyDescent="0.25">
      <c r="B120" s="287">
        <v>32120011</v>
      </c>
      <c r="C120" s="284" t="s">
        <v>276</v>
      </c>
      <c r="D120" s="214" t="s">
        <v>45</v>
      </c>
      <c r="E120" s="300"/>
      <c r="F120" s="260"/>
      <c r="G120" s="290"/>
      <c r="H120" s="454" t="s">
        <v>441</v>
      </c>
    </row>
    <row r="121" spans="2:8" x14ac:dyDescent="0.25">
      <c r="B121" s="622" t="s">
        <v>251</v>
      </c>
      <c r="C121" s="606"/>
      <c r="D121" s="623"/>
      <c r="E121" s="338"/>
      <c r="F121" s="339"/>
      <c r="G121" s="340"/>
    </row>
    <row r="122" spans="2:8" x14ac:dyDescent="0.25">
      <c r="B122" s="647">
        <v>32080004</v>
      </c>
      <c r="C122" s="3" t="s">
        <v>82</v>
      </c>
      <c r="D122" s="211" t="s">
        <v>45</v>
      </c>
      <c r="E122" s="298">
        <v>230</v>
      </c>
      <c r="F122" s="266">
        <f>('PRECIO REFERENCIA Nov 2022'!F127)</f>
        <v>272</v>
      </c>
      <c r="G122" s="288">
        <f t="shared" si="2"/>
        <v>0.18260869565217391</v>
      </c>
    </row>
    <row r="123" spans="2:8" x14ac:dyDescent="0.25">
      <c r="B123" s="647"/>
      <c r="C123" s="3" t="s">
        <v>83</v>
      </c>
      <c r="D123" s="211" t="s">
        <v>45</v>
      </c>
      <c r="E123" s="298">
        <v>271</v>
      </c>
      <c r="F123" s="266">
        <f>('PRECIO REFERENCIA Nov 2022'!F128)</f>
        <v>367</v>
      </c>
      <c r="G123" s="288">
        <f t="shared" si="2"/>
        <v>0.35424354243542433</v>
      </c>
    </row>
    <row r="124" spans="2:8" x14ac:dyDescent="0.25">
      <c r="B124" s="647"/>
      <c r="C124" s="3" t="s">
        <v>8</v>
      </c>
      <c r="D124" s="211" t="s">
        <v>45</v>
      </c>
      <c r="E124" s="298">
        <v>230</v>
      </c>
      <c r="F124" s="266">
        <f>('PRECIO REFERENCIA Nov 2022'!F129)</f>
        <v>272</v>
      </c>
      <c r="G124" s="288">
        <f t="shared" si="2"/>
        <v>0.18260869565217391</v>
      </c>
    </row>
    <row r="125" spans="2:8" x14ac:dyDescent="0.25">
      <c r="B125" s="287">
        <v>320800057</v>
      </c>
      <c r="C125" s="12" t="s">
        <v>266</v>
      </c>
      <c r="D125" s="212" t="s">
        <v>45</v>
      </c>
      <c r="E125" s="298">
        <v>535</v>
      </c>
      <c r="F125" s="266">
        <f>('PRECIO REFERENCIA Nov 2022'!F130)</f>
        <v>585</v>
      </c>
      <c r="G125" s="288">
        <f t="shared" si="2"/>
        <v>9.3457943925233641E-2</v>
      </c>
    </row>
    <row r="126" spans="2:8" x14ac:dyDescent="0.25">
      <c r="B126" s="622"/>
      <c r="C126" s="606"/>
      <c r="D126" s="623"/>
      <c r="E126" s="338"/>
      <c r="F126" s="339"/>
      <c r="G126" s="340"/>
    </row>
    <row r="127" spans="2:8" x14ac:dyDescent="0.25">
      <c r="B127" s="283">
        <v>320900102</v>
      </c>
      <c r="C127" s="3" t="s">
        <v>87</v>
      </c>
      <c r="D127" s="211" t="s">
        <v>62</v>
      </c>
      <c r="E127" s="298">
        <v>335</v>
      </c>
      <c r="F127" s="266">
        <f>('PRECIO REFERENCIA Nov 2022'!F132)</f>
        <v>413</v>
      </c>
      <c r="G127" s="288">
        <f t="shared" si="2"/>
        <v>0.23283582089552238</v>
      </c>
    </row>
    <row r="128" spans="2:8" x14ac:dyDescent="0.25">
      <c r="B128" s="622" t="s">
        <v>277</v>
      </c>
      <c r="C128" s="606"/>
      <c r="D128" s="623"/>
      <c r="E128" s="338"/>
      <c r="F128" s="339"/>
      <c r="G128" s="340"/>
    </row>
    <row r="129" spans="2:8" x14ac:dyDescent="0.25">
      <c r="B129" s="283">
        <v>320900135</v>
      </c>
      <c r="C129" s="3" t="s">
        <v>89</v>
      </c>
      <c r="D129" s="211" t="s">
        <v>45</v>
      </c>
      <c r="E129" s="298">
        <v>95.779250000000005</v>
      </c>
      <c r="F129" s="266">
        <f>('PRECIO REFERENCIA Nov 2022'!F134)</f>
        <v>95.779250000000005</v>
      </c>
      <c r="G129" s="288">
        <f t="shared" si="2"/>
        <v>0</v>
      </c>
    </row>
    <row r="130" spans="2:8" x14ac:dyDescent="0.25">
      <c r="B130" s="283">
        <v>320900131</v>
      </c>
      <c r="C130" s="3" t="s">
        <v>88</v>
      </c>
      <c r="D130" s="211" t="s">
        <v>45</v>
      </c>
      <c r="E130" s="298">
        <v>162.33781250000001</v>
      </c>
      <c r="F130" s="266">
        <f>('PRECIO REFERENCIA Nov 2022'!F135)</f>
        <v>162.33781250000001</v>
      </c>
      <c r="G130" s="288">
        <f t="shared" si="2"/>
        <v>0</v>
      </c>
    </row>
    <row r="131" spans="2:8" x14ac:dyDescent="0.25">
      <c r="B131" s="622"/>
      <c r="C131" s="606"/>
      <c r="D131" s="623"/>
      <c r="E131" s="338"/>
      <c r="F131" s="339"/>
      <c r="G131" s="340"/>
    </row>
    <row r="132" spans="2:8" x14ac:dyDescent="0.25">
      <c r="B132" s="283">
        <v>320900212</v>
      </c>
      <c r="C132" s="3" t="s">
        <v>24</v>
      </c>
      <c r="D132" s="211" t="s">
        <v>62</v>
      </c>
      <c r="E132" s="298">
        <v>600</v>
      </c>
      <c r="F132" s="266">
        <f>('PRECIO REFERENCIA Nov 2022'!F137)</f>
        <v>690</v>
      </c>
      <c r="G132" s="288">
        <f>(F132-E132)/E132</f>
        <v>0.15</v>
      </c>
    </row>
    <row r="133" spans="2:8" x14ac:dyDescent="0.25">
      <c r="B133" s="622"/>
      <c r="C133" s="606"/>
      <c r="D133" s="623"/>
      <c r="E133" s="338"/>
      <c r="F133" s="339"/>
      <c r="G133" s="340"/>
    </row>
    <row r="134" spans="2:8" x14ac:dyDescent="0.25">
      <c r="B134" s="283">
        <v>320500044</v>
      </c>
      <c r="C134" s="3" t="s">
        <v>21</v>
      </c>
      <c r="D134" s="211" t="s">
        <v>58</v>
      </c>
      <c r="E134" s="298">
        <v>221</v>
      </c>
      <c r="F134" s="266">
        <f>('PRECIO REFERENCIA Nov 2022'!F139)</f>
        <v>246</v>
      </c>
      <c r="G134" s="354">
        <f t="shared" si="2"/>
        <v>0.11312217194570136</v>
      </c>
    </row>
    <row r="135" spans="2:8" x14ac:dyDescent="0.25">
      <c r="B135" s="283">
        <v>320500031</v>
      </c>
      <c r="C135" s="3" t="s">
        <v>66</v>
      </c>
      <c r="D135" s="211" t="s">
        <v>58</v>
      </c>
      <c r="E135" s="298">
        <v>5409</v>
      </c>
      <c r="F135" s="266">
        <f>('PRECIO REFERENCIA Nov 2022'!F140)</f>
        <v>5594</v>
      </c>
      <c r="G135" s="288">
        <f t="shared" ref="G135:G168" si="3">(F135-E135)/E135</f>
        <v>3.4202255500092441E-2</v>
      </c>
    </row>
    <row r="136" spans="2:8" x14ac:dyDescent="0.25">
      <c r="B136" s="287">
        <v>321500066</v>
      </c>
      <c r="C136" s="4" t="s">
        <v>284</v>
      </c>
      <c r="D136" s="213" t="s">
        <v>117</v>
      </c>
      <c r="E136" s="298">
        <v>19400</v>
      </c>
      <c r="F136" s="266">
        <f>('PRECIO REFERENCIA Nov 2022'!F141)</f>
        <v>22200</v>
      </c>
      <c r="G136" s="288">
        <f t="shared" si="3"/>
        <v>0.14432989690721648</v>
      </c>
    </row>
    <row r="137" spans="2:8" x14ac:dyDescent="0.25">
      <c r="B137" s="622"/>
      <c r="C137" s="606"/>
      <c r="D137" s="623"/>
      <c r="E137" s="338"/>
      <c r="F137" s="339"/>
      <c r="G137" s="340"/>
    </row>
    <row r="138" spans="2:8" x14ac:dyDescent="0.25">
      <c r="B138" s="283">
        <v>321600051</v>
      </c>
      <c r="C138" s="3" t="s">
        <v>33</v>
      </c>
      <c r="D138" s="211" t="s">
        <v>45</v>
      </c>
      <c r="E138" s="298">
        <v>121.5</v>
      </c>
      <c r="F138" s="266">
        <f>('PRECIO REFERENCIA Nov 2022'!F143)</f>
        <v>128.1</v>
      </c>
      <c r="G138" s="288">
        <f t="shared" si="3"/>
        <v>5.4320987654320939E-2</v>
      </c>
    </row>
    <row r="139" spans="2:8" x14ac:dyDescent="0.25">
      <c r="B139" s="283">
        <v>320900041</v>
      </c>
      <c r="C139" s="3" t="s">
        <v>85</v>
      </c>
      <c r="D139" s="211" t="s">
        <v>62</v>
      </c>
      <c r="E139" s="298">
        <v>51</v>
      </c>
      <c r="F139" s="266">
        <f>('PRECIO REFERENCIA Nov 2022'!F144)</f>
        <v>58</v>
      </c>
      <c r="G139" s="288">
        <f t="shared" si="3"/>
        <v>0.13725490196078433</v>
      </c>
    </row>
    <row r="140" spans="2:8" x14ac:dyDescent="0.25">
      <c r="B140" s="622"/>
      <c r="C140" s="606"/>
      <c r="D140" s="623"/>
      <c r="E140" s="338"/>
      <c r="F140" s="339"/>
      <c r="G140" s="340"/>
    </row>
    <row r="141" spans="2:8" x14ac:dyDescent="0.25">
      <c r="B141" s="289">
        <v>321500062</v>
      </c>
      <c r="C141" s="2" t="s">
        <v>265</v>
      </c>
      <c r="D141" s="209" t="s">
        <v>58</v>
      </c>
      <c r="E141" s="298">
        <v>24415.57</v>
      </c>
      <c r="F141" s="266">
        <f>('PRECIO REFERENCIA Nov 2022'!F146)</f>
        <v>24415.57</v>
      </c>
      <c r="G141" s="288">
        <f t="shared" si="3"/>
        <v>0</v>
      </c>
    </row>
    <row r="142" spans="2:8" x14ac:dyDescent="0.25">
      <c r="B142" s="622" t="s">
        <v>289</v>
      </c>
      <c r="C142" s="606"/>
      <c r="D142" s="623"/>
      <c r="E142" s="338"/>
      <c r="F142" s="339"/>
      <c r="G142" s="340"/>
    </row>
    <row r="143" spans="2:8" x14ac:dyDescent="0.25">
      <c r="B143" s="286">
        <v>3211000211</v>
      </c>
      <c r="C143" s="284" t="s">
        <v>95</v>
      </c>
      <c r="D143" s="214" t="s">
        <v>45</v>
      </c>
      <c r="E143" s="300"/>
      <c r="F143" s="260"/>
      <c r="G143" s="290"/>
      <c r="H143" s="454" t="s">
        <v>440</v>
      </c>
    </row>
    <row r="144" spans="2:8" x14ac:dyDescent="0.25">
      <c r="B144" s="286">
        <v>3211000212</v>
      </c>
      <c r="C144" s="284" t="s">
        <v>96</v>
      </c>
      <c r="D144" s="214" t="s">
        <v>62</v>
      </c>
      <c r="E144" s="300"/>
      <c r="F144" s="260"/>
      <c r="G144" s="290"/>
      <c r="H144" s="454" t="s">
        <v>440</v>
      </c>
    </row>
    <row r="145" spans="2:7" x14ac:dyDescent="0.25">
      <c r="B145" s="622" t="s">
        <v>249</v>
      </c>
      <c r="C145" s="606"/>
      <c r="D145" s="623"/>
      <c r="E145" s="338"/>
      <c r="F145" s="339"/>
      <c r="G145" s="340"/>
    </row>
    <row r="146" spans="2:7" x14ac:dyDescent="0.25">
      <c r="B146" s="725">
        <v>32130006</v>
      </c>
      <c r="C146" s="12" t="s">
        <v>267</v>
      </c>
      <c r="D146" s="212" t="s">
        <v>62</v>
      </c>
      <c r="E146" s="298">
        <v>113</v>
      </c>
      <c r="F146" s="266">
        <f>('PRECIO REFERENCIA Nov 2022'!F151)</f>
        <v>124</v>
      </c>
      <c r="G146" s="288">
        <f t="shared" si="3"/>
        <v>9.7345132743362831E-2</v>
      </c>
    </row>
    <row r="147" spans="2:7" x14ac:dyDescent="0.25">
      <c r="B147" s="725"/>
      <c r="C147" s="12" t="s">
        <v>103</v>
      </c>
      <c r="D147" s="212" t="s">
        <v>45</v>
      </c>
      <c r="E147" s="298">
        <v>61</v>
      </c>
      <c r="F147" s="266">
        <f>('PRECIO REFERENCIA Nov 2022'!F152)</f>
        <v>65</v>
      </c>
      <c r="G147" s="288">
        <f t="shared" si="3"/>
        <v>6.5573770491803282E-2</v>
      </c>
    </row>
    <row r="148" spans="2:7" x14ac:dyDescent="0.25">
      <c r="B148" s="630">
        <v>322300033</v>
      </c>
      <c r="C148" s="2" t="s">
        <v>407</v>
      </c>
      <c r="D148" s="209" t="s">
        <v>62</v>
      </c>
      <c r="E148" s="298">
        <v>457.85700000000003</v>
      </c>
      <c r="F148" s="266">
        <f>('PRECIO REFERENCIA Nov 2022'!F153)</f>
        <v>457.85700000000003</v>
      </c>
      <c r="G148" s="453">
        <f>(F148-E148)/E148</f>
        <v>0</v>
      </c>
    </row>
    <row r="149" spans="2:7" x14ac:dyDescent="0.25">
      <c r="B149" s="631"/>
      <c r="C149" s="2" t="s">
        <v>408</v>
      </c>
      <c r="D149" s="209" t="s">
        <v>62</v>
      </c>
      <c r="E149" s="298">
        <v>485.71400000000006</v>
      </c>
      <c r="F149" s="266">
        <v>485.71400000000006</v>
      </c>
      <c r="G149" s="453">
        <f t="shared" ref="G149:G152" si="4">(F149-E149)/E149</f>
        <v>0</v>
      </c>
    </row>
    <row r="150" spans="2:7" x14ac:dyDescent="0.25">
      <c r="B150" s="631"/>
      <c r="C150" s="2" t="s">
        <v>409</v>
      </c>
      <c r="D150" s="209" t="s">
        <v>62</v>
      </c>
      <c r="E150" s="298">
        <v>485.71400000000006</v>
      </c>
      <c r="F150" s="266">
        <v>485.71400000000006</v>
      </c>
      <c r="G150" s="453">
        <f t="shared" si="4"/>
        <v>0</v>
      </c>
    </row>
    <row r="151" spans="2:7" x14ac:dyDescent="0.25">
      <c r="B151" s="631"/>
      <c r="C151" s="2" t="s">
        <v>410</v>
      </c>
      <c r="D151" s="209" t="s">
        <v>62</v>
      </c>
      <c r="E151" s="298">
        <v>485.71400000000006</v>
      </c>
      <c r="F151" s="266">
        <f>('PRECIO REFERENCIA Nov 2022'!F156)</f>
        <v>485.71400000000006</v>
      </c>
      <c r="G151" s="453">
        <f t="shared" si="4"/>
        <v>0</v>
      </c>
    </row>
    <row r="152" spans="2:7" x14ac:dyDescent="0.25">
      <c r="B152" s="632"/>
      <c r="C152" s="2" t="s">
        <v>406</v>
      </c>
      <c r="D152" s="209" t="s">
        <v>62</v>
      </c>
      <c r="E152" s="298">
        <v>646.10400000000004</v>
      </c>
      <c r="F152" s="266">
        <f>('PRECIO REFERENCIA Nov 2022'!F157)</f>
        <v>646.10400000000004</v>
      </c>
      <c r="G152" s="453">
        <f t="shared" si="4"/>
        <v>0</v>
      </c>
    </row>
    <row r="153" spans="2:7" x14ac:dyDescent="0.25">
      <c r="B153" s="283">
        <v>322300054</v>
      </c>
      <c r="C153" s="3" t="s">
        <v>121</v>
      </c>
      <c r="D153" s="211" t="s">
        <v>45</v>
      </c>
      <c r="E153" s="298">
        <v>44.058400000000006</v>
      </c>
      <c r="F153" s="266">
        <f>('PRECIO REFERENCIA Nov 2022'!F158)</f>
        <v>67.850600000000014</v>
      </c>
      <c r="G153" s="288">
        <f t="shared" si="3"/>
        <v>0.54001507090588863</v>
      </c>
    </row>
    <row r="154" spans="2:7" x14ac:dyDescent="0.25">
      <c r="B154" s="622" t="s">
        <v>360</v>
      </c>
      <c r="C154" s="606"/>
      <c r="D154" s="623"/>
      <c r="E154" s="338"/>
      <c r="F154" s="339"/>
      <c r="G154" s="340"/>
    </row>
    <row r="155" spans="2:7" x14ac:dyDescent="0.25">
      <c r="B155" s="647">
        <v>32020006</v>
      </c>
      <c r="C155" s="3" t="s">
        <v>367</v>
      </c>
      <c r="D155" s="211" t="s">
        <v>58</v>
      </c>
      <c r="E155" s="298">
        <v>469.5</v>
      </c>
      <c r="F155" s="264">
        <f>('PRECIO REFERENCIA Nov 2022'!F160)</f>
        <v>478</v>
      </c>
      <c r="G155" s="288">
        <f t="shared" si="3"/>
        <v>1.8104366347177849E-2</v>
      </c>
    </row>
    <row r="156" spans="2:7" x14ac:dyDescent="0.25">
      <c r="B156" s="647"/>
      <c r="C156" s="3" t="s">
        <v>2</v>
      </c>
      <c r="D156" s="211" t="s">
        <v>58</v>
      </c>
      <c r="E156" s="298">
        <v>310.83333333333337</v>
      </c>
      <c r="F156" s="264">
        <f>('PRECIO REFERENCIA Nov 2022'!F161)</f>
        <v>323.33333333333337</v>
      </c>
      <c r="G156" s="288">
        <f t="shared" si="3"/>
        <v>4.0214477211796239E-2</v>
      </c>
    </row>
    <row r="157" spans="2:7" x14ac:dyDescent="0.25">
      <c r="B157" s="647"/>
      <c r="C157" s="3" t="s">
        <v>60</v>
      </c>
      <c r="D157" s="211" t="s">
        <v>58</v>
      </c>
      <c r="E157" s="298">
        <v>447.5</v>
      </c>
      <c r="F157" s="264">
        <f>('PRECIO REFERENCIA Nov 2022'!F162)</f>
        <v>515.83333333333326</v>
      </c>
      <c r="G157" s="354">
        <f t="shared" si="3"/>
        <v>0.15270018621973913</v>
      </c>
    </row>
    <row r="158" spans="2:7" x14ac:dyDescent="0.25">
      <c r="B158" s="762"/>
      <c r="C158" s="618"/>
      <c r="D158" s="763"/>
      <c r="E158" s="338"/>
      <c r="F158" s="339"/>
      <c r="G158" s="340"/>
    </row>
    <row r="159" spans="2:7" x14ac:dyDescent="0.25">
      <c r="B159" s="283">
        <v>320900052</v>
      </c>
      <c r="C159" s="3" t="s">
        <v>86</v>
      </c>
      <c r="D159" s="211" t="s">
        <v>45</v>
      </c>
      <c r="E159" s="298">
        <v>2478.0966666666668</v>
      </c>
      <c r="F159" s="266">
        <f>('PRECIO REFERENCIA Nov 2022'!F164)</f>
        <v>2576.7633333333333</v>
      </c>
      <c r="G159" s="453">
        <f t="shared" si="3"/>
        <v>3.9815503565236159E-2</v>
      </c>
    </row>
    <row r="160" spans="2:7" x14ac:dyDescent="0.25">
      <c r="B160" s="622"/>
      <c r="C160" s="606"/>
      <c r="D160" s="623"/>
      <c r="E160" s="338"/>
      <c r="F160" s="339"/>
      <c r="G160" s="340"/>
    </row>
    <row r="161" spans="2:8" x14ac:dyDescent="0.25">
      <c r="B161" s="282">
        <v>3212000815</v>
      </c>
      <c r="C161" s="1" t="s">
        <v>104</v>
      </c>
      <c r="D161" s="208" t="s">
        <v>45</v>
      </c>
      <c r="E161" s="298">
        <v>1688.31</v>
      </c>
      <c r="F161" s="266">
        <f>('PRECIO REFERENCIA Nov 2022'!F166)</f>
        <v>1688.31</v>
      </c>
      <c r="G161" s="288">
        <f t="shared" si="3"/>
        <v>0</v>
      </c>
    </row>
    <row r="162" spans="2:8" x14ac:dyDescent="0.25">
      <c r="B162" s="286">
        <v>321200332</v>
      </c>
      <c r="C162" s="284" t="s">
        <v>285</v>
      </c>
      <c r="D162" s="214"/>
      <c r="E162" s="300"/>
      <c r="F162" s="260"/>
      <c r="G162" s="290"/>
      <c r="H162" s="454" t="s">
        <v>439</v>
      </c>
    </row>
    <row r="163" spans="2:8" x14ac:dyDescent="0.25">
      <c r="B163" s="622" t="s">
        <v>250</v>
      </c>
      <c r="C163" s="606"/>
      <c r="D163" s="623"/>
      <c r="E163" s="338"/>
      <c r="F163" s="339"/>
      <c r="G163" s="340"/>
    </row>
    <row r="164" spans="2:8" x14ac:dyDescent="0.25">
      <c r="B164" s="647">
        <v>32060005</v>
      </c>
      <c r="C164" s="259" t="s">
        <v>69</v>
      </c>
      <c r="D164" s="269" t="s">
        <v>68</v>
      </c>
      <c r="E164" s="299">
        <v>404</v>
      </c>
      <c r="F164" s="270">
        <f>('PRECIO REFERENCIA Nov 2022'!F169)</f>
        <v>432.5</v>
      </c>
      <c r="G164" s="288">
        <f t="shared" si="3"/>
        <v>7.0544554455445538E-2</v>
      </c>
    </row>
    <row r="165" spans="2:8" x14ac:dyDescent="0.25">
      <c r="B165" s="647"/>
      <c r="C165" s="259" t="s">
        <v>23</v>
      </c>
      <c r="D165" s="269" t="s">
        <v>68</v>
      </c>
      <c r="E165" s="299">
        <v>546.5</v>
      </c>
      <c r="F165" s="270">
        <f>('PRECIO REFERENCIA Nov 2022'!F170)</f>
        <v>585.5</v>
      </c>
      <c r="G165" s="288">
        <f t="shared" si="3"/>
        <v>7.1363220494053067E-2</v>
      </c>
    </row>
    <row r="166" spans="2:8" x14ac:dyDescent="0.25">
      <c r="B166" s="647"/>
      <c r="C166" s="259" t="s">
        <v>70</v>
      </c>
      <c r="D166" s="269" t="s">
        <v>68</v>
      </c>
      <c r="E166" s="299">
        <v>683.5</v>
      </c>
      <c r="F166" s="270">
        <f>('PRECIO REFERENCIA Nov 2022'!F171)</f>
        <v>758.5</v>
      </c>
      <c r="G166" s="288">
        <f t="shared" si="3"/>
        <v>0.1097293343087052</v>
      </c>
    </row>
    <row r="167" spans="2:8" x14ac:dyDescent="0.25">
      <c r="B167" s="647">
        <v>32020004</v>
      </c>
      <c r="C167" s="3" t="s">
        <v>57</v>
      </c>
      <c r="D167" s="211" t="s">
        <v>58</v>
      </c>
      <c r="E167" s="298">
        <v>72.5</v>
      </c>
      <c r="F167" s="266">
        <f>('PRECIO REFERENCIA Nov 2022'!F172)</f>
        <v>77.5</v>
      </c>
      <c r="G167" s="288">
        <f t="shared" si="3"/>
        <v>6.8965517241379309E-2</v>
      </c>
    </row>
    <row r="168" spans="2:8" ht="15.75" thickBot="1" x14ac:dyDescent="0.3">
      <c r="B168" s="748"/>
      <c r="C168" s="224" t="s">
        <v>59</v>
      </c>
      <c r="D168" s="225" t="s">
        <v>58</v>
      </c>
      <c r="E168" s="302">
        <v>102.5</v>
      </c>
      <c r="F168" s="291">
        <f>('PRECIO REFERENCIA Nov 2022'!F173)</f>
        <v>110</v>
      </c>
      <c r="G168" s="292">
        <f t="shared" si="3"/>
        <v>7.3170731707317069E-2</v>
      </c>
    </row>
  </sheetData>
  <mergeCells count="72">
    <mergeCell ref="B163:D163"/>
    <mergeCell ref="B164:B166"/>
    <mergeCell ref="B167:B168"/>
    <mergeCell ref="B145:D145"/>
    <mergeCell ref="B146:B147"/>
    <mergeCell ref="B154:D154"/>
    <mergeCell ref="B155:B157"/>
    <mergeCell ref="B158:D158"/>
    <mergeCell ref="B160:D160"/>
    <mergeCell ref="B148:B152"/>
    <mergeCell ref="B142:D142"/>
    <mergeCell ref="B113:B114"/>
    <mergeCell ref="B115:B118"/>
    <mergeCell ref="B119:D119"/>
    <mergeCell ref="B121:D121"/>
    <mergeCell ref="B122:B124"/>
    <mergeCell ref="B126:D126"/>
    <mergeCell ref="B128:D128"/>
    <mergeCell ref="B131:D131"/>
    <mergeCell ref="B133:D133"/>
    <mergeCell ref="B137:D137"/>
    <mergeCell ref="B140:D140"/>
    <mergeCell ref="B110:B112"/>
    <mergeCell ref="B80:B81"/>
    <mergeCell ref="B83:D83"/>
    <mergeCell ref="B85:D85"/>
    <mergeCell ref="B89:D89"/>
    <mergeCell ref="B90:B94"/>
    <mergeCell ref="B97:D97"/>
    <mergeCell ref="B99:D99"/>
    <mergeCell ref="B101:D101"/>
    <mergeCell ref="B102:B106"/>
    <mergeCell ref="B107:D107"/>
    <mergeCell ref="B109:D109"/>
    <mergeCell ref="B79:D79"/>
    <mergeCell ref="B54:D54"/>
    <mergeCell ref="B56:D56"/>
    <mergeCell ref="B58:D58"/>
    <mergeCell ref="B60:D60"/>
    <mergeCell ref="B64:D64"/>
    <mergeCell ref="B66:D66"/>
    <mergeCell ref="B68:D68"/>
    <mergeCell ref="B70:D70"/>
    <mergeCell ref="B71:B73"/>
    <mergeCell ref="B74:D74"/>
    <mergeCell ref="B77:D77"/>
    <mergeCell ref="B61:B63"/>
    <mergeCell ref="B52:B53"/>
    <mergeCell ref="B26:D26"/>
    <mergeCell ref="B30:D30"/>
    <mergeCell ref="B31:B32"/>
    <mergeCell ref="C34:D34"/>
    <mergeCell ref="B35:D35"/>
    <mergeCell ref="B37:D37"/>
    <mergeCell ref="B39:D39"/>
    <mergeCell ref="B41:D41"/>
    <mergeCell ref="B47:D47"/>
    <mergeCell ref="B49:D49"/>
    <mergeCell ref="B51:D51"/>
    <mergeCell ref="B42:B46"/>
    <mergeCell ref="B24:D24"/>
    <mergeCell ref="B2:D2"/>
    <mergeCell ref="B4:B9"/>
    <mergeCell ref="B10:D10"/>
    <mergeCell ref="B11:B12"/>
    <mergeCell ref="B13:D13"/>
    <mergeCell ref="B14:B15"/>
    <mergeCell ref="B16:D16"/>
    <mergeCell ref="B17:B18"/>
    <mergeCell ref="B19:B20"/>
    <mergeCell ref="B21:D21"/>
    <mergeCell ref="B22:B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D3" sqref="D3"/>
    </sheetView>
  </sheetViews>
  <sheetFormatPr baseColWidth="10" defaultRowHeight="15" x14ac:dyDescent="0.25"/>
  <cols>
    <col min="1" max="1" width="11.42578125" style="422"/>
    <col min="2" max="2" width="11.42578125" style="13"/>
    <col min="3" max="3" width="68.140625" style="13" customWidth="1"/>
    <col min="4" max="4" width="11.42578125" style="437"/>
    <col min="5" max="5" width="18.28515625" style="13" bestFit="1" customWidth="1"/>
    <col min="6" max="6" width="11.42578125" style="434" customWidth="1"/>
    <col min="7" max="7" width="13.5703125" customWidth="1"/>
    <col min="8" max="8" width="32.28515625" customWidth="1"/>
  </cols>
  <sheetData>
    <row r="1" spans="2:10" ht="45.75" thickBot="1" x14ac:dyDescent="0.3">
      <c r="B1" s="427" t="s">
        <v>422</v>
      </c>
      <c r="C1" s="428" t="s">
        <v>423</v>
      </c>
      <c r="D1" s="429" t="s">
        <v>447</v>
      </c>
      <c r="E1" s="427" t="s">
        <v>430</v>
      </c>
      <c r="F1" s="426" t="s">
        <v>424</v>
      </c>
    </row>
    <row r="2" spans="2:10" ht="15.75" thickBot="1" x14ac:dyDescent="0.3">
      <c r="B2" s="770">
        <v>3215</v>
      </c>
      <c r="C2" s="480" t="s">
        <v>292</v>
      </c>
      <c r="D2" s="497"/>
      <c r="E2" s="764">
        <f>AVERAGE(D5,D6,D8,D9)</f>
        <v>3.5000000000000003E-2</v>
      </c>
      <c r="F2" s="430">
        <v>138</v>
      </c>
    </row>
    <row r="3" spans="2:10" x14ac:dyDescent="0.25">
      <c r="B3" s="771"/>
      <c r="C3" s="587" t="s">
        <v>112</v>
      </c>
      <c r="D3" s="588"/>
      <c r="E3" s="765"/>
      <c r="F3" s="431"/>
    </row>
    <row r="4" spans="2:10" x14ac:dyDescent="0.25">
      <c r="B4" s="771"/>
      <c r="C4" s="589" t="s">
        <v>113</v>
      </c>
      <c r="D4" s="590"/>
      <c r="E4" s="765"/>
      <c r="F4" s="431"/>
      <c r="H4" s="422"/>
    </row>
    <row r="5" spans="2:10" x14ac:dyDescent="0.25">
      <c r="B5" s="771"/>
      <c r="C5" s="481" t="s">
        <v>116</v>
      </c>
      <c r="D5" s="499">
        <v>0</v>
      </c>
      <c r="E5" s="765"/>
      <c r="F5" s="431"/>
      <c r="H5" s="574"/>
    </row>
    <row r="6" spans="2:10" ht="15.75" thickBot="1" x14ac:dyDescent="0.3">
      <c r="B6" s="771"/>
      <c r="C6" s="482" t="s">
        <v>114</v>
      </c>
      <c r="D6" s="500">
        <v>0</v>
      </c>
      <c r="E6" s="765"/>
      <c r="F6" s="431"/>
      <c r="H6" s="422"/>
    </row>
    <row r="7" spans="2:10" ht="15.75" thickBot="1" x14ac:dyDescent="0.3">
      <c r="B7" s="771"/>
      <c r="C7" s="483" t="s">
        <v>293</v>
      </c>
      <c r="D7" s="501"/>
      <c r="E7" s="765"/>
      <c r="F7" s="430">
        <v>137</v>
      </c>
      <c r="G7" s="425"/>
      <c r="H7" s="422"/>
    </row>
    <row r="8" spans="2:10" x14ac:dyDescent="0.25">
      <c r="B8" s="771"/>
      <c r="C8" s="484" t="s">
        <v>284</v>
      </c>
      <c r="D8" s="502">
        <v>0.14000000000000001</v>
      </c>
      <c r="E8" s="765"/>
      <c r="F8" s="431"/>
      <c r="H8" s="422"/>
    </row>
    <row r="9" spans="2:10" ht="15.75" thickBot="1" x14ac:dyDescent="0.3">
      <c r="B9" s="772"/>
      <c r="C9" s="485" t="s">
        <v>265</v>
      </c>
      <c r="D9" s="546">
        <v>0</v>
      </c>
      <c r="E9" s="765"/>
      <c r="F9" s="431"/>
      <c r="H9" s="422"/>
    </row>
    <row r="10" spans="2:10" ht="15.75" thickBot="1" x14ac:dyDescent="0.3">
      <c r="B10" s="776">
        <v>3207</v>
      </c>
      <c r="C10" s="518" t="s">
        <v>81</v>
      </c>
      <c r="D10" s="511"/>
      <c r="E10" s="767">
        <v>0</v>
      </c>
      <c r="F10" s="509">
        <v>74</v>
      </c>
      <c r="G10" s="422"/>
      <c r="H10" s="422"/>
      <c r="I10" s="422"/>
      <c r="J10" s="422"/>
    </row>
    <row r="11" spans="2:10" ht="15" hidden="1" customHeight="1" x14ac:dyDescent="0.3">
      <c r="B11" s="777"/>
      <c r="C11" s="519" t="s">
        <v>386</v>
      </c>
      <c r="D11" s="505"/>
      <c r="E11" s="768"/>
      <c r="F11" s="510"/>
      <c r="G11" s="422"/>
      <c r="H11" s="422"/>
      <c r="I11" s="422"/>
      <c r="J11" s="422"/>
    </row>
    <row r="12" spans="2:10" x14ac:dyDescent="0.25">
      <c r="B12" s="777"/>
      <c r="C12" s="520" t="s">
        <v>75</v>
      </c>
      <c r="D12" s="499">
        <v>0</v>
      </c>
      <c r="E12" s="768"/>
      <c r="F12" s="515"/>
      <c r="G12" s="422"/>
      <c r="H12" s="422"/>
      <c r="I12" s="422"/>
      <c r="J12" s="422"/>
    </row>
    <row r="13" spans="2:10" x14ac:dyDescent="0.25">
      <c r="B13" s="777"/>
      <c r="C13" s="520" t="s">
        <v>74</v>
      </c>
      <c r="D13" s="499">
        <v>0</v>
      </c>
      <c r="E13" s="768"/>
      <c r="F13" s="516"/>
      <c r="G13" s="422"/>
      <c r="H13" s="422"/>
      <c r="I13" s="422"/>
      <c r="J13" s="422"/>
    </row>
    <row r="14" spans="2:10" x14ac:dyDescent="0.25">
      <c r="B14" s="777"/>
      <c r="C14" s="520" t="s">
        <v>73</v>
      </c>
      <c r="D14" s="499">
        <v>0</v>
      </c>
      <c r="E14" s="768"/>
      <c r="F14" s="516"/>
      <c r="G14" s="422"/>
      <c r="I14" s="422"/>
      <c r="J14" s="422"/>
    </row>
    <row r="15" spans="2:10" s="456" customFormat="1" ht="15.75" thickBot="1" x14ac:dyDescent="0.3">
      <c r="B15" s="777"/>
      <c r="C15" s="520" t="s">
        <v>72</v>
      </c>
      <c r="D15" s="499">
        <v>0</v>
      </c>
      <c r="E15" s="768"/>
      <c r="F15" s="517"/>
      <c r="H15" s="562"/>
    </row>
    <row r="16" spans="2:10" s="456" customFormat="1" ht="15.75" thickBot="1" x14ac:dyDescent="0.3">
      <c r="B16" s="777"/>
      <c r="C16" s="521" t="s">
        <v>71</v>
      </c>
      <c r="D16" s="498"/>
      <c r="E16" s="768"/>
      <c r="F16" s="509">
        <v>60</v>
      </c>
    </row>
    <row r="17" spans="2:10" s="456" customFormat="1" ht="15.75" thickBot="1" x14ac:dyDescent="0.3">
      <c r="B17" s="777"/>
      <c r="C17" s="522" t="s">
        <v>361</v>
      </c>
      <c r="D17" s="512">
        <v>0</v>
      </c>
      <c r="E17" s="768"/>
      <c r="F17" s="524"/>
    </row>
    <row r="18" spans="2:10" s="456" customFormat="1" ht="15.75" thickBot="1" x14ac:dyDescent="0.3">
      <c r="B18" s="777"/>
      <c r="C18" s="521" t="s">
        <v>362</v>
      </c>
      <c r="D18" s="513"/>
      <c r="E18" s="768"/>
      <c r="F18" s="430">
        <v>49</v>
      </c>
    </row>
    <row r="19" spans="2:10" s="456" customFormat="1" ht="15.75" thickBot="1" x14ac:dyDescent="0.3">
      <c r="B19" s="777"/>
      <c r="C19" s="522" t="s">
        <v>363</v>
      </c>
      <c r="D19" s="512">
        <v>0</v>
      </c>
      <c r="E19" s="768"/>
      <c r="F19" s="524"/>
    </row>
    <row r="20" spans="2:10" s="456" customFormat="1" ht="15.75" thickBot="1" x14ac:dyDescent="0.3">
      <c r="B20" s="777"/>
      <c r="C20" s="521" t="s">
        <v>364</v>
      </c>
      <c r="D20" s="513"/>
      <c r="E20" s="768"/>
      <c r="F20" s="430">
        <v>51</v>
      </c>
    </row>
    <row r="21" spans="2:10" ht="15.75" thickBot="1" x14ac:dyDescent="0.3">
      <c r="B21" s="777"/>
      <c r="C21" s="522" t="s">
        <v>365</v>
      </c>
      <c r="D21" s="512">
        <v>0</v>
      </c>
      <c r="E21" s="768"/>
      <c r="F21" s="524"/>
      <c r="G21" s="422"/>
      <c r="H21" s="422"/>
      <c r="I21" s="422"/>
      <c r="J21" s="422"/>
    </row>
    <row r="22" spans="2:10" ht="15.75" thickBot="1" x14ac:dyDescent="0.3">
      <c r="B22" s="777"/>
      <c r="C22" s="523" t="s">
        <v>366</v>
      </c>
      <c r="D22" s="514"/>
      <c r="E22" s="769"/>
      <c r="F22" s="430">
        <v>53</v>
      </c>
      <c r="G22" s="422"/>
      <c r="H22" s="422"/>
      <c r="I22" s="422"/>
      <c r="J22" s="422"/>
    </row>
    <row r="23" spans="2:10" ht="15.75" hidden="1" thickBot="1" x14ac:dyDescent="0.3">
      <c r="B23" s="777"/>
      <c r="C23" s="486" t="s">
        <v>77</v>
      </c>
      <c r="D23" s="502"/>
      <c r="E23" s="508"/>
      <c r="G23" s="422"/>
      <c r="H23" s="422"/>
      <c r="I23" s="422"/>
      <c r="J23" s="422"/>
    </row>
    <row r="24" spans="2:10" ht="15.75" hidden="1" thickBot="1" x14ac:dyDescent="0.3">
      <c r="B24" s="777"/>
      <c r="C24" s="487" t="s">
        <v>78</v>
      </c>
      <c r="D24" s="499"/>
      <c r="E24" s="433"/>
      <c r="G24" s="422"/>
      <c r="H24" s="422"/>
      <c r="I24" s="422"/>
      <c r="J24" s="422"/>
    </row>
    <row r="25" spans="2:10" ht="15.75" hidden="1" thickBot="1" x14ac:dyDescent="0.3">
      <c r="B25" s="777"/>
      <c r="C25" s="487" t="s">
        <v>79</v>
      </c>
      <c r="D25" s="499"/>
      <c r="E25" s="433"/>
      <c r="G25" s="422"/>
      <c r="H25" s="422"/>
      <c r="I25" s="422"/>
      <c r="J25" s="422"/>
    </row>
    <row r="26" spans="2:10" ht="15.75" hidden="1" thickBot="1" x14ac:dyDescent="0.3">
      <c r="B26" s="777"/>
      <c r="C26" s="488" t="s">
        <v>425</v>
      </c>
      <c r="D26" s="499"/>
      <c r="E26" s="433"/>
      <c r="G26" s="422"/>
      <c r="H26" s="422"/>
      <c r="I26" s="422"/>
      <c r="J26" s="422"/>
    </row>
    <row r="27" spans="2:10" ht="15.75" hidden="1" thickBot="1" x14ac:dyDescent="0.3">
      <c r="B27" s="777"/>
      <c r="C27" s="487" t="s">
        <v>76</v>
      </c>
      <c r="D27" s="499"/>
      <c r="E27" s="433"/>
      <c r="G27" s="422"/>
      <c r="H27" s="422"/>
      <c r="I27" s="422"/>
      <c r="J27" s="422"/>
    </row>
    <row r="28" spans="2:10" ht="15.75" hidden="1" thickBot="1" x14ac:dyDescent="0.3">
      <c r="B28" s="777"/>
      <c r="C28" s="481" t="s">
        <v>361</v>
      </c>
      <c r="D28" s="499"/>
      <c r="E28" s="433"/>
      <c r="G28" s="422"/>
      <c r="H28" s="422"/>
      <c r="I28" s="422"/>
      <c r="J28" s="422"/>
    </row>
    <row r="29" spans="2:10" ht="15.75" hidden="1" thickBot="1" x14ac:dyDescent="0.3">
      <c r="B29" s="777"/>
      <c r="C29" s="481" t="s">
        <v>362</v>
      </c>
      <c r="D29" s="499"/>
      <c r="E29" s="433"/>
      <c r="G29" s="422"/>
      <c r="H29" s="422"/>
      <c r="I29" s="422"/>
      <c r="J29" s="422"/>
    </row>
    <row r="30" spans="2:10" ht="15.75" hidden="1" thickBot="1" x14ac:dyDescent="0.3">
      <c r="B30" s="777"/>
      <c r="C30" s="481" t="s">
        <v>363</v>
      </c>
      <c r="D30" s="499"/>
      <c r="E30" s="433"/>
    </row>
    <row r="31" spans="2:10" ht="15.75" hidden="1" thickBot="1" x14ac:dyDescent="0.3">
      <c r="B31" s="777"/>
      <c r="C31" s="489" t="s">
        <v>364</v>
      </c>
      <c r="D31" s="499"/>
      <c r="E31" s="433"/>
      <c r="G31" s="422"/>
    </row>
    <row r="32" spans="2:10" ht="15.75" hidden="1" thickBot="1" x14ac:dyDescent="0.3">
      <c r="B32" s="777"/>
      <c r="C32" s="481" t="s">
        <v>365</v>
      </c>
      <c r="D32" s="499"/>
      <c r="E32" s="433"/>
      <c r="G32" s="422"/>
      <c r="H32" s="422"/>
      <c r="I32" s="422"/>
      <c r="J32" s="422"/>
    </row>
    <row r="33" spans="2:10" ht="15.75" hidden="1" thickBot="1" x14ac:dyDescent="0.3">
      <c r="B33" s="778"/>
      <c r="C33" s="482" t="s">
        <v>366</v>
      </c>
      <c r="D33" s="500"/>
      <c r="E33" s="435"/>
      <c r="G33" s="422"/>
      <c r="H33" s="422"/>
      <c r="I33" s="422"/>
      <c r="J33" s="422"/>
    </row>
    <row r="34" spans="2:10" ht="15.75" thickBot="1" x14ac:dyDescent="0.3">
      <c r="B34" s="773">
        <v>3212</v>
      </c>
      <c r="C34" s="490" t="s">
        <v>105</v>
      </c>
      <c r="D34" s="501"/>
      <c r="E34" s="767">
        <f>+AVERAGE(D36,D37,D38,D39,D40,D41,D42,D43,D45,D47)</f>
        <v>0.09</v>
      </c>
      <c r="F34" s="430">
        <v>111</v>
      </c>
      <c r="G34" s="422"/>
      <c r="H34" s="422"/>
      <c r="I34" s="422"/>
      <c r="J34" s="422"/>
    </row>
    <row r="35" spans="2:10" ht="15.75" thickBot="1" x14ac:dyDescent="0.3">
      <c r="B35" s="774"/>
      <c r="C35" s="490" t="s">
        <v>106</v>
      </c>
      <c r="D35" s="501"/>
      <c r="E35" s="768"/>
      <c r="F35" s="430">
        <v>112</v>
      </c>
      <c r="G35" s="422"/>
      <c r="H35" s="422"/>
      <c r="I35" s="422"/>
      <c r="J35" s="422"/>
    </row>
    <row r="36" spans="2:10" x14ac:dyDescent="0.25">
      <c r="B36" s="774"/>
      <c r="C36" s="491" t="s">
        <v>109</v>
      </c>
      <c r="D36" s="503">
        <v>0.45</v>
      </c>
      <c r="E36" s="768"/>
      <c r="F36" s="431"/>
      <c r="G36" s="422"/>
      <c r="H36" s="422"/>
      <c r="I36" s="422"/>
      <c r="J36" s="422"/>
    </row>
    <row r="37" spans="2:10" x14ac:dyDescent="0.25">
      <c r="B37" s="774"/>
      <c r="C37" s="482" t="s">
        <v>108</v>
      </c>
      <c r="D37" s="504">
        <v>0</v>
      </c>
      <c r="E37" s="768"/>
      <c r="F37" s="431"/>
      <c r="G37" s="422"/>
      <c r="H37" s="422"/>
      <c r="I37" s="422"/>
      <c r="J37" s="422"/>
    </row>
    <row r="38" spans="2:10" x14ac:dyDescent="0.25">
      <c r="B38" s="774"/>
      <c r="C38" s="491" t="s">
        <v>28</v>
      </c>
      <c r="D38" s="503">
        <v>0</v>
      </c>
      <c r="E38" s="768"/>
      <c r="F38" s="431"/>
      <c r="G38" s="422"/>
      <c r="H38" s="422"/>
      <c r="I38" s="422"/>
      <c r="J38" s="422"/>
    </row>
    <row r="39" spans="2:10" x14ac:dyDescent="0.25">
      <c r="B39" s="774"/>
      <c r="C39" s="481" t="s">
        <v>98</v>
      </c>
      <c r="D39" s="505">
        <v>0.09</v>
      </c>
      <c r="E39" s="768"/>
      <c r="F39" s="431"/>
      <c r="G39" s="422"/>
      <c r="H39" s="422"/>
      <c r="I39" s="422"/>
      <c r="J39" s="422"/>
    </row>
    <row r="40" spans="2:10" x14ac:dyDescent="0.25">
      <c r="B40" s="774"/>
      <c r="C40" s="489" t="s">
        <v>102</v>
      </c>
      <c r="D40" s="499">
        <v>0</v>
      </c>
      <c r="E40" s="768"/>
      <c r="F40" s="431"/>
      <c r="G40" s="422"/>
      <c r="I40" s="422"/>
      <c r="J40" s="422"/>
    </row>
    <row r="41" spans="2:10" x14ac:dyDescent="0.25">
      <c r="B41" s="774"/>
      <c r="C41" s="492" t="s">
        <v>99</v>
      </c>
      <c r="D41" s="499">
        <v>0.18</v>
      </c>
      <c r="E41" s="768"/>
      <c r="F41" s="431"/>
      <c r="G41" s="422"/>
      <c r="H41" s="422"/>
      <c r="I41" s="422"/>
      <c r="J41" s="422"/>
    </row>
    <row r="42" spans="2:10" x14ac:dyDescent="0.25">
      <c r="B42" s="774"/>
      <c r="C42" s="489" t="s">
        <v>101</v>
      </c>
      <c r="D42" s="505">
        <v>0.18</v>
      </c>
      <c r="E42" s="768"/>
      <c r="F42" s="431"/>
      <c r="G42" s="422"/>
      <c r="H42" s="422"/>
      <c r="I42" s="422"/>
      <c r="J42" s="422"/>
    </row>
    <row r="43" spans="2:10" ht="15.75" thickBot="1" x14ac:dyDescent="0.3">
      <c r="B43" s="774"/>
      <c r="C43" s="493" t="s">
        <v>26</v>
      </c>
      <c r="D43" s="504">
        <v>0</v>
      </c>
      <c r="E43" s="768"/>
      <c r="F43" s="432"/>
      <c r="G43" s="422"/>
      <c r="H43" s="422"/>
      <c r="I43" s="422"/>
      <c r="J43" s="422"/>
    </row>
    <row r="44" spans="2:10" ht="15.75" thickBot="1" x14ac:dyDescent="0.3">
      <c r="B44" s="774"/>
      <c r="C44" s="490" t="s">
        <v>429</v>
      </c>
      <c r="D44" s="501"/>
      <c r="E44" s="768"/>
      <c r="F44" s="430" t="s">
        <v>428</v>
      </c>
      <c r="G44" s="422"/>
      <c r="H44" s="422"/>
      <c r="I44" s="422"/>
      <c r="J44" s="422"/>
    </row>
    <row r="45" spans="2:10" ht="15.75" thickBot="1" x14ac:dyDescent="0.3">
      <c r="B45" s="774"/>
      <c r="C45" s="351" t="s">
        <v>427</v>
      </c>
      <c r="D45" s="506">
        <v>0</v>
      </c>
      <c r="E45" s="768"/>
      <c r="F45" s="431"/>
      <c r="G45" s="422"/>
      <c r="H45" s="422"/>
      <c r="I45" s="422"/>
      <c r="J45" s="422"/>
    </row>
    <row r="46" spans="2:10" ht="15.75" thickBot="1" x14ac:dyDescent="0.3">
      <c r="B46" s="774"/>
      <c r="C46" s="490" t="s">
        <v>285</v>
      </c>
      <c r="D46" s="501"/>
      <c r="E46" s="768"/>
      <c r="F46" s="430" t="s">
        <v>426</v>
      </c>
    </row>
    <row r="47" spans="2:10" ht="15.75" thickBot="1" x14ac:dyDescent="0.3">
      <c r="B47" s="775"/>
      <c r="C47" s="494" t="s">
        <v>97</v>
      </c>
      <c r="D47" s="506">
        <v>0</v>
      </c>
      <c r="E47" s="769"/>
      <c r="F47" s="431"/>
    </row>
    <row r="48" spans="2:10" ht="15.75" thickBot="1" x14ac:dyDescent="0.3">
      <c r="B48" s="773">
        <v>3211</v>
      </c>
      <c r="C48" s="483" t="s">
        <v>95</v>
      </c>
      <c r="D48" s="501"/>
      <c r="E48" s="764">
        <f>D50</f>
        <v>0</v>
      </c>
      <c r="F48" s="430">
        <v>96</v>
      </c>
    </row>
    <row r="49" spans="2:6" ht="15.75" thickBot="1" x14ac:dyDescent="0.3">
      <c r="B49" s="774"/>
      <c r="C49" s="483" t="s">
        <v>96</v>
      </c>
      <c r="D49" s="501"/>
      <c r="E49" s="765"/>
      <c r="F49" s="430">
        <v>97</v>
      </c>
    </row>
    <row r="50" spans="2:6" ht="15.75" thickBot="1" x14ac:dyDescent="0.3">
      <c r="B50" s="775"/>
      <c r="C50" s="495" t="s">
        <v>25</v>
      </c>
      <c r="D50" s="506">
        <v>0</v>
      </c>
      <c r="E50" s="766"/>
      <c r="F50" s="431"/>
    </row>
    <row r="51" spans="2:6" ht="15.75" thickBot="1" x14ac:dyDescent="0.3">
      <c r="B51" s="773">
        <v>3213</v>
      </c>
      <c r="C51" s="483" t="s">
        <v>103</v>
      </c>
      <c r="D51" s="501"/>
      <c r="E51" s="764">
        <f>AVERAGE(D52,D54)</f>
        <v>0.08</v>
      </c>
      <c r="F51" s="430">
        <v>105</v>
      </c>
    </row>
    <row r="52" spans="2:6" ht="15.75" thickBot="1" x14ac:dyDescent="0.3">
      <c r="B52" s="774"/>
      <c r="C52" s="495" t="s">
        <v>110</v>
      </c>
      <c r="D52" s="506">
        <v>0.06</v>
      </c>
      <c r="E52" s="765"/>
      <c r="F52" s="431"/>
    </row>
    <row r="53" spans="2:6" ht="15.75" thickBot="1" x14ac:dyDescent="0.3">
      <c r="B53" s="774"/>
      <c r="C53" s="483" t="s">
        <v>111</v>
      </c>
      <c r="D53" s="501"/>
      <c r="E53" s="765"/>
      <c r="F53" s="431"/>
    </row>
    <row r="54" spans="2:6" ht="15.75" thickBot="1" x14ac:dyDescent="0.3">
      <c r="B54" s="775"/>
      <c r="C54" s="496" t="s">
        <v>267</v>
      </c>
      <c r="D54" s="507">
        <v>0.1</v>
      </c>
      <c r="E54" s="766"/>
      <c r="F54" s="432"/>
    </row>
    <row r="55" spans="2:6" x14ac:dyDescent="0.25">
      <c r="D55" s="436"/>
    </row>
  </sheetData>
  <mergeCells count="10">
    <mergeCell ref="E48:E50"/>
    <mergeCell ref="E51:E54"/>
    <mergeCell ref="E10:E22"/>
    <mergeCell ref="B2:B9"/>
    <mergeCell ref="B34:B47"/>
    <mergeCell ref="E2:E9"/>
    <mergeCell ref="E34:E47"/>
    <mergeCell ref="B48:B50"/>
    <mergeCell ref="B51:B54"/>
    <mergeCell ref="B10:B3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3"/>
  <sheetViews>
    <sheetView showGridLines="0" topLeftCell="A162" workbookViewId="0">
      <selection activeCell="F2" sqref="F2:H163"/>
    </sheetView>
  </sheetViews>
  <sheetFormatPr baseColWidth="10" defaultRowHeight="15" x14ac:dyDescent="0.25"/>
  <cols>
    <col min="1" max="1" width="6.85546875" customWidth="1"/>
    <col min="2" max="2" width="15.42578125" style="231" customWidth="1"/>
    <col min="3" max="3" width="48.85546875" style="231" customWidth="1"/>
    <col min="4" max="4" width="14.85546875" style="231" customWidth="1"/>
    <col min="6" max="6" width="15.140625" customWidth="1"/>
    <col min="7" max="7" width="14.28515625" style="22" customWidth="1"/>
    <col min="8" max="8" width="12" style="252" bestFit="1" customWidth="1"/>
  </cols>
  <sheetData>
    <row r="1" spans="2:8" ht="15.75" thickBot="1" x14ac:dyDescent="0.3">
      <c r="H1" s="254"/>
    </row>
    <row r="2" spans="2:8" ht="30.75" thickBot="1" x14ac:dyDescent="0.3">
      <c r="B2" s="66" t="s">
        <v>123</v>
      </c>
      <c r="C2" s="250" t="s">
        <v>124</v>
      </c>
      <c r="D2" s="66" t="s">
        <v>134</v>
      </c>
      <c r="F2" s="227" t="s">
        <v>300</v>
      </c>
      <c r="G2" s="229" t="s">
        <v>377</v>
      </c>
      <c r="H2" s="251" t="s">
        <v>378</v>
      </c>
    </row>
    <row r="3" spans="2:8" x14ac:dyDescent="0.25">
      <c r="B3" s="784"/>
      <c r="C3" s="784"/>
      <c r="D3" s="784"/>
      <c r="H3" s="254"/>
    </row>
    <row r="4" spans="2:8" x14ac:dyDescent="0.25">
      <c r="B4" s="779" t="s">
        <v>243</v>
      </c>
      <c r="C4" s="779"/>
      <c r="D4" s="779"/>
      <c r="H4" s="254"/>
    </row>
    <row r="5" spans="2:8" x14ac:dyDescent="0.25">
      <c r="B5" s="232">
        <v>321200019</v>
      </c>
      <c r="C5" s="46" t="s">
        <v>97</v>
      </c>
      <c r="D5" s="233" t="s">
        <v>62</v>
      </c>
      <c r="F5" s="228" t="e">
        <f>(#REF!)</f>
        <v>#REF!</v>
      </c>
      <c r="G5" s="230">
        <v>180.2</v>
      </c>
      <c r="H5" s="253" t="e">
        <f>(G5+F5)/2</f>
        <v>#REF!</v>
      </c>
    </row>
    <row r="6" spans="2:8" x14ac:dyDescent="0.25">
      <c r="B6" s="785">
        <v>320700022</v>
      </c>
      <c r="C6" s="234" t="s">
        <v>260</v>
      </c>
      <c r="D6" s="235" t="s">
        <v>45</v>
      </c>
      <c r="F6" s="228"/>
      <c r="G6" s="230"/>
      <c r="H6" s="253"/>
    </row>
    <row r="7" spans="2:8" x14ac:dyDescent="0.25">
      <c r="B7" s="786"/>
      <c r="C7" s="236" t="s">
        <v>361</v>
      </c>
      <c r="D7" s="237" t="s">
        <v>62</v>
      </c>
      <c r="F7" s="228" t="e">
        <f>(#REF!)</f>
        <v>#REF!</v>
      </c>
      <c r="G7" s="230">
        <v>1.62</v>
      </c>
      <c r="H7" s="253" t="e">
        <f>(G7+F7)/2</f>
        <v>#REF!</v>
      </c>
    </row>
    <row r="8" spans="2:8" x14ac:dyDescent="0.25">
      <c r="B8" s="786"/>
      <c r="C8" s="236" t="s">
        <v>362</v>
      </c>
      <c r="D8" s="237" t="s">
        <v>62</v>
      </c>
      <c r="F8" s="228" t="e">
        <f>(#REF!)</f>
        <v>#REF!</v>
      </c>
      <c r="G8" s="230">
        <v>1.74</v>
      </c>
      <c r="H8" s="253">
        <f>(G8)</f>
        <v>1.74</v>
      </c>
    </row>
    <row r="9" spans="2:8" x14ac:dyDescent="0.25">
      <c r="B9" s="786"/>
      <c r="C9" s="236" t="s">
        <v>363</v>
      </c>
      <c r="D9" s="237" t="s">
        <v>62</v>
      </c>
      <c r="F9" s="228" t="e">
        <f>(#REF!)</f>
        <v>#REF!</v>
      </c>
      <c r="G9" s="230">
        <v>1.58</v>
      </c>
      <c r="H9" s="253">
        <f>(G9)</f>
        <v>1.58</v>
      </c>
    </row>
    <row r="10" spans="2:8" x14ac:dyDescent="0.25">
      <c r="B10" s="786"/>
      <c r="C10" s="238" t="s">
        <v>364</v>
      </c>
      <c r="D10" s="239" t="s">
        <v>62</v>
      </c>
      <c r="F10" s="228">
        <v>0</v>
      </c>
      <c r="G10" s="230">
        <v>1.84</v>
      </c>
      <c r="H10" s="253">
        <f>(G10)</f>
        <v>1.84</v>
      </c>
    </row>
    <row r="11" spans="2:8" x14ac:dyDescent="0.25">
      <c r="B11" s="786"/>
      <c r="C11" s="236" t="s">
        <v>365</v>
      </c>
      <c r="D11" s="237" t="s">
        <v>62</v>
      </c>
      <c r="F11" s="228" t="e">
        <f>(#REF!)</f>
        <v>#REF!</v>
      </c>
      <c r="G11" s="230">
        <v>1.6</v>
      </c>
      <c r="H11" s="253">
        <f>(G11)</f>
        <v>1.6</v>
      </c>
    </row>
    <row r="12" spans="2:8" x14ac:dyDescent="0.25">
      <c r="B12" s="787"/>
      <c r="C12" s="236" t="s">
        <v>366</v>
      </c>
      <c r="D12" s="237" t="s">
        <v>62</v>
      </c>
      <c r="F12" s="228" t="e">
        <f>(#REF!)</f>
        <v>#REF!</v>
      </c>
      <c r="G12" s="230">
        <v>2.0499999999999998</v>
      </c>
      <c r="H12" s="253">
        <f>(G12)</f>
        <v>2.0499999999999998</v>
      </c>
    </row>
    <row r="13" spans="2:8" x14ac:dyDescent="0.25">
      <c r="B13" s="779" t="s">
        <v>244</v>
      </c>
      <c r="C13" s="779"/>
      <c r="D13" s="779"/>
      <c r="F13" s="228"/>
      <c r="G13" s="230"/>
      <c r="H13" s="253"/>
    </row>
    <row r="14" spans="2:8" x14ac:dyDescent="0.25">
      <c r="B14" s="780">
        <v>31290027</v>
      </c>
      <c r="C14" s="240" t="s">
        <v>42</v>
      </c>
      <c r="D14" s="241" t="s">
        <v>43</v>
      </c>
      <c r="F14" s="228" t="e">
        <f>(#REF!)</f>
        <v>#REF!</v>
      </c>
      <c r="G14" s="230">
        <v>193.8</v>
      </c>
      <c r="H14" s="253" t="e">
        <f t="shared" ref="H14:H20" si="0">(G14+F14)/2</f>
        <v>#REF!</v>
      </c>
    </row>
    <row r="15" spans="2:8" x14ac:dyDescent="0.25">
      <c r="B15" s="780"/>
      <c r="C15" s="240" t="s">
        <v>40</v>
      </c>
      <c r="D15" s="241" t="s">
        <v>41</v>
      </c>
      <c r="F15" s="228" t="e">
        <f>(#REF!)</f>
        <v>#REF!</v>
      </c>
      <c r="G15" s="230">
        <v>209.59</v>
      </c>
      <c r="H15" s="253" t="e">
        <f t="shared" si="0"/>
        <v>#REF!</v>
      </c>
    </row>
    <row r="16" spans="2:8" x14ac:dyDescent="0.25">
      <c r="B16" s="779" t="s">
        <v>245</v>
      </c>
      <c r="C16" s="779"/>
      <c r="D16" s="779"/>
      <c r="F16" s="228"/>
      <c r="G16" s="230"/>
      <c r="H16" s="253"/>
    </row>
    <row r="17" spans="2:8" x14ac:dyDescent="0.25">
      <c r="B17" s="783">
        <v>32020001</v>
      </c>
      <c r="C17" s="46" t="s">
        <v>51</v>
      </c>
      <c r="D17" s="233" t="s">
        <v>52</v>
      </c>
      <c r="F17" s="228" t="e">
        <f>(#REF!)</f>
        <v>#REF!</v>
      </c>
      <c r="G17" s="230">
        <v>304</v>
      </c>
      <c r="H17" s="253" t="e">
        <f t="shared" si="0"/>
        <v>#REF!</v>
      </c>
    </row>
    <row r="18" spans="2:8" x14ac:dyDescent="0.25">
      <c r="B18" s="783"/>
      <c r="C18" s="77" t="s">
        <v>67</v>
      </c>
      <c r="D18" s="242" t="s">
        <v>68</v>
      </c>
      <c r="F18" s="228" t="e">
        <f>(#REF!)</f>
        <v>#REF!</v>
      </c>
      <c r="G18" s="230">
        <v>42.79</v>
      </c>
      <c r="H18" s="253" t="e">
        <f t="shared" si="0"/>
        <v>#REF!</v>
      </c>
    </row>
    <row r="19" spans="2:8" x14ac:dyDescent="0.25">
      <c r="B19" s="779" t="s">
        <v>268</v>
      </c>
      <c r="C19" s="779"/>
      <c r="D19" s="779"/>
      <c r="F19" s="228"/>
      <c r="G19" s="230"/>
      <c r="H19" s="253"/>
    </row>
    <row r="20" spans="2:8" x14ac:dyDescent="0.25">
      <c r="B20" s="780">
        <v>321000014</v>
      </c>
      <c r="C20" s="240" t="s">
        <v>93</v>
      </c>
      <c r="D20" s="241" t="s">
        <v>45</v>
      </c>
      <c r="F20" s="228" t="e">
        <f>(#REF!)</f>
        <v>#REF!</v>
      </c>
      <c r="G20" s="230">
        <v>106.55</v>
      </c>
      <c r="H20" s="253" t="e">
        <f t="shared" si="0"/>
        <v>#REF!</v>
      </c>
    </row>
    <row r="21" spans="2:8" x14ac:dyDescent="0.25">
      <c r="B21" s="780"/>
      <c r="C21" s="240" t="s">
        <v>94</v>
      </c>
      <c r="D21" s="241" t="s">
        <v>62</v>
      </c>
      <c r="F21" s="228" t="e">
        <f>(#REF!)</f>
        <v>#REF!</v>
      </c>
      <c r="G21" s="230">
        <v>0</v>
      </c>
      <c r="H21" s="253" t="e">
        <f>(F21)</f>
        <v>#REF!</v>
      </c>
    </row>
    <row r="22" spans="2:8" x14ac:dyDescent="0.25">
      <c r="B22" s="780">
        <v>32020007</v>
      </c>
      <c r="C22" s="240" t="s">
        <v>63</v>
      </c>
      <c r="D22" s="241" t="s">
        <v>45</v>
      </c>
      <c r="F22" s="228" t="e">
        <f>(#REF!)</f>
        <v>#REF!</v>
      </c>
      <c r="G22" s="230">
        <v>0</v>
      </c>
      <c r="H22" s="253" t="e">
        <f t="shared" ref="H22:H23" si="1">(F22)</f>
        <v>#REF!</v>
      </c>
    </row>
    <row r="23" spans="2:8" x14ac:dyDescent="0.25">
      <c r="B23" s="780"/>
      <c r="C23" s="77" t="s">
        <v>61</v>
      </c>
      <c r="D23" s="242" t="s">
        <v>62</v>
      </c>
      <c r="F23" s="228" t="e">
        <f>(#REF!)</f>
        <v>#REF!</v>
      </c>
      <c r="G23" s="230">
        <v>0</v>
      </c>
      <c r="H23" s="253" t="e">
        <f t="shared" si="1"/>
        <v>#REF!</v>
      </c>
    </row>
    <row r="24" spans="2:8" x14ac:dyDescent="0.25">
      <c r="B24" s="779" t="s">
        <v>246</v>
      </c>
      <c r="C24" s="779"/>
      <c r="D24" s="779"/>
      <c r="F24" s="228"/>
      <c r="G24" s="230"/>
      <c r="H24" s="253"/>
    </row>
    <row r="25" spans="2:8" x14ac:dyDescent="0.25">
      <c r="B25" s="780">
        <v>32090001</v>
      </c>
      <c r="C25" s="240" t="s">
        <v>12</v>
      </c>
      <c r="D25" s="241" t="s">
        <v>84</v>
      </c>
      <c r="F25" s="228" t="e">
        <f>(#REF!)</f>
        <v>#REF!</v>
      </c>
      <c r="G25" s="230">
        <v>119.6</v>
      </c>
      <c r="H25" s="253" t="e">
        <f t="shared" ref="H25:H26" si="2">(G25+F25)/2</f>
        <v>#REF!</v>
      </c>
    </row>
    <row r="26" spans="2:8" x14ac:dyDescent="0.25">
      <c r="B26" s="780"/>
      <c r="C26" s="240" t="s">
        <v>198</v>
      </c>
      <c r="D26" s="241" t="s">
        <v>84</v>
      </c>
      <c r="F26" s="228" t="e">
        <f>(#REF!)</f>
        <v>#REF!</v>
      </c>
      <c r="G26" s="230">
        <v>119.6</v>
      </c>
      <c r="H26" s="253" t="e">
        <f t="shared" si="2"/>
        <v>#REF!</v>
      </c>
    </row>
    <row r="27" spans="2:8" x14ac:dyDescent="0.25">
      <c r="B27" s="779" t="s">
        <v>269</v>
      </c>
      <c r="C27" s="779"/>
      <c r="D27" s="779"/>
      <c r="F27" s="228"/>
      <c r="G27" s="230"/>
      <c r="H27" s="253"/>
    </row>
    <row r="28" spans="2:8" x14ac:dyDescent="0.25">
      <c r="B28" s="243">
        <v>32010001</v>
      </c>
      <c r="C28" s="240" t="s">
        <v>44</v>
      </c>
      <c r="D28" s="241" t="s">
        <v>45</v>
      </c>
      <c r="F28" s="228" t="e">
        <f>(#REF!)</f>
        <v>#REF!</v>
      </c>
      <c r="G28" s="230">
        <v>4.9400000000000004</v>
      </c>
      <c r="H28" s="253">
        <f>(G28)</f>
        <v>4.9400000000000004</v>
      </c>
    </row>
    <row r="29" spans="2:8" x14ac:dyDescent="0.25">
      <c r="B29" s="779" t="s">
        <v>290</v>
      </c>
      <c r="C29" s="779"/>
      <c r="D29" s="779"/>
      <c r="F29" s="228"/>
      <c r="G29" s="230"/>
      <c r="H29" s="253"/>
    </row>
    <row r="30" spans="2:8" x14ac:dyDescent="0.25">
      <c r="B30" s="243">
        <v>320100049</v>
      </c>
      <c r="C30" s="240" t="s">
        <v>16</v>
      </c>
      <c r="D30" s="241" t="s">
        <v>45</v>
      </c>
      <c r="F30" s="228" t="e">
        <f>(#REF!)</f>
        <v>#REF!</v>
      </c>
      <c r="G30" s="230">
        <v>0</v>
      </c>
      <c r="H30" s="253" t="e">
        <f>(F30)</f>
        <v>#REF!</v>
      </c>
    </row>
    <row r="31" spans="2:8" x14ac:dyDescent="0.25">
      <c r="B31" s="243">
        <v>320100053</v>
      </c>
      <c r="C31" s="240" t="s">
        <v>46</v>
      </c>
      <c r="D31" s="241" t="s">
        <v>47</v>
      </c>
      <c r="F31" s="228" t="e">
        <f>(#REF!)</f>
        <v>#REF!</v>
      </c>
      <c r="G31" s="230">
        <v>15.06</v>
      </c>
      <c r="H31" s="253" t="e">
        <f t="shared" ref="H31:H32" si="3">(G31+F31)/2</f>
        <v>#REF!</v>
      </c>
    </row>
    <row r="32" spans="2:8" x14ac:dyDescent="0.25">
      <c r="B32" s="243">
        <v>320100073</v>
      </c>
      <c r="C32" s="240" t="s">
        <v>17</v>
      </c>
      <c r="D32" s="241" t="s">
        <v>45</v>
      </c>
      <c r="F32" s="228" t="e">
        <f>(#REF!)</f>
        <v>#REF!</v>
      </c>
      <c r="G32" s="230">
        <v>4.3899999999999997</v>
      </c>
      <c r="H32" s="253" t="e">
        <f t="shared" si="3"/>
        <v>#REF!</v>
      </c>
    </row>
    <row r="33" spans="2:8" x14ac:dyDescent="0.25">
      <c r="B33" s="779"/>
      <c r="C33" s="779"/>
      <c r="D33" s="779"/>
      <c r="F33" s="228"/>
      <c r="G33" s="230"/>
      <c r="H33" s="253"/>
    </row>
    <row r="34" spans="2:8" x14ac:dyDescent="0.25">
      <c r="B34" s="780">
        <v>32130001</v>
      </c>
      <c r="C34" s="240" t="s">
        <v>110</v>
      </c>
      <c r="D34" s="241" t="s">
        <v>45</v>
      </c>
      <c r="F34" s="228" t="e">
        <f>(#REF!)</f>
        <v>#REF!</v>
      </c>
      <c r="G34" s="230">
        <v>0</v>
      </c>
      <c r="H34" s="253" t="e">
        <f>(F34)</f>
        <v>#REF!</v>
      </c>
    </row>
    <row r="35" spans="2:8" x14ac:dyDescent="0.25">
      <c r="B35" s="780"/>
      <c r="C35" s="77" t="s">
        <v>111</v>
      </c>
      <c r="D35" s="242" t="s">
        <v>45</v>
      </c>
      <c r="F35" s="228" t="e">
        <f>(#REF!)</f>
        <v>#REF!</v>
      </c>
      <c r="G35" s="230">
        <v>0</v>
      </c>
      <c r="H35" s="253" t="e">
        <f>(F35)</f>
        <v>#REF!</v>
      </c>
    </row>
    <row r="36" spans="2:8" x14ac:dyDescent="0.25">
      <c r="B36" s="243">
        <v>322300022</v>
      </c>
      <c r="C36" s="240" t="s">
        <v>34</v>
      </c>
      <c r="D36" s="241" t="s">
        <v>45</v>
      </c>
      <c r="F36" s="228" t="e">
        <f>(#REF!)</f>
        <v>#REF!</v>
      </c>
      <c r="G36" s="230">
        <v>45.6</v>
      </c>
      <c r="H36" s="253">
        <f>(G36)</f>
        <v>45.6</v>
      </c>
    </row>
    <row r="37" spans="2:8" x14ac:dyDescent="0.25">
      <c r="B37" s="244">
        <v>321500181</v>
      </c>
      <c r="C37" s="245" t="s">
        <v>292</v>
      </c>
      <c r="D37" s="241" t="s">
        <v>45</v>
      </c>
      <c r="F37" s="228" t="e">
        <f>(#REF!)</f>
        <v>#REF!</v>
      </c>
      <c r="G37" s="230">
        <v>748.5</v>
      </c>
      <c r="H37" s="253">
        <f>(G37)</f>
        <v>748.5</v>
      </c>
    </row>
    <row r="38" spans="2:8" x14ac:dyDescent="0.25">
      <c r="B38" s="779" t="s">
        <v>270</v>
      </c>
      <c r="C38" s="779"/>
      <c r="D38" s="779"/>
      <c r="F38" s="228"/>
      <c r="G38" s="230"/>
      <c r="H38" s="253"/>
    </row>
    <row r="39" spans="2:8" x14ac:dyDescent="0.25">
      <c r="B39" s="243">
        <v>321220013</v>
      </c>
      <c r="C39" s="77" t="s">
        <v>109</v>
      </c>
      <c r="D39" s="242" t="s">
        <v>62</v>
      </c>
      <c r="F39" s="228" t="e">
        <f>(#REF!)</f>
        <v>#REF!</v>
      </c>
      <c r="G39" s="230">
        <v>0</v>
      </c>
      <c r="H39" s="253" t="e">
        <f>(F39)</f>
        <v>#REF!</v>
      </c>
    </row>
    <row r="40" spans="2:8" x14ac:dyDescent="0.25">
      <c r="B40" s="779"/>
      <c r="C40" s="779"/>
      <c r="D40" s="779"/>
      <c r="F40" s="228"/>
      <c r="G40" s="230"/>
      <c r="H40" s="253"/>
    </row>
    <row r="41" spans="2:8" x14ac:dyDescent="0.25">
      <c r="B41" s="243">
        <v>322300061</v>
      </c>
      <c r="C41" s="240" t="s">
        <v>122</v>
      </c>
      <c r="D41" s="241" t="s">
        <v>45</v>
      </c>
      <c r="F41" s="228" t="e">
        <f>(#REF!)</f>
        <v>#REF!</v>
      </c>
      <c r="G41" s="230">
        <v>305</v>
      </c>
      <c r="H41" s="253" t="e">
        <f t="shared" ref="H41" si="4">(G41+F41)/2</f>
        <v>#REF!</v>
      </c>
    </row>
    <row r="42" spans="2:8" x14ac:dyDescent="0.25">
      <c r="B42" s="779"/>
      <c r="C42" s="779"/>
      <c r="D42" s="779"/>
      <c r="F42" s="228"/>
      <c r="G42" s="230"/>
      <c r="H42" s="253"/>
    </row>
    <row r="43" spans="2:8" x14ac:dyDescent="0.25">
      <c r="B43" s="244">
        <v>320300033</v>
      </c>
      <c r="C43" s="77" t="s">
        <v>64</v>
      </c>
      <c r="D43" s="242" t="s">
        <v>62</v>
      </c>
      <c r="F43" s="228" t="e">
        <f>(#REF!)</f>
        <v>#REF!</v>
      </c>
      <c r="G43" s="230">
        <v>348.9</v>
      </c>
      <c r="H43" s="253">
        <f>(G43)</f>
        <v>348.9</v>
      </c>
    </row>
    <row r="44" spans="2:8" x14ac:dyDescent="0.25">
      <c r="B44" s="779"/>
      <c r="C44" s="779"/>
      <c r="D44" s="779"/>
      <c r="F44" s="228"/>
      <c r="G44" s="230"/>
      <c r="H44" s="253"/>
    </row>
    <row r="45" spans="2:8" x14ac:dyDescent="0.25">
      <c r="B45" s="232">
        <v>3207000511</v>
      </c>
      <c r="C45" s="77" t="s">
        <v>261</v>
      </c>
      <c r="D45" s="242" t="s">
        <v>45</v>
      </c>
      <c r="F45" s="228" t="e">
        <f>(#REF!)</f>
        <v>#REF!</v>
      </c>
      <c r="G45" s="230">
        <v>63.37</v>
      </c>
      <c r="H45" s="253">
        <f>(G45)</f>
        <v>63.37</v>
      </c>
    </row>
    <row r="46" spans="2:8" x14ac:dyDescent="0.25">
      <c r="B46" s="779"/>
      <c r="C46" s="779"/>
      <c r="D46" s="779"/>
      <c r="F46" s="228"/>
      <c r="G46" s="230"/>
      <c r="H46" s="253"/>
    </row>
    <row r="47" spans="2:8" x14ac:dyDescent="0.25">
      <c r="B47" s="243">
        <v>321600012</v>
      </c>
      <c r="C47" s="240" t="s">
        <v>31</v>
      </c>
      <c r="D47" s="241" t="s">
        <v>45</v>
      </c>
      <c r="F47" s="228" t="e">
        <f>(#REF!)</f>
        <v>#REF!</v>
      </c>
      <c r="G47" s="230">
        <v>25.93</v>
      </c>
      <c r="H47" s="253" t="e">
        <f t="shared" ref="H47" si="5">(G47+F47)/2</f>
        <v>#REF!</v>
      </c>
    </row>
    <row r="48" spans="2:8" x14ac:dyDescent="0.25">
      <c r="B48" s="779"/>
      <c r="C48" s="779"/>
      <c r="D48" s="779"/>
      <c r="F48" s="228"/>
      <c r="G48" s="230"/>
      <c r="H48" s="253"/>
    </row>
    <row r="49" spans="2:8" x14ac:dyDescent="0.25">
      <c r="B49" s="243">
        <v>320900071</v>
      </c>
      <c r="C49" s="240" t="s">
        <v>35</v>
      </c>
      <c r="D49" s="241" t="s">
        <v>62</v>
      </c>
      <c r="F49" s="228" t="e">
        <f>(#REF!)</f>
        <v>#REF!</v>
      </c>
      <c r="G49" s="230">
        <v>379.05</v>
      </c>
      <c r="H49" s="253" t="e">
        <f t="shared" ref="H49" si="6">(G49+F49)/2</f>
        <v>#REF!</v>
      </c>
    </row>
    <row r="50" spans="2:8" x14ac:dyDescent="0.25">
      <c r="B50" s="779" t="s">
        <v>271</v>
      </c>
      <c r="C50" s="779"/>
      <c r="D50" s="779"/>
      <c r="F50" s="228"/>
      <c r="G50" s="230"/>
      <c r="H50" s="253"/>
    </row>
    <row r="51" spans="2:8" x14ac:dyDescent="0.25">
      <c r="B51" s="780">
        <v>32150002</v>
      </c>
      <c r="C51" s="240" t="s">
        <v>112</v>
      </c>
      <c r="D51" s="241" t="s">
        <v>58</v>
      </c>
      <c r="F51" s="228" t="e">
        <f>(#REF!)</f>
        <v>#REF!</v>
      </c>
      <c r="G51" s="230">
        <v>0</v>
      </c>
      <c r="H51" s="253" t="e">
        <f>(F51)</f>
        <v>#REF!</v>
      </c>
    </row>
    <row r="52" spans="2:8" x14ac:dyDescent="0.25">
      <c r="B52" s="780"/>
      <c r="C52" s="240" t="s">
        <v>113</v>
      </c>
      <c r="D52" s="241" t="s">
        <v>68</v>
      </c>
      <c r="F52" s="228" t="e">
        <f>(#REF!)</f>
        <v>#REF!</v>
      </c>
      <c r="G52" s="230">
        <v>0</v>
      </c>
      <c r="H52" s="253" t="e">
        <f>(F52)</f>
        <v>#REF!</v>
      </c>
    </row>
    <row r="53" spans="2:8" x14ac:dyDescent="0.25">
      <c r="B53" s="779"/>
      <c r="C53" s="779"/>
      <c r="D53" s="779"/>
      <c r="F53" s="228"/>
      <c r="G53" s="230"/>
      <c r="H53" s="253"/>
    </row>
    <row r="54" spans="2:8" x14ac:dyDescent="0.25">
      <c r="B54" s="243">
        <v>3212002017</v>
      </c>
      <c r="C54" s="240" t="s">
        <v>108</v>
      </c>
      <c r="D54" s="241" t="s">
        <v>62</v>
      </c>
      <c r="F54" s="228" t="e">
        <f>(#REF!)</f>
        <v>#REF!</v>
      </c>
      <c r="G54" s="230">
        <v>1627</v>
      </c>
      <c r="H54" s="253" t="e">
        <f t="shared" ref="H54" si="7">(G54+F54)/2</f>
        <v>#REF!</v>
      </c>
    </row>
    <row r="55" spans="2:8" x14ac:dyDescent="0.25">
      <c r="B55" s="779" t="s">
        <v>272</v>
      </c>
      <c r="C55" s="779"/>
      <c r="D55" s="779"/>
      <c r="F55" s="228"/>
      <c r="G55" s="230"/>
      <c r="H55" s="253"/>
    </row>
    <row r="56" spans="2:8" x14ac:dyDescent="0.25">
      <c r="B56" s="232">
        <v>32220001</v>
      </c>
      <c r="C56" s="46" t="s">
        <v>280</v>
      </c>
      <c r="D56" s="233" t="s">
        <v>45</v>
      </c>
      <c r="F56" s="228" t="e">
        <f>(#REF!)</f>
        <v>#REF!</v>
      </c>
      <c r="G56" s="230">
        <v>0</v>
      </c>
      <c r="H56" s="253" t="e">
        <f>(F56)</f>
        <v>#REF!</v>
      </c>
    </row>
    <row r="57" spans="2:8" x14ac:dyDescent="0.25">
      <c r="B57" s="779"/>
      <c r="C57" s="779"/>
      <c r="D57" s="779"/>
      <c r="F57" s="228"/>
      <c r="G57" s="230"/>
      <c r="H57" s="253"/>
    </row>
    <row r="58" spans="2:8" x14ac:dyDescent="0.25">
      <c r="B58" s="243">
        <v>321500041</v>
      </c>
      <c r="C58" s="240" t="s">
        <v>116</v>
      </c>
      <c r="D58" s="241" t="s">
        <v>62</v>
      </c>
      <c r="F58" s="228" t="e">
        <f>(#REF!)</f>
        <v>#REF!</v>
      </c>
      <c r="G58" s="230">
        <v>0</v>
      </c>
      <c r="H58" s="253" t="e">
        <f>(F58)</f>
        <v>#REF!</v>
      </c>
    </row>
    <row r="59" spans="2:8" x14ac:dyDescent="0.25">
      <c r="B59" s="779"/>
      <c r="C59" s="779"/>
      <c r="D59" s="779"/>
      <c r="F59" s="228"/>
      <c r="G59" s="230"/>
      <c r="H59" s="253"/>
    </row>
    <row r="60" spans="2:8" x14ac:dyDescent="0.25">
      <c r="B60" s="246"/>
      <c r="C60" s="247" t="s">
        <v>368</v>
      </c>
      <c r="D60" s="247" t="s">
        <v>45</v>
      </c>
      <c r="F60" s="228" t="e">
        <f>(#REF!)</f>
        <v>#REF!</v>
      </c>
      <c r="G60" s="230">
        <v>165</v>
      </c>
      <c r="H60" s="253">
        <f>(G60)</f>
        <v>165</v>
      </c>
    </row>
    <row r="61" spans="2:8" x14ac:dyDescent="0.25">
      <c r="B61" s="246"/>
      <c r="C61" s="247" t="s">
        <v>369</v>
      </c>
      <c r="D61" s="247" t="s">
        <v>45</v>
      </c>
      <c r="F61" s="228" t="e">
        <f>(#REF!)</f>
        <v>#REF!</v>
      </c>
      <c r="G61" s="230">
        <v>295</v>
      </c>
      <c r="H61" s="253">
        <f>(G61)</f>
        <v>295</v>
      </c>
    </row>
    <row r="62" spans="2:8" x14ac:dyDescent="0.25">
      <c r="B62" s="243">
        <v>3201000612</v>
      </c>
      <c r="C62" s="240" t="s">
        <v>48</v>
      </c>
      <c r="D62" s="241" t="s">
        <v>45</v>
      </c>
      <c r="F62" s="228" t="e">
        <f>(#REF!)</f>
        <v>#REF!</v>
      </c>
      <c r="G62" s="230">
        <v>88.55</v>
      </c>
      <c r="H62" s="253" t="e">
        <f t="shared" ref="H62" si="8">(G62+F62)/2</f>
        <v>#REF!</v>
      </c>
    </row>
    <row r="63" spans="2:8" x14ac:dyDescent="0.25">
      <c r="B63" s="779"/>
      <c r="C63" s="779"/>
      <c r="D63" s="779"/>
      <c r="F63" s="228"/>
      <c r="G63" s="230"/>
      <c r="H63" s="253"/>
    </row>
    <row r="64" spans="2:8" x14ac:dyDescent="0.25">
      <c r="B64" s="243">
        <v>321500036</v>
      </c>
      <c r="C64" s="240" t="s">
        <v>114</v>
      </c>
      <c r="D64" s="241" t="s">
        <v>115</v>
      </c>
      <c r="F64" s="228" t="e">
        <f>(#REF!)</f>
        <v>#REF!</v>
      </c>
      <c r="G64" s="230">
        <v>0</v>
      </c>
      <c r="H64" s="253" t="e">
        <f>(F64)</f>
        <v>#REF!</v>
      </c>
    </row>
    <row r="65" spans="2:8" x14ac:dyDescent="0.25">
      <c r="B65" s="779" t="s">
        <v>273</v>
      </c>
      <c r="C65" s="779"/>
      <c r="D65" s="779"/>
      <c r="F65" s="228"/>
      <c r="G65" s="230"/>
      <c r="H65" s="253"/>
    </row>
    <row r="66" spans="2:8" x14ac:dyDescent="0.25">
      <c r="B66" s="243">
        <v>32050001</v>
      </c>
      <c r="C66" s="240" t="s">
        <v>281</v>
      </c>
      <c r="D66" s="241" t="s">
        <v>45</v>
      </c>
      <c r="F66" s="228" t="e">
        <f>(#REF!)</f>
        <v>#REF!</v>
      </c>
      <c r="G66" s="230">
        <v>9.48</v>
      </c>
      <c r="H66" s="253" t="e">
        <f t="shared" ref="H66" si="9">(G66+F66)/2</f>
        <v>#REF!</v>
      </c>
    </row>
    <row r="67" spans="2:8" x14ac:dyDescent="0.25">
      <c r="B67" s="779"/>
      <c r="C67" s="779"/>
      <c r="D67" s="779"/>
      <c r="F67" s="228"/>
      <c r="G67" s="230"/>
      <c r="H67" s="253"/>
    </row>
    <row r="68" spans="2:8" x14ac:dyDescent="0.25">
      <c r="B68" s="244">
        <v>320700121</v>
      </c>
      <c r="C68" s="77" t="s">
        <v>81</v>
      </c>
      <c r="D68" s="242" t="s">
        <v>45</v>
      </c>
      <c r="F68" s="228" t="e">
        <f>(#REF!)</f>
        <v>#REF!</v>
      </c>
      <c r="G68" s="230">
        <v>89.9</v>
      </c>
      <c r="H68" s="253">
        <f>(G68)</f>
        <v>89.9</v>
      </c>
    </row>
    <row r="69" spans="2:8" x14ac:dyDescent="0.25">
      <c r="B69" s="779" t="s">
        <v>254</v>
      </c>
      <c r="C69" s="779"/>
      <c r="D69" s="779"/>
      <c r="F69" s="228"/>
      <c r="G69" s="230"/>
      <c r="H69" s="253"/>
    </row>
    <row r="70" spans="2:8" x14ac:dyDescent="0.25">
      <c r="B70" s="780">
        <v>32160002</v>
      </c>
      <c r="C70" s="240" t="s">
        <v>118</v>
      </c>
      <c r="D70" s="241" t="s">
        <v>45</v>
      </c>
      <c r="F70" s="228" t="e">
        <f>(#REF!)</f>
        <v>#REF!</v>
      </c>
      <c r="G70" s="230">
        <v>0</v>
      </c>
      <c r="H70" s="253" t="e">
        <f>(F70)</f>
        <v>#REF!</v>
      </c>
    </row>
    <row r="71" spans="2:8" x14ac:dyDescent="0.25">
      <c r="B71" s="780"/>
      <c r="C71" s="240" t="s">
        <v>119</v>
      </c>
      <c r="D71" s="241" t="s">
        <v>45</v>
      </c>
      <c r="F71" s="228" t="e">
        <f>(#REF!)</f>
        <v>#REF!</v>
      </c>
      <c r="G71" s="230">
        <v>73.2</v>
      </c>
      <c r="H71" s="253" t="e">
        <f t="shared" ref="H71:H72" si="10">(G71+F71)/2</f>
        <v>#REF!</v>
      </c>
    </row>
    <row r="72" spans="2:8" x14ac:dyDescent="0.25">
      <c r="B72" s="780"/>
      <c r="C72" s="240" t="s">
        <v>14</v>
      </c>
      <c r="D72" s="241" t="s">
        <v>45</v>
      </c>
      <c r="F72" s="228" t="e">
        <f>(#REF!)</f>
        <v>#REF!</v>
      </c>
      <c r="G72" s="230">
        <v>92</v>
      </c>
      <c r="H72" s="253" t="e">
        <f t="shared" si="10"/>
        <v>#REF!</v>
      </c>
    </row>
    <row r="73" spans="2:8" x14ac:dyDescent="0.25">
      <c r="B73" s="779"/>
      <c r="C73" s="779"/>
      <c r="D73" s="779"/>
      <c r="F73" s="228"/>
      <c r="G73" s="230"/>
      <c r="H73" s="253"/>
    </row>
    <row r="74" spans="2:8" x14ac:dyDescent="0.25">
      <c r="B74" s="244">
        <v>321200161</v>
      </c>
      <c r="C74" s="77" t="s">
        <v>105</v>
      </c>
      <c r="D74" s="242" t="s">
        <v>62</v>
      </c>
      <c r="F74" s="228" t="e">
        <f>(#REF!)</f>
        <v>#REF!</v>
      </c>
      <c r="G74" s="230">
        <v>172.33</v>
      </c>
      <c r="H74" s="253">
        <f>(G74)</f>
        <v>172.33</v>
      </c>
    </row>
    <row r="75" spans="2:8" x14ac:dyDescent="0.25">
      <c r="B75" s="244">
        <v>321200172</v>
      </c>
      <c r="C75" s="77" t="s">
        <v>106</v>
      </c>
      <c r="D75" s="242" t="s">
        <v>62</v>
      </c>
      <c r="F75" s="228" t="e">
        <f>(#REF!)</f>
        <v>#REF!</v>
      </c>
      <c r="G75" s="230">
        <v>0</v>
      </c>
      <c r="H75" s="253">
        <v>0</v>
      </c>
    </row>
    <row r="76" spans="2:8" x14ac:dyDescent="0.25">
      <c r="B76" s="779"/>
      <c r="C76" s="779"/>
      <c r="D76" s="779"/>
      <c r="F76" s="228"/>
      <c r="G76" s="230"/>
      <c r="H76" s="253"/>
    </row>
    <row r="77" spans="2:8" x14ac:dyDescent="0.25">
      <c r="B77" s="244">
        <v>321200192</v>
      </c>
      <c r="C77" s="77" t="s">
        <v>107</v>
      </c>
      <c r="D77" s="242" t="s">
        <v>45</v>
      </c>
      <c r="F77" s="228" t="e">
        <f>(#REF!)</f>
        <v>#REF!</v>
      </c>
      <c r="G77" s="230">
        <v>0</v>
      </c>
      <c r="H77" s="253" t="e">
        <f>(F77)</f>
        <v>#REF!</v>
      </c>
    </row>
    <row r="78" spans="2:8" x14ac:dyDescent="0.25">
      <c r="B78" s="779" t="s">
        <v>253</v>
      </c>
      <c r="C78" s="779"/>
      <c r="D78" s="779"/>
      <c r="F78" s="228"/>
      <c r="G78" s="230"/>
      <c r="H78" s="253"/>
    </row>
    <row r="79" spans="2:8" x14ac:dyDescent="0.25">
      <c r="B79" s="780">
        <v>32020003</v>
      </c>
      <c r="C79" s="240" t="s">
        <v>55</v>
      </c>
      <c r="D79" s="241" t="s">
        <v>54</v>
      </c>
      <c r="F79" s="228" t="e">
        <f>(#REF!)</f>
        <v>#REF!</v>
      </c>
      <c r="G79" s="230">
        <v>1721.66</v>
      </c>
      <c r="H79" s="253" t="e">
        <f t="shared" ref="H79" si="11">(G79+F79)/2</f>
        <v>#REF!</v>
      </c>
    </row>
    <row r="80" spans="2:8" x14ac:dyDescent="0.25">
      <c r="B80" s="780"/>
      <c r="C80" s="240" t="s">
        <v>9</v>
      </c>
      <c r="D80" s="241" t="s">
        <v>56</v>
      </c>
      <c r="F80" s="228" t="e">
        <f>(#REF!)</f>
        <v>#REF!</v>
      </c>
      <c r="G80" s="230">
        <v>0</v>
      </c>
      <c r="H80" s="253" t="e">
        <f>(F80)</f>
        <v>#REF!</v>
      </c>
    </row>
    <row r="81" spans="2:8" x14ac:dyDescent="0.25">
      <c r="B81" s="244">
        <v>320200024</v>
      </c>
      <c r="C81" s="77" t="s">
        <v>53</v>
      </c>
      <c r="D81" s="242" t="s">
        <v>54</v>
      </c>
      <c r="F81" s="228" t="e">
        <f>(#REF!)</f>
        <v>#REF!</v>
      </c>
      <c r="G81" s="230">
        <v>0</v>
      </c>
      <c r="H81" s="253"/>
    </row>
    <row r="82" spans="2:8" x14ac:dyDescent="0.25">
      <c r="B82" s="779"/>
      <c r="C82" s="779"/>
      <c r="D82" s="779"/>
      <c r="F82" s="228"/>
      <c r="G82" s="230"/>
      <c r="H82" s="253"/>
    </row>
    <row r="83" spans="2:8" x14ac:dyDescent="0.25">
      <c r="B83" s="243">
        <v>320500026</v>
      </c>
      <c r="C83" s="240" t="s">
        <v>19</v>
      </c>
      <c r="D83" s="241" t="s">
        <v>65</v>
      </c>
      <c r="F83" s="228" t="e">
        <f>(#REF!)</f>
        <v>#REF!</v>
      </c>
      <c r="G83" s="230">
        <v>181</v>
      </c>
      <c r="H83" s="253" t="e">
        <f t="shared" ref="H83" si="12">(G83+F83)/2</f>
        <v>#REF!</v>
      </c>
    </row>
    <row r="84" spans="2:8" x14ac:dyDescent="0.25">
      <c r="B84" s="779" t="s">
        <v>274</v>
      </c>
      <c r="C84" s="779"/>
      <c r="D84" s="779"/>
      <c r="F84" s="228"/>
      <c r="G84" s="230"/>
      <c r="H84" s="253"/>
    </row>
    <row r="85" spans="2:8" x14ac:dyDescent="0.25">
      <c r="B85" s="232">
        <v>320100112</v>
      </c>
      <c r="C85" s="46" t="s">
        <v>262</v>
      </c>
      <c r="D85" s="233" t="s">
        <v>49</v>
      </c>
      <c r="F85" s="228" t="e">
        <f>(#REF!)</f>
        <v>#REF!</v>
      </c>
      <c r="G85" s="230">
        <v>374.5</v>
      </c>
      <c r="H85" s="253">
        <f>(G85)</f>
        <v>374.5</v>
      </c>
    </row>
    <row r="86" spans="2:8" x14ac:dyDescent="0.25">
      <c r="B86" s="232">
        <v>320100123</v>
      </c>
      <c r="C86" s="46" t="s">
        <v>263</v>
      </c>
      <c r="D86" s="233" t="s">
        <v>50</v>
      </c>
      <c r="F86" s="228" t="e">
        <f>(#REF!)</f>
        <v>#REF!</v>
      </c>
      <c r="G86" s="230">
        <v>36</v>
      </c>
      <c r="H86" s="253" t="e">
        <f t="shared" ref="H86" si="13">(G86+F86)/2</f>
        <v>#REF!</v>
      </c>
    </row>
    <row r="87" spans="2:8" x14ac:dyDescent="0.25">
      <c r="B87" s="232">
        <v>3201001710</v>
      </c>
      <c r="C87" s="46" t="s">
        <v>264</v>
      </c>
      <c r="D87" s="233" t="s">
        <v>49</v>
      </c>
      <c r="F87" s="228" t="e">
        <f>(#REF!)</f>
        <v>#REF!</v>
      </c>
      <c r="G87" s="230">
        <v>0</v>
      </c>
      <c r="H87" s="253" t="e">
        <f>(F87)</f>
        <v>#REF!</v>
      </c>
    </row>
    <row r="88" spans="2:8" x14ac:dyDescent="0.25">
      <c r="B88" s="779" t="s">
        <v>247</v>
      </c>
      <c r="C88" s="779"/>
      <c r="D88" s="779"/>
      <c r="F88" s="228"/>
      <c r="G88" s="230"/>
      <c r="H88" s="253"/>
    </row>
    <row r="89" spans="2:8" x14ac:dyDescent="0.25">
      <c r="B89" s="780">
        <v>32070006</v>
      </c>
      <c r="C89" s="240" t="s">
        <v>75</v>
      </c>
      <c r="D89" s="241" t="s">
        <v>62</v>
      </c>
      <c r="F89" s="228" t="e">
        <f>(#REF!)</f>
        <v>#REF!</v>
      </c>
      <c r="G89" s="230">
        <v>43.98</v>
      </c>
      <c r="H89" s="253" t="e">
        <f t="shared" ref="H89:H92" si="14">(G89+F89)/2</f>
        <v>#REF!</v>
      </c>
    </row>
    <row r="90" spans="2:8" x14ac:dyDescent="0.25">
      <c r="B90" s="780"/>
      <c r="C90" s="240" t="s">
        <v>74</v>
      </c>
      <c r="D90" s="241" t="s">
        <v>45</v>
      </c>
      <c r="F90" s="228" t="e">
        <f>(#REF!)</f>
        <v>#REF!</v>
      </c>
      <c r="G90" s="230">
        <v>21.06</v>
      </c>
      <c r="H90" s="253" t="e">
        <f t="shared" si="14"/>
        <v>#REF!</v>
      </c>
    </row>
    <row r="91" spans="2:8" x14ac:dyDescent="0.25">
      <c r="B91" s="780"/>
      <c r="C91" s="240" t="s">
        <v>73</v>
      </c>
      <c r="D91" s="241" t="s">
        <v>45</v>
      </c>
      <c r="F91" s="228" t="e">
        <f>(#REF!)</f>
        <v>#REF!</v>
      </c>
      <c r="G91" s="230">
        <v>62</v>
      </c>
      <c r="H91" s="253">
        <f>(G91)</f>
        <v>62</v>
      </c>
    </row>
    <row r="92" spans="2:8" x14ac:dyDescent="0.25">
      <c r="B92" s="780"/>
      <c r="C92" s="240" t="s">
        <v>72</v>
      </c>
      <c r="D92" s="241" t="s">
        <v>62</v>
      </c>
      <c r="F92" s="228" t="e">
        <f>(#REF!)</f>
        <v>#REF!</v>
      </c>
      <c r="G92" s="230">
        <v>21.54</v>
      </c>
      <c r="H92" s="253" t="e">
        <f t="shared" si="14"/>
        <v>#REF!</v>
      </c>
    </row>
    <row r="93" spans="2:8" x14ac:dyDescent="0.25">
      <c r="B93" s="780"/>
      <c r="C93" s="77" t="s">
        <v>71</v>
      </c>
      <c r="D93" s="242" t="s">
        <v>45</v>
      </c>
      <c r="F93" s="228">
        <v>0</v>
      </c>
      <c r="G93" s="230">
        <v>0</v>
      </c>
      <c r="H93" s="253">
        <v>0</v>
      </c>
    </row>
    <row r="94" spans="2:8" x14ac:dyDescent="0.25">
      <c r="B94" s="248"/>
      <c r="C94" s="248"/>
      <c r="D94" s="248"/>
      <c r="F94" s="228"/>
      <c r="G94" s="230"/>
      <c r="H94" s="253"/>
    </row>
    <row r="95" spans="2:8" x14ac:dyDescent="0.25">
      <c r="B95" s="243">
        <v>321600081</v>
      </c>
      <c r="C95" s="77" t="s">
        <v>120</v>
      </c>
      <c r="D95" s="242" t="s">
        <v>45</v>
      </c>
      <c r="F95" s="228" t="e">
        <f>(#REF!)</f>
        <v>#REF!</v>
      </c>
      <c r="G95" s="230">
        <v>0</v>
      </c>
      <c r="H95" s="253" t="e">
        <f>(F95)</f>
        <v>#REF!</v>
      </c>
    </row>
    <row r="96" spans="2:8" x14ac:dyDescent="0.25">
      <c r="B96" s="779" t="s">
        <v>252</v>
      </c>
      <c r="C96" s="779"/>
      <c r="D96" s="779"/>
      <c r="F96" s="228"/>
      <c r="G96" s="230"/>
      <c r="H96" s="253"/>
    </row>
    <row r="97" spans="2:8" x14ac:dyDescent="0.25">
      <c r="B97" s="249">
        <v>32030001</v>
      </c>
      <c r="C97" s="240" t="s">
        <v>10</v>
      </c>
      <c r="D97" s="241" t="s">
        <v>45</v>
      </c>
      <c r="F97" s="228" t="e">
        <f>(#REF!)</f>
        <v>#REF!</v>
      </c>
      <c r="G97" s="230">
        <v>4.8</v>
      </c>
      <c r="H97" s="253" t="e">
        <f>(G97+F97)/2</f>
        <v>#REF!</v>
      </c>
    </row>
    <row r="98" spans="2:8" x14ac:dyDescent="0.25">
      <c r="B98" s="779"/>
      <c r="C98" s="779"/>
      <c r="D98" s="779"/>
      <c r="F98" s="228"/>
      <c r="G98" s="230"/>
      <c r="H98" s="253"/>
    </row>
    <row r="99" spans="2:8" x14ac:dyDescent="0.25">
      <c r="B99" s="244">
        <v>321500154</v>
      </c>
      <c r="C99" s="77" t="s">
        <v>293</v>
      </c>
      <c r="D99" s="242" t="s">
        <v>62</v>
      </c>
      <c r="F99" s="228" t="e">
        <f>(#REF!)</f>
        <v>#REF!</v>
      </c>
      <c r="G99" s="230">
        <v>0</v>
      </c>
      <c r="H99" s="253">
        <v>0</v>
      </c>
    </row>
    <row r="100" spans="2:8" x14ac:dyDescent="0.25">
      <c r="B100" s="779" t="s">
        <v>275</v>
      </c>
      <c r="C100" s="779"/>
      <c r="D100" s="779"/>
      <c r="F100" s="228"/>
      <c r="G100" s="230"/>
      <c r="H100" s="253"/>
    </row>
    <row r="101" spans="2:8" x14ac:dyDescent="0.25">
      <c r="B101" s="783">
        <v>32070007</v>
      </c>
      <c r="C101" s="46" t="s">
        <v>77</v>
      </c>
      <c r="D101" s="233" t="s">
        <v>45</v>
      </c>
      <c r="F101" s="228" t="e">
        <f>(#REF!)</f>
        <v>#REF!</v>
      </c>
      <c r="G101" s="230">
        <v>4.25</v>
      </c>
      <c r="H101" s="253" t="e">
        <f t="shared" ref="H101:H105" si="15">(G101+F101)/2</f>
        <v>#REF!</v>
      </c>
    </row>
    <row r="102" spans="2:8" x14ac:dyDescent="0.25">
      <c r="B102" s="783"/>
      <c r="C102" s="46" t="s">
        <v>78</v>
      </c>
      <c r="D102" s="233" t="s">
        <v>45</v>
      </c>
      <c r="F102" s="228" t="e">
        <f>(#REF!)</f>
        <v>#REF!</v>
      </c>
      <c r="G102" s="230">
        <v>5.94</v>
      </c>
      <c r="H102" s="253" t="e">
        <f t="shared" si="15"/>
        <v>#REF!</v>
      </c>
    </row>
    <row r="103" spans="2:8" x14ac:dyDescent="0.25">
      <c r="B103" s="783"/>
      <c r="C103" s="46" t="s">
        <v>79</v>
      </c>
      <c r="D103" s="233" t="s">
        <v>45</v>
      </c>
      <c r="F103" s="228" t="e">
        <f>(#REF!)</f>
        <v>#REF!</v>
      </c>
      <c r="G103" s="230">
        <v>9.94</v>
      </c>
      <c r="H103" s="253" t="e">
        <f t="shared" si="15"/>
        <v>#REF!</v>
      </c>
    </row>
    <row r="104" spans="2:8" x14ac:dyDescent="0.25">
      <c r="B104" s="783"/>
      <c r="C104" s="234" t="s">
        <v>80</v>
      </c>
      <c r="D104" s="235" t="s">
        <v>45</v>
      </c>
      <c r="F104" s="228" t="e">
        <f>(#REF!)</f>
        <v>#REF!</v>
      </c>
      <c r="G104" s="230">
        <v>27.5</v>
      </c>
      <c r="H104" s="253" t="e">
        <f t="shared" si="15"/>
        <v>#REF!</v>
      </c>
    </row>
    <row r="105" spans="2:8" x14ac:dyDescent="0.25">
      <c r="B105" s="783"/>
      <c r="C105" s="46" t="s">
        <v>76</v>
      </c>
      <c r="D105" s="233" t="s">
        <v>45</v>
      </c>
      <c r="F105" s="228" t="e">
        <f>(#REF!)</f>
        <v>#REF!</v>
      </c>
      <c r="G105" s="230">
        <v>3.95</v>
      </c>
      <c r="H105" s="253" t="e">
        <f t="shared" si="15"/>
        <v>#REF!</v>
      </c>
    </row>
    <row r="106" spans="2:8" x14ac:dyDescent="0.25">
      <c r="B106" s="779"/>
      <c r="C106" s="779"/>
      <c r="D106" s="779"/>
      <c r="F106" s="228"/>
      <c r="G106" s="230"/>
      <c r="H106" s="253"/>
    </row>
    <row r="107" spans="2:8" x14ac:dyDescent="0.25">
      <c r="B107" s="243">
        <v>321100011</v>
      </c>
      <c r="C107" s="240" t="s">
        <v>25</v>
      </c>
      <c r="D107" s="241" t="s">
        <v>45</v>
      </c>
      <c r="F107" s="228" t="e">
        <f>(#REF!)</f>
        <v>#REF!</v>
      </c>
      <c r="G107" s="230">
        <v>22.54</v>
      </c>
      <c r="H107" s="253" t="e">
        <f t="shared" ref="H107" si="16">(G107+F107)/2</f>
        <v>#REF!</v>
      </c>
    </row>
    <row r="108" spans="2:8" x14ac:dyDescent="0.25">
      <c r="B108" s="779" t="s">
        <v>291</v>
      </c>
      <c r="C108" s="779"/>
      <c r="D108" s="779"/>
      <c r="F108" s="228"/>
      <c r="G108" s="230"/>
      <c r="H108" s="253"/>
    </row>
    <row r="109" spans="2:8" x14ac:dyDescent="0.25">
      <c r="B109" s="780">
        <v>32090019</v>
      </c>
      <c r="C109" s="77" t="s">
        <v>92</v>
      </c>
      <c r="D109" s="242" t="s">
        <v>62</v>
      </c>
      <c r="F109" s="228" t="e">
        <f>(#REF!)</f>
        <v>#REF!</v>
      </c>
      <c r="G109" s="230">
        <v>386.5</v>
      </c>
      <c r="H109" s="253" t="e">
        <f t="shared" ref="H109:H114" si="17">(G109+F109)/2</f>
        <v>#REF!</v>
      </c>
    </row>
    <row r="110" spans="2:8" x14ac:dyDescent="0.25">
      <c r="B110" s="780"/>
      <c r="C110" s="240" t="s">
        <v>90</v>
      </c>
      <c r="D110" s="241" t="s">
        <v>62</v>
      </c>
      <c r="F110" s="228" t="e">
        <f>(#REF!)</f>
        <v>#REF!</v>
      </c>
      <c r="G110" s="230">
        <v>386.5</v>
      </c>
      <c r="H110" s="253" t="e">
        <f t="shared" si="17"/>
        <v>#REF!</v>
      </c>
    </row>
    <row r="111" spans="2:8" x14ac:dyDescent="0.25">
      <c r="B111" s="780"/>
      <c r="C111" s="240" t="s">
        <v>91</v>
      </c>
      <c r="D111" s="241" t="s">
        <v>62</v>
      </c>
      <c r="F111" s="228" t="e">
        <f>(#REF!)</f>
        <v>#REF!</v>
      </c>
      <c r="G111" s="230">
        <v>386.5</v>
      </c>
      <c r="H111" s="253" t="e">
        <f t="shared" si="17"/>
        <v>#REF!</v>
      </c>
    </row>
    <row r="112" spans="2:8" x14ac:dyDescent="0.25">
      <c r="B112" s="780">
        <v>32120004</v>
      </c>
      <c r="C112" s="240" t="s">
        <v>28</v>
      </c>
      <c r="D112" s="241" t="s">
        <v>45</v>
      </c>
      <c r="F112" s="228" t="e">
        <f>(#REF!)</f>
        <v>#REF!</v>
      </c>
      <c r="G112" s="230">
        <v>64.8</v>
      </c>
      <c r="H112" s="253" t="e">
        <f t="shared" si="17"/>
        <v>#REF!</v>
      </c>
    </row>
    <row r="113" spans="2:8" x14ac:dyDescent="0.25">
      <c r="B113" s="780"/>
      <c r="C113" s="240" t="s">
        <v>98</v>
      </c>
      <c r="D113" s="241" t="s">
        <v>45</v>
      </c>
      <c r="F113" s="228" t="e">
        <f>(#REF!)</f>
        <v>#REF!</v>
      </c>
      <c r="G113" s="230">
        <v>64.8</v>
      </c>
      <c r="H113" s="253" t="e">
        <f t="shared" si="17"/>
        <v>#REF!</v>
      </c>
    </row>
    <row r="114" spans="2:8" x14ac:dyDescent="0.25">
      <c r="B114" s="781">
        <v>32120005</v>
      </c>
      <c r="C114" s="77" t="s">
        <v>102</v>
      </c>
      <c r="D114" s="242" t="s">
        <v>45</v>
      </c>
      <c r="F114" s="228" t="e">
        <f>(#REF!)</f>
        <v>#REF!</v>
      </c>
      <c r="G114" s="230">
        <v>134.4</v>
      </c>
      <c r="H114" s="253" t="e">
        <f t="shared" si="17"/>
        <v>#REF!</v>
      </c>
    </row>
    <row r="115" spans="2:8" x14ac:dyDescent="0.25">
      <c r="B115" s="781"/>
      <c r="C115" s="77" t="s">
        <v>99</v>
      </c>
      <c r="D115" s="242" t="s">
        <v>100</v>
      </c>
      <c r="F115" s="228" t="e">
        <f>(#REF!)</f>
        <v>#REF!</v>
      </c>
      <c r="G115" s="230">
        <v>0</v>
      </c>
      <c r="H115" s="253" t="e">
        <f>(F115)</f>
        <v>#REF!</v>
      </c>
    </row>
    <row r="116" spans="2:8" x14ac:dyDescent="0.25">
      <c r="B116" s="781"/>
      <c r="C116" s="77" t="s">
        <v>101</v>
      </c>
      <c r="D116" s="242" t="s">
        <v>100</v>
      </c>
      <c r="F116" s="228" t="e">
        <f>(#REF!)</f>
        <v>#REF!</v>
      </c>
      <c r="G116" s="230">
        <v>0</v>
      </c>
      <c r="H116" s="253" t="e">
        <f>(F116)</f>
        <v>#REF!</v>
      </c>
    </row>
    <row r="117" spans="2:8" x14ac:dyDescent="0.25">
      <c r="B117" s="781"/>
      <c r="C117" s="77" t="s">
        <v>26</v>
      </c>
      <c r="D117" s="242" t="s">
        <v>45</v>
      </c>
      <c r="F117" s="228" t="e">
        <f>(#REF!)</f>
        <v>#REF!</v>
      </c>
      <c r="G117" s="230">
        <v>132.49</v>
      </c>
      <c r="H117" s="253" t="e">
        <f t="shared" ref="H117" si="18">(G117+F117)/2</f>
        <v>#REF!</v>
      </c>
    </row>
    <row r="118" spans="2:8" x14ac:dyDescent="0.25">
      <c r="B118" s="779" t="s">
        <v>248</v>
      </c>
      <c r="C118" s="779"/>
      <c r="D118" s="779"/>
      <c r="F118" s="228"/>
      <c r="G118" s="230"/>
      <c r="H118" s="253"/>
    </row>
    <row r="119" spans="2:8" x14ac:dyDescent="0.25">
      <c r="B119" s="244">
        <v>32120011</v>
      </c>
      <c r="C119" s="77" t="s">
        <v>276</v>
      </c>
      <c r="D119" s="242" t="s">
        <v>45</v>
      </c>
      <c r="F119" s="228" t="e">
        <f>(#REF!)</f>
        <v>#REF!</v>
      </c>
      <c r="G119" s="230">
        <v>156.79</v>
      </c>
      <c r="H119" s="253">
        <f>(G119)</f>
        <v>156.79</v>
      </c>
    </row>
    <row r="120" spans="2:8" x14ac:dyDescent="0.25">
      <c r="B120" s="779" t="s">
        <v>251</v>
      </c>
      <c r="C120" s="779"/>
      <c r="D120" s="779"/>
      <c r="F120" s="228"/>
      <c r="G120" s="230"/>
      <c r="H120" s="253"/>
    </row>
    <row r="121" spans="2:8" x14ac:dyDescent="0.25">
      <c r="B121" s="780">
        <v>32080004</v>
      </c>
      <c r="C121" s="240" t="s">
        <v>82</v>
      </c>
      <c r="D121" s="241" t="s">
        <v>45</v>
      </c>
      <c r="F121" s="228" t="e">
        <f>(#REF!)</f>
        <v>#REF!</v>
      </c>
      <c r="G121" s="230">
        <v>100.79</v>
      </c>
      <c r="H121" s="253" t="e">
        <f t="shared" ref="H121:H123" si="19">(G121+F121)/2</f>
        <v>#REF!</v>
      </c>
    </row>
    <row r="122" spans="2:8" x14ac:dyDescent="0.25">
      <c r="B122" s="780"/>
      <c r="C122" s="240" t="s">
        <v>83</v>
      </c>
      <c r="D122" s="241" t="s">
        <v>45</v>
      </c>
      <c r="F122" s="228" t="e">
        <f>(#REF!)</f>
        <v>#REF!</v>
      </c>
      <c r="G122" s="230">
        <v>100.79</v>
      </c>
      <c r="H122" s="253" t="e">
        <f t="shared" si="19"/>
        <v>#REF!</v>
      </c>
    </row>
    <row r="123" spans="2:8" x14ac:dyDescent="0.25">
      <c r="B123" s="780"/>
      <c r="C123" s="240" t="s">
        <v>8</v>
      </c>
      <c r="D123" s="241" t="s">
        <v>45</v>
      </c>
      <c r="F123" s="228" t="e">
        <f>(#REF!)</f>
        <v>#REF!</v>
      </c>
      <c r="G123" s="230">
        <v>90.72</v>
      </c>
      <c r="H123" s="253" t="e">
        <f t="shared" si="19"/>
        <v>#REF!</v>
      </c>
    </row>
    <row r="124" spans="2:8" x14ac:dyDescent="0.25">
      <c r="B124" s="244">
        <v>320800057</v>
      </c>
      <c r="C124" s="77" t="s">
        <v>266</v>
      </c>
      <c r="D124" s="242" t="s">
        <v>45</v>
      </c>
      <c r="F124" s="228" t="e">
        <f>(#REF!)</f>
        <v>#REF!</v>
      </c>
      <c r="G124" s="230">
        <v>167.2</v>
      </c>
      <c r="H124" s="253" t="e">
        <f t="shared" ref="H124" si="20">(G124+F124)/2</f>
        <v>#REF!</v>
      </c>
    </row>
    <row r="125" spans="2:8" x14ac:dyDescent="0.25">
      <c r="B125" s="779"/>
      <c r="C125" s="779"/>
      <c r="D125" s="779"/>
      <c r="F125" s="228"/>
      <c r="G125" s="230"/>
      <c r="H125" s="253"/>
    </row>
    <row r="126" spans="2:8" x14ac:dyDescent="0.25">
      <c r="B126" s="243">
        <v>320900102</v>
      </c>
      <c r="C126" s="240" t="s">
        <v>87</v>
      </c>
      <c r="D126" s="241" t="s">
        <v>62</v>
      </c>
      <c r="F126" s="228" t="e">
        <f>(#REF!)</f>
        <v>#REF!</v>
      </c>
      <c r="G126" s="230">
        <v>134.9</v>
      </c>
      <c r="H126" s="253" t="e">
        <f t="shared" ref="H126" si="21">(G126+F126)/2</f>
        <v>#REF!</v>
      </c>
    </row>
    <row r="127" spans="2:8" x14ac:dyDescent="0.25">
      <c r="B127" s="779" t="s">
        <v>277</v>
      </c>
      <c r="C127" s="779"/>
      <c r="D127" s="779"/>
      <c r="F127" s="228"/>
      <c r="G127" s="230"/>
      <c r="H127" s="253"/>
    </row>
    <row r="128" spans="2:8" x14ac:dyDescent="0.25">
      <c r="B128" s="243">
        <v>320900135</v>
      </c>
      <c r="C128" s="240" t="s">
        <v>89</v>
      </c>
      <c r="D128" s="241" t="s">
        <v>45</v>
      </c>
      <c r="F128" s="228" t="e">
        <f>(#REF!)</f>
        <v>#REF!</v>
      </c>
      <c r="G128" s="22">
        <v>0</v>
      </c>
      <c r="H128" s="253" t="e">
        <f>(F128)</f>
        <v>#REF!</v>
      </c>
    </row>
    <row r="129" spans="2:8" x14ac:dyDescent="0.25">
      <c r="B129" s="243">
        <v>320900131</v>
      </c>
      <c r="C129" s="240" t="s">
        <v>88</v>
      </c>
      <c r="D129" s="241" t="s">
        <v>45</v>
      </c>
      <c r="F129" s="228" t="e">
        <f>(#REF!)</f>
        <v>#REF!</v>
      </c>
      <c r="G129" s="230">
        <v>29.39</v>
      </c>
      <c r="H129" s="253" t="e">
        <f t="shared" ref="H129" si="22">(G129+F129)/2</f>
        <v>#REF!</v>
      </c>
    </row>
    <row r="130" spans="2:8" x14ac:dyDescent="0.25">
      <c r="B130" s="779"/>
      <c r="C130" s="779"/>
      <c r="D130" s="779"/>
      <c r="F130" s="228"/>
      <c r="G130" s="230"/>
      <c r="H130" s="253"/>
    </row>
    <row r="131" spans="2:8" x14ac:dyDescent="0.25">
      <c r="B131" s="243">
        <v>320900212</v>
      </c>
      <c r="C131" s="240" t="s">
        <v>24</v>
      </c>
      <c r="D131" s="241" t="s">
        <v>62</v>
      </c>
      <c r="F131" s="228" t="e">
        <f>(#REF!)</f>
        <v>#REF!</v>
      </c>
      <c r="G131" s="230">
        <v>13.88</v>
      </c>
      <c r="H131" s="253" t="e">
        <f t="shared" ref="H131" si="23">(G131+F131)/2</f>
        <v>#REF!</v>
      </c>
    </row>
    <row r="132" spans="2:8" x14ac:dyDescent="0.25">
      <c r="B132" s="779"/>
      <c r="C132" s="779"/>
      <c r="D132" s="779"/>
      <c r="F132" s="228"/>
      <c r="G132" s="230"/>
      <c r="H132" s="253"/>
    </row>
    <row r="133" spans="2:8" x14ac:dyDescent="0.25">
      <c r="B133" s="243">
        <v>320500044</v>
      </c>
      <c r="C133" s="240" t="s">
        <v>21</v>
      </c>
      <c r="D133" s="241" t="s">
        <v>58</v>
      </c>
      <c r="F133" s="228" t="e">
        <f>(#REF!)</f>
        <v>#REF!</v>
      </c>
      <c r="G133" s="230">
        <v>108.54</v>
      </c>
      <c r="H133" s="253" t="e">
        <f t="shared" ref="H133:H134" si="24">(G133+F133)/2</f>
        <v>#REF!</v>
      </c>
    </row>
    <row r="134" spans="2:8" x14ac:dyDescent="0.25">
      <c r="B134" s="243">
        <v>320500031</v>
      </c>
      <c r="C134" s="240" t="s">
        <v>66</v>
      </c>
      <c r="D134" s="241" t="s">
        <v>58</v>
      </c>
      <c r="F134" s="228" t="e">
        <f>(#REF!)</f>
        <v>#REF!</v>
      </c>
      <c r="G134" s="230">
        <v>2145</v>
      </c>
      <c r="H134" s="253" t="e">
        <f t="shared" si="24"/>
        <v>#REF!</v>
      </c>
    </row>
    <row r="135" spans="2:8" x14ac:dyDescent="0.25">
      <c r="B135" s="244">
        <v>321500066</v>
      </c>
      <c r="C135" s="77" t="s">
        <v>284</v>
      </c>
      <c r="D135" s="242" t="s">
        <v>117</v>
      </c>
      <c r="F135" s="228" t="e">
        <f>(#REF!)</f>
        <v>#REF!</v>
      </c>
      <c r="G135" s="230">
        <v>0</v>
      </c>
      <c r="H135" s="253" t="e">
        <f>(F135)</f>
        <v>#REF!</v>
      </c>
    </row>
    <row r="136" spans="2:8" x14ac:dyDescent="0.25">
      <c r="B136" s="779"/>
      <c r="C136" s="779"/>
      <c r="D136" s="779"/>
      <c r="F136" s="228"/>
      <c r="G136" s="230"/>
      <c r="H136" s="253"/>
    </row>
    <row r="137" spans="2:8" x14ac:dyDescent="0.25">
      <c r="B137" s="243">
        <v>321600051</v>
      </c>
      <c r="C137" s="77" t="s">
        <v>33</v>
      </c>
      <c r="D137" s="242" t="s">
        <v>45</v>
      </c>
      <c r="F137" s="228" t="e">
        <f>(#REF!)</f>
        <v>#REF!</v>
      </c>
      <c r="G137" s="230">
        <v>0</v>
      </c>
      <c r="H137" s="253" t="e">
        <f>(F137)</f>
        <v>#REF!</v>
      </c>
    </row>
    <row r="138" spans="2:8" x14ac:dyDescent="0.25">
      <c r="B138" s="243">
        <v>320900041</v>
      </c>
      <c r="C138" s="240" t="s">
        <v>85</v>
      </c>
      <c r="D138" s="241" t="s">
        <v>62</v>
      </c>
      <c r="F138" s="228" t="e">
        <f>(#REF!)</f>
        <v>#REF!</v>
      </c>
      <c r="G138" s="230">
        <v>15.91</v>
      </c>
      <c r="H138" s="253" t="e">
        <f t="shared" ref="H138" si="25">(G138+F138)/2</f>
        <v>#REF!</v>
      </c>
    </row>
    <row r="139" spans="2:8" x14ac:dyDescent="0.25">
      <c r="B139" s="779"/>
      <c r="C139" s="779"/>
      <c r="D139" s="779"/>
      <c r="F139" s="228"/>
      <c r="G139" s="230"/>
      <c r="H139" s="253"/>
    </row>
    <row r="140" spans="2:8" x14ac:dyDescent="0.25">
      <c r="B140" s="249">
        <v>321500062</v>
      </c>
      <c r="C140" s="234" t="s">
        <v>265</v>
      </c>
      <c r="D140" s="235" t="s">
        <v>58</v>
      </c>
      <c r="F140" s="228" t="e">
        <f>(#REF!)</f>
        <v>#REF!</v>
      </c>
      <c r="G140" s="230">
        <v>0</v>
      </c>
      <c r="H140" s="253" t="e">
        <f>(F140)</f>
        <v>#REF!</v>
      </c>
    </row>
    <row r="141" spans="2:8" x14ac:dyDescent="0.25">
      <c r="B141" s="779" t="s">
        <v>289</v>
      </c>
      <c r="C141" s="779"/>
      <c r="D141" s="779"/>
      <c r="F141" s="228"/>
      <c r="G141" s="230"/>
      <c r="H141" s="253"/>
    </row>
    <row r="142" spans="2:8" x14ac:dyDescent="0.25">
      <c r="B142" s="244">
        <v>3211000211</v>
      </c>
      <c r="C142" s="77" t="s">
        <v>95</v>
      </c>
      <c r="D142" s="242" t="s">
        <v>45</v>
      </c>
      <c r="F142" s="228" t="e">
        <f>(#REF!)</f>
        <v>#REF!</v>
      </c>
      <c r="G142" s="230">
        <v>0</v>
      </c>
      <c r="H142" s="253">
        <v>0</v>
      </c>
    </row>
    <row r="143" spans="2:8" x14ac:dyDescent="0.25">
      <c r="B143" s="244">
        <v>3211000212</v>
      </c>
      <c r="C143" s="77" t="s">
        <v>96</v>
      </c>
      <c r="D143" s="242" t="s">
        <v>62</v>
      </c>
      <c r="F143" s="228" t="e">
        <f>(#REF!)</f>
        <v>#REF!</v>
      </c>
      <c r="G143" s="230">
        <v>295</v>
      </c>
      <c r="H143" s="253">
        <f>(G143)</f>
        <v>295</v>
      </c>
    </row>
    <row r="144" spans="2:8" x14ac:dyDescent="0.25">
      <c r="B144" s="779" t="s">
        <v>249</v>
      </c>
      <c r="C144" s="779"/>
      <c r="D144" s="779"/>
      <c r="F144" s="228"/>
      <c r="G144" s="230"/>
      <c r="H144" s="253"/>
    </row>
    <row r="145" spans="2:8" x14ac:dyDescent="0.25">
      <c r="B145" s="781">
        <v>32130006</v>
      </c>
      <c r="C145" s="77" t="s">
        <v>267</v>
      </c>
      <c r="D145" s="242" t="s">
        <v>62</v>
      </c>
      <c r="F145" s="228" t="e">
        <f>(#REF!)</f>
        <v>#REF!</v>
      </c>
      <c r="G145" s="230">
        <v>53.2</v>
      </c>
      <c r="H145" s="253" t="e">
        <f t="shared" ref="H145" si="26">(G145+F145)/2</f>
        <v>#REF!</v>
      </c>
    </row>
    <row r="146" spans="2:8" x14ac:dyDescent="0.25">
      <c r="B146" s="781"/>
      <c r="C146" s="77" t="s">
        <v>103</v>
      </c>
      <c r="D146" s="242" t="s">
        <v>45</v>
      </c>
      <c r="F146" s="228"/>
      <c r="G146" s="230">
        <v>46.07</v>
      </c>
      <c r="H146" s="253">
        <f>(G146)</f>
        <v>46.07</v>
      </c>
    </row>
    <row r="147" spans="2:8" x14ac:dyDescent="0.25">
      <c r="B147" s="249">
        <v>322300033</v>
      </c>
      <c r="C147" s="234" t="s">
        <v>297</v>
      </c>
      <c r="D147" s="235" t="s">
        <v>62</v>
      </c>
      <c r="F147" s="228" t="e">
        <f>(#REF!)</f>
        <v>#REF!</v>
      </c>
      <c r="G147" s="230">
        <v>87</v>
      </c>
      <c r="H147" s="253" t="e">
        <f t="shared" ref="H147" si="27">(G147+F147)/2</f>
        <v>#REF!</v>
      </c>
    </row>
    <row r="148" spans="2:8" x14ac:dyDescent="0.25">
      <c r="B148" s="243">
        <v>322300054</v>
      </c>
      <c r="C148" s="240" t="s">
        <v>121</v>
      </c>
      <c r="D148" s="241" t="s">
        <v>45</v>
      </c>
      <c r="F148" s="228" t="e">
        <f>(#REF!)</f>
        <v>#REF!</v>
      </c>
      <c r="G148" s="230">
        <v>0</v>
      </c>
      <c r="H148" s="253" t="e">
        <f>(F148)</f>
        <v>#REF!</v>
      </c>
    </row>
    <row r="149" spans="2:8" x14ac:dyDescent="0.25">
      <c r="B149" s="779" t="s">
        <v>360</v>
      </c>
      <c r="C149" s="779"/>
      <c r="D149" s="779"/>
      <c r="F149" s="228"/>
      <c r="G149" s="230"/>
      <c r="H149" s="253"/>
    </row>
    <row r="150" spans="2:8" x14ac:dyDescent="0.25">
      <c r="B150" s="780">
        <v>32020006</v>
      </c>
      <c r="C150" s="240" t="s">
        <v>367</v>
      </c>
      <c r="D150" s="241" t="s">
        <v>58</v>
      </c>
      <c r="F150" s="228" t="e">
        <f>(#REF!)</f>
        <v>#REF!</v>
      </c>
      <c r="G150" s="230">
        <v>262.64</v>
      </c>
      <c r="H150" s="253" t="e">
        <f t="shared" ref="H150:H152" si="28">(G150+F150)/2</f>
        <v>#REF!</v>
      </c>
    </row>
    <row r="151" spans="2:8" x14ac:dyDescent="0.25">
      <c r="B151" s="780"/>
      <c r="C151" s="240" t="s">
        <v>2</v>
      </c>
      <c r="D151" s="241" t="s">
        <v>58</v>
      </c>
      <c r="F151" s="228" t="e">
        <f>(#REF!)</f>
        <v>#REF!</v>
      </c>
      <c r="G151" s="230">
        <v>88.4</v>
      </c>
      <c r="H151" s="253" t="e">
        <f t="shared" si="28"/>
        <v>#REF!</v>
      </c>
    </row>
    <row r="152" spans="2:8" x14ac:dyDescent="0.25">
      <c r="B152" s="780"/>
      <c r="C152" s="240" t="s">
        <v>60</v>
      </c>
      <c r="D152" s="241" t="s">
        <v>58</v>
      </c>
      <c r="F152" s="228" t="e">
        <f>(#REF!)</f>
        <v>#REF!</v>
      </c>
      <c r="G152" s="230">
        <v>107.5</v>
      </c>
      <c r="H152" s="253" t="e">
        <f t="shared" si="28"/>
        <v>#REF!</v>
      </c>
    </row>
    <row r="153" spans="2:8" x14ac:dyDescent="0.25">
      <c r="B153" s="782"/>
      <c r="C153" s="782"/>
      <c r="D153" s="782"/>
      <c r="F153" s="228"/>
      <c r="G153" s="230"/>
      <c r="H153" s="253"/>
    </row>
    <row r="154" spans="2:8" x14ac:dyDescent="0.25">
      <c r="B154" s="243">
        <v>320900052</v>
      </c>
      <c r="C154" s="240" t="s">
        <v>86</v>
      </c>
      <c r="D154" s="241" t="s">
        <v>45</v>
      </c>
      <c r="F154" s="228" t="e">
        <f>(#REF!)</f>
        <v>#REF!</v>
      </c>
      <c r="G154" s="230">
        <v>233.44</v>
      </c>
      <c r="H154" s="253">
        <f>(G154)</f>
        <v>233.44</v>
      </c>
    </row>
    <row r="155" spans="2:8" x14ac:dyDescent="0.25">
      <c r="B155" s="779"/>
      <c r="C155" s="779"/>
      <c r="D155" s="779"/>
      <c r="F155" s="228"/>
      <c r="G155" s="230"/>
      <c r="H155" s="253"/>
    </row>
    <row r="156" spans="2:8" x14ac:dyDescent="0.25">
      <c r="B156" s="232">
        <v>3212000815</v>
      </c>
      <c r="C156" s="46" t="s">
        <v>104</v>
      </c>
      <c r="D156" s="233" t="s">
        <v>45</v>
      </c>
      <c r="F156" s="228" t="e">
        <f>(#REF!)</f>
        <v>#REF!</v>
      </c>
      <c r="G156" s="230">
        <v>91.16</v>
      </c>
      <c r="H156" s="253" t="e">
        <f t="shared" ref="H156" si="29">(G156+F156)/2</f>
        <v>#REF!</v>
      </c>
    </row>
    <row r="157" spans="2:8" x14ac:dyDescent="0.25">
      <c r="B157" s="244">
        <v>321200332</v>
      </c>
      <c r="C157" s="77" t="s">
        <v>285</v>
      </c>
      <c r="D157" s="242"/>
      <c r="F157" s="228">
        <v>0</v>
      </c>
      <c r="G157" s="230">
        <v>0</v>
      </c>
      <c r="H157" s="253">
        <v>0</v>
      </c>
    </row>
    <row r="158" spans="2:8" x14ac:dyDescent="0.25">
      <c r="B158" s="779" t="s">
        <v>250</v>
      </c>
      <c r="C158" s="779"/>
      <c r="D158" s="779"/>
      <c r="F158" s="228"/>
      <c r="G158" s="230"/>
      <c r="H158" s="253"/>
    </row>
    <row r="159" spans="2:8" x14ac:dyDescent="0.25">
      <c r="B159" s="780">
        <v>32060005</v>
      </c>
      <c r="C159" s="240" t="s">
        <v>69</v>
      </c>
      <c r="D159" s="241" t="s">
        <v>68</v>
      </c>
      <c r="F159" s="228" t="e">
        <f>(#REF!)</f>
        <v>#REF!</v>
      </c>
      <c r="G159" s="230">
        <v>131.4</v>
      </c>
      <c r="H159" s="253" t="e">
        <f t="shared" ref="H159:H161" si="30">(G159+F159)/2</f>
        <v>#REF!</v>
      </c>
    </row>
    <row r="160" spans="2:8" x14ac:dyDescent="0.25">
      <c r="B160" s="780"/>
      <c r="C160" s="240" t="s">
        <v>23</v>
      </c>
      <c r="D160" s="241" t="s">
        <v>68</v>
      </c>
      <c r="F160" s="228" t="e">
        <f>(#REF!)</f>
        <v>#REF!</v>
      </c>
      <c r="G160" s="230">
        <v>179.5</v>
      </c>
      <c r="H160" s="253" t="e">
        <f t="shared" si="30"/>
        <v>#REF!</v>
      </c>
    </row>
    <row r="161" spans="2:8" x14ac:dyDescent="0.25">
      <c r="B161" s="780"/>
      <c r="C161" s="240" t="s">
        <v>70</v>
      </c>
      <c r="D161" s="241" t="s">
        <v>68</v>
      </c>
      <c r="F161" s="228" t="e">
        <f>(#REF!)</f>
        <v>#REF!</v>
      </c>
      <c r="G161" s="230">
        <v>233.4</v>
      </c>
      <c r="H161" s="253" t="e">
        <f t="shared" si="30"/>
        <v>#REF!</v>
      </c>
    </row>
    <row r="162" spans="2:8" x14ac:dyDescent="0.25">
      <c r="B162" s="780">
        <v>32020004</v>
      </c>
      <c r="C162" s="240" t="s">
        <v>57</v>
      </c>
      <c r="D162" s="241" t="s">
        <v>58</v>
      </c>
      <c r="F162" s="228" t="e">
        <f>(#REF!)</f>
        <v>#REF!</v>
      </c>
      <c r="G162" s="230">
        <v>0</v>
      </c>
      <c r="H162" s="253" t="e">
        <f>(F162)</f>
        <v>#REF!</v>
      </c>
    </row>
    <row r="163" spans="2:8" x14ac:dyDescent="0.25">
      <c r="B163" s="780"/>
      <c r="C163" s="240" t="s">
        <v>59</v>
      </c>
      <c r="D163" s="241" t="s">
        <v>58</v>
      </c>
      <c r="F163" s="228" t="e">
        <f>(#REF!)</f>
        <v>#REF!</v>
      </c>
      <c r="G163" s="230">
        <v>37.950000000000003</v>
      </c>
      <c r="H163" s="253" t="e">
        <f t="shared" ref="H163" si="31">(G163+F163)/2</f>
        <v>#REF!</v>
      </c>
    </row>
  </sheetData>
  <mergeCells count="69">
    <mergeCell ref="B25:B26"/>
    <mergeCell ref="B3:D3"/>
    <mergeCell ref="B4:D4"/>
    <mergeCell ref="B6:B12"/>
    <mergeCell ref="B13:D13"/>
    <mergeCell ref="B14:B15"/>
    <mergeCell ref="B16:D16"/>
    <mergeCell ref="B17:B18"/>
    <mergeCell ref="B19:D19"/>
    <mergeCell ref="B20:B21"/>
    <mergeCell ref="B22:B23"/>
    <mergeCell ref="B24:D24"/>
    <mergeCell ref="B51:B52"/>
    <mergeCell ref="B27:D27"/>
    <mergeCell ref="B29:D29"/>
    <mergeCell ref="B33:D33"/>
    <mergeCell ref="B34:B35"/>
    <mergeCell ref="B38:D38"/>
    <mergeCell ref="B40:D40"/>
    <mergeCell ref="B42:D42"/>
    <mergeCell ref="B44:D44"/>
    <mergeCell ref="B46:D46"/>
    <mergeCell ref="B48:D48"/>
    <mergeCell ref="B50:D50"/>
    <mergeCell ref="B78:D78"/>
    <mergeCell ref="B53:D53"/>
    <mergeCell ref="B55:D55"/>
    <mergeCell ref="B57:D57"/>
    <mergeCell ref="B59:D59"/>
    <mergeCell ref="B63:D63"/>
    <mergeCell ref="B65:D65"/>
    <mergeCell ref="B67:D67"/>
    <mergeCell ref="B69:D69"/>
    <mergeCell ref="B70:B72"/>
    <mergeCell ref="B73:D73"/>
    <mergeCell ref="B76:D76"/>
    <mergeCell ref="B109:B111"/>
    <mergeCell ref="B79:B80"/>
    <mergeCell ref="B82:D82"/>
    <mergeCell ref="B84:D84"/>
    <mergeCell ref="B88:D88"/>
    <mergeCell ref="B89:B93"/>
    <mergeCell ref="B96:D96"/>
    <mergeCell ref="B98:D98"/>
    <mergeCell ref="B100:D100"/>
    <mergeCell ref="B101:B105"/>
    <mergeCell ref="B106:D106"/>
    <mergeCell ref="B108:D108"/>
    <mergeCell ref="B141:D141"/>
    <mergeCell ref="B112:B113"/>
    <mergeCell ref="B114:B117"/>
    <mergeCell ref="B118:D118"/>
    <mergeCell ref="B120:D120"/>
    <mergeCell ref="B121:B123"/>
    <mergeCell ref="B125:D125"/>
    <mergeCell ref="B127:D127"/>
    <mergeCell ref="B130:D130"/>
    <mergeCell ref="B132:D132"/>
    <mergeCell ref="B136:D136"/>
    <mergeCell ref="B139:D139"/>
    <mergeCell ref="B158:D158"/>
    <mergeCell ref="B159:B161"/>
    <mergeCell ref="B162:B163"/>
    <mergeCell ref="B144:D144"/>
    <mergeCell ref="B145:B146"/>
    <mergeCell ref="B149:D149"/>
    <mergeCell ref="B150:B152"/>
    <mergeCell ref="B153:D153"/>
    <mergeCell ref="B155:D1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PRECIOS COMPR.AR MARZO</vt:lpstr>
      <vt:lpstr>PRECIO REFERENCIA Nov 2022</vt:lpstr>
      <vt:lpstr>Variacion Sept-Nov</vt:lpstr>
      <vt:lpstr>Grupo por codigo de insumos</vt:lpstr>
      <vt:lpstr>PRECIOS COMPR.AR MAYO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 MARINO</dc:creator>
  <cp:lastModifiedBy>Roberto Cabaña</cp:lastModifiedBy>
  <cp:lastPrinted>2022-08-05T15:32:24Z</cp:lastPrinted>
  <dcterms:created xsi:type="dcterms:W3CDTF">2018-07-13T15:13:17Z</dcterms:created>
  <dcterms:modified xsi:type="dcterms:W3CDTF">2022-11-25T14:18:37Z</dcterms:modified>
</cp:coreProperties>
</file>