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 firstSheet="1" activeTab="3"/>
  </bookViews>
  <sheets>
    <sheet name="PRECIOS COMPR.AR MARZO" sheetId="1" r:id="rId1"/>
    <sheet name="PRECIO REFERENCIA MAYO" sheetId="9" r:id="rId2"/>
    <sheet name="PRECIO REFERENCIA JULIO" sheetId="11" r:id="rId3"/>
    <sheet name="Variacion " sheetId="4" r:id="rId4"/>
    <sheet name="Grupo por codigo de insumos" sheetId="5" r:id="rId5"/>
    <sheet name="PRECIOS COMPR.AR MAYO" sheetId="6" state="hidden" r:id="rId6"/>
  </sheets>
  <calcPr calcId="162913"/>
</workbook>
</file>

<file path=xl/calcChain.xml><?xml version="1.0" encoding="utf-8"?>
<calcChain xmlns="http://schemas.openxmlformats.org/spreadsheetml/2006/main">
  <c r="G168" i="4" l="1"/>
  <c r="G167" i="4"/>
  <c r="G166" i="4"/>
  <c r="G165" i="4"/>
  <c r="G164" i="4"/>
  <c r="G161" i="4"/>
  <c r="G159" i="4"/>
  <c r="G157" i="4"/>
  <c r="G156" i="4"/>
  <c r="G155" i="4"/>
  <c r="G153" i="4"/>
  <c r="G152" i="4"/>
  <c r="G151" i="4"/>
  <c r="G150" i="4"/>
  <c r="G149" i="4"/>
  <c r="G148" i="4"/>
  <c r="G147" i="4"/>
  <c r="G146" i="4"/>
  <c r="G141" i="4"/>
  <c r="G139" i="4"/>
  <c r="G138" i="4"/>
  <c r="G136" i="4"/>
  <c r="G135" i="4"/>
  <c r="G134" i="4"/>
  <c r="G132" i="4"/>
  <c r="G130" i="4"/>
  <c r="G129" i="4"/>
  <c r="G127" i="4"/>
  <c r="G125" i="4"/>
  <c r="G124" i="4"/>
  <c r="G123" i="4"/>
  <c r="G122" i="4"/>
  <c r="G118" i="4"/>
  <c r="G117" i="4"/>
  <c r="G116" i="4"/>
  <c r="G115" i="4"/>
  <c r="G114" i="4"/>
  <c r="G113" i="4"/>
  <c r="G112" i="4"/>
  <c r="G111" i="4"/>
  <c r="G110" i="4"/>
  <c r="G108" i="4"/>
  <c r="G106" i="4"/>
  <c r="G105" i="4"/>
  <c r="G104" i="4"/>
  <c r="G103" i="4"/>
  <c r="G102" i="4"/>
  <c r="G98" i="4"/>
  <c r="G96" i="4"/>
  <c r="G94" i="4"/>
  <c r="G93" i="4"/>
  <c r="G92" i="4"/>
  <c r="G91" i="4"/>
  <c r="G90" i="4"/>
  <c r="G88" i="4"/>
  <c r="G87" i="4"/>
  <c r="G86" i="4"/>
  <c r="G84" i="4"/>
  <c r="G82" i="4"/>
  <c r="G81" i="4"/>
  <c r="G80" i="4"/>
  <c r="G78" i="4"/>
  <c r="G73" i="4"/>
  <c r="G72" i="4"/>
  <c r="G71" i="4"/>
  <c r="G67" i="4"/>
  <c r="G65" i="4"/>
  <c r="G63" i="4"/>
  <c r="G62" i="4"/>
  <c r="G61" i="4"/>
  <c r="G59" i="4"/>
  <c r="G57" i="4"/>
  <c r="G55" i="4"/>
  <c r="G53" i="4"/>
  <c r="G52" i="4"/>
  <c r="G50" i="4"/>
  <c r="G48" i="4"/>
  <c r="G46" i="4"/>
  <c r="G45" i="4"/>
  <c r="G44" i="4"/>
  <c r="G43" i="4"/>
  <c r="G42" i="4"/>
  <c r="G40" i="4"/>
  <c r="G38" i="4"/>
  <c r="G36" i="4"/>
  <c r="G33" i="4"/>
  <c r="G31" i="4"/>
  <c r="G29" i="4"/>
  <c r="G28" i="4"/>
  <c r="G27" i="4"/>
  <c r="G25" i="4"/>
  <c r="G23" i="4"/>
  <c r="G22" i="4"/>
  <c r="G20" i="4"/>
  <c r="G19" i="4"/>
  <c r="G18" i="4"/>
  <c r="G17" i="4"/>
  <c r="G15" i="4"/>
  <c r="G14" i="4"/>
  <c r="G12" i="4"/>
  <c r="G11" i="4"/>
  <c r="G8" i="4"/>
  <c r="G6" i="4"/>
  <c r="G4" i="4"/>
  <c r="G3" i="4"/>
  <c r="F158" i="11" l="1"/>
  <c r="F154" i="11" l="1"/>
  <c r="F155" i="11"/>
  <c r="F153" i="11"/>
  <c r="F123" i="11"/>
  <c r="F121" i="11"/>
  <c r="F118" i="11"/>
  <c r="G110" i="11"/>
  <c r="F110" i="11" s="1"/>
  <c r="J109" i="11"/>
  <c r="J108" i="11"/>
  <c r="M107" i="11"/>
  <c r="G96" i="11"/>
  <c r="F96" i="11" s="1"/>
  <c r="J92" i="11"/>
  <c r="G89" i="11"/>
  <c r="F89" i="11" s="1"/>
  <c r="J68" i="11"/>
  <c r="J51" i="11"/>
  <c r="J50" i="11"/>
  <c r="F49" i="11"/>
  <c r="J48" i="11"/>
  <c r="J47" i="11"/>
  <c r="M36" i="11"/>
  <c r="J33" i="11"/>
  <c r="M30" i="11"/>
  <c r="J30" i="11"/>
  <c r="G28" i="11"/>
  <c r="G27" i="11"/>
  <c r="M23" i="11"/>
  <c r="G22" i="11"/>
  <c r="F22" i="11" s="1"/>
  <c r="G20" i="11"/>
  <c r="J17" i="11"/>
  <c r="J16" i="11"/>
  <c r="G13" i="11"/>
  <c r="J14" i="11"/>
  <c r="J161" i="11"/>
  <c r="J160" i="11"/>
  <c r="G162" i="11"/>
  <c r="G139" i="11"/>
  <c r="J107" i="11"/>
  <c r="J34" i="11"/>
  <c r="G95" i="11" l="1"/>
  <c r="G80" i="11"/>
  <c r="G16" i="11" l="1"/>
  <c r="G12" i="11"/>
  <c r="J10" i="11"/>
  <c r="F52" i="4" l="1"/>
  <c r="F53" i="4"/>
  <c r="G144" i="11"/>
  <c r="J143" i="11"/>
  <c r="G143" i="11"/>
  <c r="F143" i="11" s="1"/>
  <c r="J139" i="11"/>
  <c r="G134" i="11"/>
  <c r="J103" i="11"/>
  <c r="G103" i="11"/>
  <c r="M78" i="11" l="1"/>
  <c r="M77" i="11"/>
  <c r="M76" i="11"/>
  <c r="G41" i="11"/>
  <c r="G30" i="11"/>
  <c r="M24" i="11"/>
  <c r="J24" i="11"/>
  <c r="J13" i="11"/>
  <c r="F13" i="11" s="1"/>
  <c r="F149" i="11" l="1"/>
  <c r="F144" i="4" s="1"/>
  <c r="F81" i="11"/>
  <c r="F76" i="4" s="1"/>
  <c r="F80" i="11"/>
  <c r="F75" i="4" s="1"/>
  <c r="F8" i="11"/>
  <c r="F3" i="4" s="1"/>
  <c r="F12" i="11"/>
  <c r="F7" i="4" s="1"/>
  <c r="G14" i="11"/>
  <c r="F14" i="11" s="1"/>
  <c r="F9" i="4" s="1"/>
  <c r="G10" i="11"/>
  <c r="F10" i="11" s="1"/>
  <c r="F5" i="4" s="1"/>
  <c r="F173" i="11"/>
  <c r="F168" i="4" s="1"/>
  <c r="F172" i="11"/>
  <c r="F167" i="4" s="1"/>
  <c r="F171" i="11"/>
  <c r="F166" i="4" s="1"/>
  <c r="F170" i="11"/>
  <c r="F165" i="4" s="1"/>
  <c r="F169" i="11"/>
  <c r="F164" i="4" s="1"/>
  <c r="F166" i="11"/>
  <c r="F161" i="4" s="1"/>
  <c r="F164" i="11"/>
  <c r="F159" i="4" s="1"/>
  <c r="F162" i="11"/>
  <c r="F157" i="4" s="1"/>
  <c r="F161" i="11"/>
  <c r="F156" i="4" s="1"/>
  <c r="F160" i="11"/>
  <c r="F155" i="4" s="1"/>
  <c r="G158" i="11"/>
  <c r="F153" i="4" s="1"/>
  <c r="G157" i="11"/>
  <c r="F157" i="11" s="1"/>
  <c r="F152" i="4" s="1"/>
  <c r="G156" i="11"/>
  <c r="F156" i="11" s="1"/>
  <c r="F151" i="4" s="1"/>
  <c r="G155" i="11"/>
  <c r="F150" i="4" s="1"/>
  <c r="G154" i="11"/>
  <c r="F149" i="4" s="1"/>
  <c r="G153" i="11"/>
  <c r="F148" i="4" s="1"/>
  <c r="F152" i="11"/>
  <c r="F147" i="4" s="1"/>
  <c r="F151" i="11"/>
  <c r="F146" i="4" s="1"/>
  <c r="F146" i="11"/>
  <c r="F141" i="4" s="1"/>
  <c r="F144" i="11"/>
  <c r="F139" i="4" s="1"/>
  <c r="F138" i="4"/>
  <c r="F141" i="11"/>
  <c r="F136" i="4" s="1"/>
  <c r="F140" i="11"/>
  <c r="F135" i="4" s="1"/>
  <c r="F139" i="11"/>
  <c r="F134" i="4" s="1"/>
  <c r="F137" i="11"/>
  <c r="F132" i="4" s="1"/>
  <c r="G135" i="11"/>
  <c r="F135" i="11" s="1"/>
  <c r="F130" i="4" s="1"/>
  <c r="F134" i="11"/>
  <c r="F129" i="4" s="1"/>
  <c r="F132" i="11"/>
  <c r="F127" i="4" s="1"/>
  <c r="F130" i="11"/>
  <c r="F125" i="4" s="1"/>
  <c r="F129" i="11"/>
  <c r="F124" i="4" s="1"/>
  <c r="F128" i="11"/>
  <c r="F123" i="4" s="1"/>
  <c r="F127" i="11"/>
  <c r="F122" i="4" s="1"/>
  <c r="F118" i="4"/>
  <c r="F122" i="11"/>
  <c r="F117" i="4" s="1"/>
  <c r="F116" i="4"/>
  <c r="F120" i="11"/>
  <c r="F115" i="4" s="1"/>
  <c r="G119" i="11"/>
  <c r="F119" i="11" s="1"/>
  <c r="F114" i="4" s="1"/>
  <c r="F113" i="4"/>
  <c r="F117" i="11"/>
  <c r="F112" i="4" s="1"/>
  <c r="F116" i="11"/>
  <c r="F111" i="4" s="1"/>
  <c r="F115" i="11"/>
  <c r="F110" i="4" s="1"/>
  <c r="J113" i="11"/>
  <c r="F113" i="11" s="1"/>
  <c r="F108" i="4" s="1"/>
  <c r="G111" i="11"/>
  <c r="F111" i="11" s="1"/>
  <c r="F106" i="4" s="1"/>
  <c r="G109" i="11"/>
  <c r="G108" i="11"/>
  <c r="G107" i="11"/>
  <c r="F103" i="11"/>
  <c r="F98" i="4" s="1"/>
  <c r="F101" i="11"/>
  <c r="F96" i="4" s="1"/>
  <c r="G99" i="11"/>
  <c r="F99" i="11" s="1"/>
  <c r="F94" i="4" s="1"/>
  <c r="F98" i="11"/>
  <c r="F93" i="4" s="1"/>
  <c r="G97" i="11"/>
  <c r="F97" i="11" s="1"/>
  <c r="F92" i="4" s="1"/>
  <c r="F91" i="4"/>
  <c r="F95" i="11"/>
  <c r="F90" i="4" s="1"/>
  <c r="F93" i="11"/>
  <c r="F88" i="4" s="1"/>
  <c r="G92" i="11"/>
  <c r="F91" i="11"/>
  <c r="F86" i="4" s="1"/>
  <c r="F84" i="4"/>
  <c r="F87" i="11"/>
  <c r="F82" i="4" s="1"/>
  <c r="G86" i="11"/>
  <c r="F86" i="11" s="1"/>
  <c r="F81" i="4" s="1"/>
  <c r="F85" i="11"/>
  <c r="F80" i="4" s="1"/>
  <c r="F83" i="11"/>
  <c r="F78" i="4" s="1"/>
  <c r="J78" i="11"/>
  <c r="G78" i="11"/>
  <c r="J77" i="11"/>
  <c r="G77" i="11"/>
  <c r="J76" i="11"/>
  <c r="G76" i="11"/>
  <c r="G72" i="11"/>
  <c r="F72" i="11" s="1"/>
  <c r="F70" i="11"/>
  <c r="F65" i="4" s="1"/>
  <c r="F68" i="11"/>
  <c r="F63" i="4" s="1"/>
  <c r="F67" i="11"/>
  <c r="F62" i="4" s="1"/>
  <c r="F66" i="11"/>
  <c r="F61" i="4" s="1"/>
  <c r="G64" i="11"/>
  <c r="F64" i="11" s="1"/>
  <c r="F59" i="4" s="1"/>
  <c r="F62" i="11"/>
  <c r="F57" i="4" s="1"/>
  <c r="F60" i="11"/>
  <c r="F55" i="4" s="1"/>
  <c r="F55" i="11"/>
  <c r="F50" i="4" s="1"/>
  <c r="G53" i="11"/>
  <c r="F53" i="11" s="1"/>
  <c r="F51" i="11"/>
  <c r="F46" i="4" s="1"/>
  <c r="F50" i="11"/>
  <c r="F45" i="4" s="1"/>
  <c r="F44" i="4"/>
  <c r="F48" i="11"/>
  <c r="F43" i="4" s="1"/>
  <c r="F47" i="11"/>
  <c r="F42" i="4" s="1"/>
  <c r="F45" i="11"/>
  <c r="F40" i="4" s="1"/>
  <c r="F43" i="11"/>
  <c r="F38" i="4" s="1"/>
  <c r="F41" i="11"/>
  <c r="F36" i="4" s="1"/>
  <c r="J38" i="11"/>
  <c r="F38" i="11" s="1"/>
  <c r="F33" i="4" s="1"/>
  <c r="G36" i="11"/>
  <c r="G34" i="11"/>
  <c r="F34" i="11" s="1"/>
  <c r="F29" i="4" s="1"/>
  <c r="G33" i="11"/>
  <c r="G32" i="11"/>
  <c r="F32" i="11" s="1"/>
  <c r="F27" i="4" s="1"/>
  <c r="F30" i="11"/>
  <c r="F25" i="4" s="1"/>
  <c r="F28" i="11"/>
  <c r="F23" i="4" s="1"/>
  <c r="F27" i="11"/>
  <c r="F22" i="4" s="1"/>
  <c r="G25" i="11"/>
  <c r="G24" i="11"/>
  <c r="J23" i="11"/>
  <c r="F17" i="4"/>
  <c r="F20" i="11"/>
  <c r="F15" i="4" s="1"/>
  <c r="J19" i="11"/>
  <c r="G19" i="11"/>
  <c r="F17" i="11"/>
  <c r="F12" i="4" s="1"/>
  <c r="F16" i="11"/>
  <c r="F11" i="4" s="1"/>
  <c r="J11" i="11"/>
  <c r="G11" i="11"/>
  <c r="G9" i="11"/>
  <c r="F9" i="11" s="1"/>
  <c r="F4" i="4" s="1"/>
  <c r="F25" i="11" l="1"/>
  <c r="F20" i="4" s="1"/>
  <c r="F8" i="4"/>
  <c r="F11" i="11"/>
  <c r="F6" i="4" s="1"/>
  <c r="F76" i="11"/>
  <c r="F71" i="4" s="1"/>
  <c r="F67" i="4"/>
  <c r="F19" i="11"/>
  <c r="F14" i="4" s="1"/>
  <c r="F78" i="11"/>
  <c r="F73" i="4" s="1"/>
  <c r="F108" i="11"/>
  <c r="F103" i="4" s="1"/>
  <c r="F105" i="4"/>
  <c r="F24" i="11"/>
  <c r="F19" i="4" s="1"/>
  <c r="F36" i="11"/>
  <c r="F31" i="4" s="1"/>
  <c r="F48" i="4"/>
  <c r="F77" i="11"/>
  <c r="F72" i="4" s="1"/>
  <c r="F92" i="11"/>
  <c r="F87" i="4" s="1"/>
  <c r="F107" i="11"/>
  <c r="F102" i="4" s="1"/>
  <c r="F33" i="11"/>
  <c r="F28" i="4" s="1"/>
  <c r="F109" i="11"/>
  <c r="F104" i="4" s="1"/>
  <c r="F23" i="11"/>
  <c r="F18" i="4" s="1"/>
  <c r="G144" i="9" l="1"/>
  <c r="F30" i="9"/>
  <c r="E25" i="4" s="1"/>
  <c r="E52" i="4"/>
  <c r="E53" i="4"/>
  <c r="E57" i="4"/>
  <c r="E159" i="4"/>
  <c r="J160" i="9"/>
  <c r="G162" i="9"/>
  <c r="F162" i="9" s="1"/>
  <c r="E157" i="4" s="1"/>
  <c r="J161" i="9"/>
  <c r="F161" i="9" s="1"/>
  <c r="E156" i="4" s="1"/>
  <c r="M143" i="9"/>
  <c r="G143" i="9"/>
  <c r="F143" i="9" s="1"/>
  <c r="E138" i="4" s="1"/>
  <c r="G139" i="9"/>
  <c r="F139" i="9" s="1"/>
  <c r="E134" i="4" s="1"/>
  <c r="M107" i="9"/>
  <c r="J107" i="9"/>
  <c r="G110" i="9"/>
  <c r="J103" i="9"/>
  <c r="F103" i="9" s="1"/>
  <c r="E98" i="4" s="1"/>
  <c r="G103" i="9"/>
  <c r="M78" i="9"/>
  <c r="M77" i="9"/>
  <c r="M76" i="9"/>
  <c r="J53" i="9"/>
  <c r="J51" i="9"/>
  <c r="J49" i="9"/>
  <c r="F49" i="9" s="1"/>
  <c r="E44" i="4" s="1"/>
  <c r="J48" i="9"/>
  <c r="F48" i="9" s="1"/>
  <c r="E43" i="4" s="1"/>
  <c r="J47" i="9"/>
  <c r="M36" i="9"/>
  <c r="J34" i="9"/>
  <c r="G28" i="9"/>
  <c r="F28" i="9" s="1"/>
  <c r="E23" i="4" s="1"/>
  <c r="G27" i="9"/>
  <c r="J24" i="9"/>
  <c r="M23" i="9"/>
  <c r="J23" i="9"/>
  <c r="F23" i="9" s="1"/>
  <c r="E18" i="4" s="1"/>
  <c r="J22" i="9"/>
  <c r="G20" i="9"/>
  <c r="M13" i="9"/>
  <c r="F173" i="9"/>
  <c r="E168" i="4" s="1"/>
  <c r="F172" i="9"/>
  <c r="E167" i="4" s="1"/>
  <c r="F171" i="9"/>
  <c r="E166" i="4" s="1"/>
  <c r="F170" i="9"/>
  <c r="E165" i="4" s="1"/>
  <c r="F169" i="9"/>
  <c r="E164" i="4" s="1"/>
  <c r="F166" i="9"/>
  <c r="E161" i="4" s="1"/>
  <c r="F164" i="9"/>
  <c r="F160" i="9"/>
  <c r="E155" i="4" s="1"/>
  <c r="G158" i="9"/>
  <c r="F158" i="9" s="1"/>
  <c r="E153" i="4" s="1"/>
  <c r="G157" i="9"/>
  <c r="F157" i="9" s="1"/>
  <c r="E152" i="4" s="1"/>
  <c r="G156" i="9"/>
  <c r="F156" i="9" s="1"/>
  <c r="E151" i="4" s="1"/>
  <c r="G155" i="9"/>
  <c r="F155" i="9" s="1"/>
  <c r="E150" i="4" s="1"/>
  <c r="G154" i="9"/>
  <c r="F154" i="9" s="1"/>
  <c r="E149" i="4" s="1"/>
  <c r="G153" i="9"/>
  <c r="F153" i="9" s="1"/>
  <c r="E148" i="4" s="1"/>
  <c r="F152" i="9"/>
  <c r="E147" i="4" s="1"/>
  <c r="F151" i="9"/>
  <c r="E146" i="4" s="1"/>
  <c r="F146" i="9"/>
  <c r="E141" i="4" s="1"/>
  <c r="F144" i="9"/>
  <c r="E139" i="4" s="1"/>
  <c r="F141" i="9"/>
  <c r="E136" i="4" s="1"/>
  <c r="F140" i="9"/>
  <c r="E135" i="4" s="1"/>
  <c r="F137" i="9"/>
  <c r="E132" i="4" s="1"/>
  <c r="G135" i="9"/>
  <c r="F135" i="9" s="1"/>
  <c r="E130" i="4" s="1"/>
  <c r="G134" i="9"/>
  <c r="F134" i="9" s="1"/>
  <c r="E129" i="4" s="1"/>
  <c r="F132" i="9"/>
  <c r="E127" i="4" s="1"/>
  <c r="F130" i="9"/>
  <c r="E125" i="4" s="1"/>
  <c r="F129" i="9"/>
  <c r="E124" i="4" s="1"/>
  <c r="F128" i="9"/>
  <c r="E123" i="4" s="1"/>
  <c r="F127" i="9"/>
  <c r="E122" i="4" s="1"/>
  <c r="F123" i="9"/>
  <c r="E118" i="4" s="1"/>
  <c r="F122" i="9"/>
  <c r="E117" i="4" s="1"/>
  <c r="F121" i="9"/>
  <c r="E116" i="4" s="1"/>
  <c r="F120" i="9"/>
  <c r="E115" i="4" s="1"/>
  <c r="G119" i="9"/>
  <c r="F119" i="9" s="1"/>
  <c r="E114" i="4" s="1"/>
  <c r="G118" i="9"/>
  <c r="F118" i="9" s="1"/>
  <c r="E113" i="4" s="1"/>
  <c r="F117" i="9"/>
  <c r="E112" i="4" s="1"/>
  <c r="F116" i="9"/>
  <c r="E111" i="4" s="1"/>
  <c r="F115" i="9"/>
  <c r="E110" i="4" s="1"/>
  <c r="J113" i="9"/>
  <c r="F113" i="9" s="1"/>
  <c r="E108" i="4" s="1"/>
  <c r="G111" i="9"/>
  <c r="F111" i="9" s="1"/>
  <c r="E106" i="4" s="1"/>
  <c r="J110" i="9"/>
  <c r="F110" i="9" s="1"/>
  <c r="E105" i="4" s="1"/>
  <c r="J109" i="9"/>
  <c r="G109" i="9"/>
  <c r="J108" i="9"/>
  <c r="G108" i="9"/>
  <c r="F108" i="9" s="1"/>
  <c r="E103" i="4" s="1"/>
  <c r="G107" i="9"/>
  <c r="F101" i="9"/>
  <c r="E96" i="4" s="1"/>
  <c r="G99" i="9"/>
  <c r="F99" i="9" s="1"/>
  <c r="E94" i="4" s="1"/>
  <c r="F98" i="9"/>
  <c r="E93" i="4" s="1"/>
  <c r="G97" i="9"/>
  <c r="F97" i="9" s="1"/>
  <c r="E92" i="4" s="1"/>
  <c r="J96" i="9"/>
  <c r="F96" i="9" s="1"/>
  <c r="E91" i="4" s="1"/>
  <c r="F95" i="9"/>
  <c r="E90" i="4" s="1"/>
  <c r="F93" i="9"/>
  <c r="E88" i="4" s="1"/>
  <c r="J92" i="9"/>
  <c r="G92" i="9"/>
  <c r="F91" i="9"/>
  <c r="E86" i="4" s="1"/>
  <c r="M89" i="9"/>
  <c r="F89" i="9" s="1"/>
  <c r="E84" i="4" s="1"/>
  <c r="F87" i="9"/>
  <c r="E82" i="4" s="1"/>
  <c r="G86" i="9"/>
  <c r="F86" i="9" s="1"/>
  <c r="E81" i="4" s="1"/>
  <c r="F85" i="9"/>
  <c r="E80" i="4" s="1"/>
  <c r="F83" i="9"/>
  <c r="E78" i="4" s="1"/>
  <c r="J78" i="9"/>
  <c r="G78" i="9"/>
  <c r="F78" i="9"/>
  <c r="E73" i="4" s="1"/>
  <c r="J77" i="9"/>
  <c r="G77" i="9"/>
  <c r="J76" i="9"/>
  <c r="G76" i="9"/>
  <c r="F76" i="9" s="1"/>
  <c r="E71" i="4" s="1"/>
  <c r="J72" i="9"/>
  <c r="G72" i="9"/>
  <c r="F70" i="9"/>
  <c r="E65" i="4" s="1"/>
  <c r="F68" i="9"/>
  <c r="E63" i="4" s="1"/>
  <c r="F67" i="9"/>
  <c r="E62" i="4" s="1"/>
  <c r="F66" i="9"/>
  <c r="E61" i="4" s="1"/>
  <c r="G64" i="9"/>
  <c r="F64" i="9" s="1"/>
  <c r="E59" i="4" s="1"/>
  <c r="F62" i="9"/>
  <c r="F60" i="9"/>
  <c r="E55" i="4" s="1"/>
  <c r="F55" i="9"/>
  <c r="E50" i="4" s="1"/>
  <c r="G53" i="9"/>
  <c r="F53" i="9" s="1"/>
  <c r="E48" i="4" s="1"/>
  <c r="F51" i="9"/>
  <c r="E46" i="4" s="1"/>
  <c r="F50" i="9"/>
  <c r="E45" i="4" s="1"/>
  <c r="F47" i="9"/>
  <c r="E42" i="4" s="1"/>
  <c r="F45" i="9"/>
  <c r="E40" i="4" s="1"/>
  <c r="F43" i="9"/>
  <c r="E38" i="4" s="1"/>
  <c r="G41" i="9"/>
  <c r="F41" i="9"/>
  <c r="E36" i="4" s="1"/>
  <c r="J38" i="9"/>
  <c r="F38" i="9" s="1"/>
  <c r="E33" i="4" s="1"/>
  <c r="G36" i="9"/>
  <c r="F36" i="9" s="1"/>
  <c r="E31" i="4" s="1"/>
  <c r="G34" i="9"/>
  <c r="F34" i="9" s="1"/>
  <c r="E29" i="4" s="1"/>
  <c r="J33" i="9"/>
  <c r="G33" i="9"/>
  <c r="G32" i="9"/>
  <c r="F32" i="9" s="1"/>
  <c r="E27" i="4" s="1"/>
  <c r="F27" i="9"/>
  <c r="E22" i="4" s="1"/>
  <c r="G25" i="9"/>
  <c r="F25" i="9" s="1"/>
  <c r="E20" i="4" s="1"/>
  <c r="M24" i="9"/>
  <c r="G24" i="9"/>
  <c r="F22" i="9"/>
  <c r="E17" i="4" s="1"/>
  <c r="F20" i="9"/>
  <c r="E15" i="4" s="1"/>
  <c r="J19" i="9"/>
  <c r="G19" i="9"/>
  <c r="F19" i="9" s="1"/>
  <c r="E14" i="4" s="1"/>
  <c r="F17" i="9"/>
  <c r="E12" i="4" s="1"/>
  <c r="G16" i="9"/>
  <c r="F16" i="9" s="1"/>
  <c r="E11" i="4" s="1"/>
  <c r="J13" i="9"/>
  <c r="G13" i="9"/>
  <c r="J11" i="9"/>
  <c r="G11" i="9"/>
  <c r="G9" i="9"/>
  <c r="F9" i="9" s="1"/>
  <c r="E4" i="4" s="1"/>
  <c r="F8" i="9"/>
  <c r="E3" i="4" s="1"/>
  <c r="F13" i="9" l="1"/>
  <c r="E8" i="4" s="1"/>
  <c r="F72" i="9"/>
  <c r="E67" i="4" s="1"/>
  <c r="F77" i="9"/>
  <c r="E72" i="4" s="1"/>
  <c r="F109" i="9"/>
  <c r="E104" i="4" s="1"/>
  <c r="F11" i="9"/>
  <c r="E6" i="4" s="1"/>
  <c r="F24" i="9"/>
  <c r="E19" i="4" s="1"/>
  <c r="F33" i="9"/>
  <c r="E28" i="4" s="1"/>
  <c r="F92" i="9"/>
  <c r="E87" i="4" s="1"/>
  <c r="F107" i="9"/>
  <c r="E102" i="4" s="1"/>
  <c r="D12" i="5" l="1"/>
  <c r="D3" i="5" l="1"/>
  <c r="D4" i="5"/>
  <c r="F163" i="6"/>
  <c r="H163" i="6" s="1"/>
  <c r="F162" i="6"/>
  <c r="H162" i="6" s="1"/>
  <c r="F161" i="6"/>
  <c r="H161" i="6" s="1"/>
  <c r="F160" i="6"/>
  <c r="H160" i="6" s="1"/>
  <c r="F159" i="6"/>
  <c r="H159" i="6" s="1"/>
  <c r="F156" i="6"/>
  <c r="H156" i="6" s="1"/>
  <c r="H154" i="6"/>
  <c r="F154" i="6"/>
  <c r="F152" i="6"/>
  <c r="H152" i="6" s="1"/>
  <c r="F151" i="6"/>
  <c r="H151" i="6" s="1"/>
  <c r="F150" i="6"/>
  <c r="H150" i="6" s="1"/>
  <c r="F148" i="6"/>
  <c r="H148" i="6" s="1"/>
  <c r="F147" i="6"/>
  <c r="H147" i="6" s="1"/>
  <c r="H146" i="6"/>
  <c r="F145" i="6"/>
  <c r="H145" i="6" s="1"/>
  <c r="H143" i="6"/>
  <c r="F143" i="6"/>
  <c r="F142" i="6"/>
  <c r="F140" i="6"/>
  <c r="H140" i="6" s="1"/>
  <c r="F138" i="6"/>
  <c r="H138" i="6" s="1"/>
  <c r="F137" i="6"/>
  <c r="H137" i="6" s="1"/>
  <c r="F135" i="6"/>
  <c r="H135" i="6" s="1"/>
  <c r="F134" i="6"/>
  <c r="H134" i="6" s="1"/>
  <c r="F133" i="6"/>
  <c r="H133" i="6" s="1"/>
  <c r="F131" i="6"/>
  <c r="H131" i="6" s="1"/>
  <c r="F129" i="6"/>
  <c r="H129" i="6" s="1"/>
  <c r="F128" i="6"/>
  <c r="H128" i="6" s="1"/>
  <c r="F126" i="6"/>
  <c r="H126" i="6" s="1"/>
  <c r="F124" i="6"/>
  <c r="H124" i="6" s="1"/>
  <c r="F123" i="6"/>
  <c r="H123" i="6" s="1"/>
  <c r="F122" i="6"/>
  <c r="H122" i="6" s="1"/>
  <c r="F121" i="6"/>
  <c r="H121" i="6" s="1"/>
  <c r="H119" i="6"/>
  <c r="F119" i="6"/>
  <c r="F117" i="6"/>
  <c r="H117" i="6" s="1"/>
  <c r="F116" i="6"/>
  <c r="H116" i="6" s="1"/>
  <c r="F115" i="6"/>
  <c r="H115" i="6" s="1"/>
  <c r="F114" i="6"/>
  <c r="H114" i="6" s="1"/>
  <c r="F113" i="6"/>
  <c r="H113" i="6" s="1"/>
  <c r="F112" i="6"/>
  <c r="H112" i="6" s="1"/>
  <c r="F111" i="6"/>
  <c r="H111" i="6" s="1"/>
  <c r="F110" i="6"/>
  <c r="H110" i="6" s="1"/>
  <c r="F109" i="6"/>
  <c r="H109" i="6" s="1"/>
  <c r="F107" i="6"/>
  <c r="H107" i="6" s="1"/>
  <c r="F105" i="6"/>
  <c r="H105" i="6" s="1"/>
  <c r="F104" i="6"/>
  <c r="H104" i="6" s="1"/>
  <c r="F103" i="6"/>
  <c r="H103" i="6" s="1"/>
  <c r="F102" i="6"/>
  <c r="H102" i="6" s="1"/>
  <c r="F101" i="6"/>
  <c r="H101" i="6" s="1"/>
  <c r="F99" i="6"/>
  <c r="F97" i="6"/>
  <c r="H97" i="6" s="1"/>
  <c r="F95" i="6"/>
  <c r="H95" i="6" s="1"/>
  <c r="F92" i="6"/>
  <c r="H92" i="6" s="1"/>
  <c r="H91" i="6"/>
  <c r="F91" i="6"/>
  <c r="F90" i="6"/>
  <c r="H90" i="6" s="1"/>
  <c r="F89" i="6"/>
  <c r="H89" i="6" s="1"/>
  <c r="F87" i="6"/>
  <c r="H87" i="6" s="1"/>
  <c r="F86" i="6"/>
  <c r="H86" i="6" s="1"/>
  <c r="H85" i="6"/>
  <c r="F85" i="6"/>
  <c r="F83" i="6"/>
  <c r="H83" i="6" s="1"/>
  <c r="F81" i="6"/>
  <c r="F80" i="6"/>
  <c r="H80" i="6" s="1"/>
  <c r="F79" i="6"/>
  <c r="H79" i="6" s="1"/>
  <c r="F77" i="6"/>
  <c r="H77" i="6" s="1"/>
  <c r="F75" i="6"/>
  <c r="H74" i="6"/>
  <c r="F74" i="6"/>
  <c r="F72" i="6"/>
  <c r="H72" i="6" s="1"/>
  <c r="F71" i="6"/>
  <c r="H71" i="6" s="1"/>
  <c r="F70" i="6"/>
  <c r="H70" i="6" s="1"/>
  <c r="H68" i="6"/>
  <c r="F68" i="6"/>
  <c r="F66" i="6"/>
  <c r="H66" i="6" s="1"/>
  <c r="F64" i="6"/>
  <c r="H64" i="6" s="1"/>
  <c r="F62" i="6"/>
  <c r="H62" i="6" s="1"/>
  <c r="H61" i="6"/>
  <c r="F61" i="6"/>
  <c r="H60" i="6"/>
  <c r="F60" i="6"/>
  <c r="F58" i="6"/>
  <c r="H58" i="6" s="1"/>
  <c r="F56" i="6"/>
  <c r="H56" i="6" s="1"/>
  <c r="F54" i="6"/>
  <c r="H54" i="6" s="1"/>
  <c r="F52" i="6"/>
  <c r="H52" i="6" s="1"/>
  <c r="F51" i="6"/>
  <c r="H51" i="6" s="1"/>
  <c r="F49" i="6"/>
  <c r="H49" i="6" s="1"/>
  <c r="F47" i="6"/>
  <c r="H47" i="6" s="1"/>
  <c r="H45" i="6"/>
  <c r="F45" i="6"/>
  <c r="H43" i="6"/>
  <c r="F43" i="6"/>
  <c r="F41" i="6"/>
  <c r="H41" i="6" s="1"/>
  <c r="F39" i="6"/>
  <c r="H39" i="6" s="1"/>
  <c r="H37" i="6"/>
  <c r="F37" i="6"/>
  <c r="H36" i="6"/>
  <c r="F36" i="6"/>
  <c r="F35" i="6"/>
  <c r="H35" i="6" s="1"/>
  <c r="F34" i="6"/>
  <c r="H34" i="6" s="1"/>
  <c r="F32" i="6"/>
  <c r="H32" i="6" s="1"/>
  <c r="F31" i="6"/>
  <c r="H31" i="6" s="1"/>
  <c r="F30" i="6"/>
  <c r="H30" i="6" s="1"/>
  <c r="H28" i="6"/>
  <c r="F28" i="6"/>
  <c r="F26" i="6"/>
  <c r="H26" i="6" s="1"/>
  <c r="F25" i="6"/>
  <c r="H25" i="6" s="1"/>
  <c r="F23" i="6"/>
  <c r="H23" i="6" s="1"/>
  <c r="F22" i="6"/>
  <c r="H22" i="6" s="1"/>
  <c r="F21" i="6"/>
  <c r="H21" i="6" s="1"/>
  <c r="F20" i="6"/>
  <c r="H20" i="6" s="1"/>
  <c r="F18" i="6"/>
  <c r="H18" i="6" s="1"/>
  <c r="F17" i="6"/>
  <c r="H17" i="6" s="1"/>
  <c r="F15" i="6"/>
  <c r="H15" i="6" s="1"/>
  <c r="F14" i="6"/>
  <c r="H14" i="6" s="1"/>
  <c r="H12" i="6"/>
  <c r="F12" i="6"/>
  <c r="H11" i="6"/>
  <c r="F11" i="6"/>
  <c r="H10" i="6"/>
  <c r="H9" i="6"/>
  <c r="F9" i="6"/>
  <c r="H8" i="6"/>
  <c r="F8" i="6"/>
  <c r="F7" i="6"/>
  <c r="H7" i="6" s="1"/>
  <c r="H5" i="6"/>
  <c r="F5" i="6"/>
  <c r="D45" i="5"/>
  <c r="D54" i="5"/>
  <c r="D9" i="5"/>
  <c r="D8" i="5"/>
  <c r="D43" i="5"/>
  <c r="D42" i="5"/>
  <c r="D41" i="5"/>
  <c r="D40" i="5"/>
  <c r="D39" i="5"/>
  <c r="D38" i="5"/>
  <c r="D50" i="5"/>
  <c r="E48" i="5" s="1"/>
  <c r="D15" i="5"/>
  <c r="D14" i="5"/>
  <c r="D13" i="5"/>
  <c r="D6" i="5"/>
  <c r="D5" i="5"/>
  <c r="D37" i="5"/>
  <c r="D36" i="5"/>
  <c r="D21" i="5"/>
  <c r="D17" i="5"/>
  <c r="D47" i="5"/>
  <c r="E2" i="5" l="1"/>
  <c r="E34" i="5"/>
  <c r="D52" i="5"/>
  <c r="E51" i="5" s="1"/>
  <c r="D19" i="5"/>
  <c r="E10" i="5" s="1"/>
</calcChain>
</file>

<file path=xl/sharedStrings.xml><?xml version="1.0" encoding="utf-8"?>
<sst xmlns="http://schemas.openxmlformats.org/spreadsheetml/2006/main" count="2390" uniqueCount="627">
  <si>
    <t>Primer trimestre 2022</t>
  </si>
  <si>
    <t>PRECIOS DE COMPR.AR MENDOZA</t>
  </si>
  <si>
    <t>Codigo Item</t>
  </si>
  <si>
    <t>Descripcion</t>
  </si>
  <si>
    <t>Cantidades</t>
  </si>
  <si>
    <t>Hospital Central</t>
  </si>
  <si>
    <t>Hospital Lagomaggiore</t>
  </si>
  <si>
    <t xml:space="preserve">Hospital Saporitti </t>
  </si>
  <si>
    <t>Hospital Notti</t>
  </si>
  <si>
    <t>Hospital Schestakow</t>
  </si>
  <si>
    <t>Hospital de Malargue</t>
  </si>
  <si>
    <t>Hospital Gral. Alvear</t>
  </si>
  <si>
    <t>Subsecretaria de salud</t>
  </si>
  <si>
    <t>AGUJAS</t>
  </si>
  <si>
    <t xml:space="preserve">AGUJA DE PUNCION RAQUIDEA Nº25 G PUNTA LAPIZ DESC.EST. </t>
  </si>
  <si>
    <t>UNIDAD</t>
  </si>
  <si>
    <t>AGUJA HIPODERMICA DESC.EST. DISTINTOS TAMAÑOS</t>
  </si>
  <si>
    <t xml:space="preserve">UNIDAD       </t>
  </si>
  <si>
    <t xml:space="preserve">AGUJA HIPODERMICA 15/5 DESC.EST. </t>
  </si>
  <si>
    <t xml:space="preserve">AGUJA HIPODERMICA 25/6 DESC.EST.  </t>
  </si>
  <si>
    <t xml:space="preserve">AGUJA HIPODERMICA 25/8 DESC.EST. </t>
  </si>
  <si>
    <t xml:space="preserve">AGUJA HIPODERMICA 30/7 DESC.EST. </t>
  </si>
  <si>
    <t xml:space="preserve">AGUJA HIPODERMICA 40/8 DESC.EST. </t>
  </si>
  <si>
    <t xml:space="preserve">AGUJA HIPODERMICA 50/8 DESC.EST. </t>
  </si>
  <si>
    <t>ALCOHOL ETILICO</t>
  </si>
  <si>
    <t>ALCOHOL ETILICO 70º</t>
  </si>
  <si>
    <t xml:space="preserve">X 1000 ML    </t>
  </si>
  <si>
    <t>ALCOHOL ETILICO PURO 96º</t>
  </si>
  <si>
    <t xml:space="preserve">LT           </t>
  </si>
  <si>
    <t>ALGODÓN</t>
  </si>
  <si>
    <t>ALGODON HIDROFILO PLEGADO X 400/500 G</t>
  </si>
  <si>
    <t xml:space="preserve">PAQUETE      </t>
  </si>
  <si>
    <t>ALGODON LAMINADO X 10 CM ANCHO Y 2.5 MTS LARGO APROX.</t>
  </si>
  <si>
    <t>ROLLO</t>
  </si>
  <si>
    <t>APOSITO</t>
  </si>
  <si>
    <t>APOSITO ADHESIVO 10 X 12 CM (tipo Tegaderm)</t>
  </si>
  <si>
    <t xml:space="preserve">APOSITO HIDROCOLOIDE 10X 10 </t>
  </si>
  <si>
    <t>APOSITO DE 10X20CM Y 14G APROX.CONFECCIONADO C/ALGODON HIDROFILO Y GASA TUBULAR,ACONDICIONADO ESTERIL</t>
  </si>
  <si>
    <t xml:space="preserve">APOSITO PROTECTOR P/VIA VENOSA CENTRAL TIPO VECA-C </t>
  </si>
  <si>
    <t>BAJALENGUAS</t>
  </si>
  <si>
    <t>BAJALENGUA DE MADERA ADULTO</t>
  </si>
  <si>
    <t xml:space="preserve">ENVASE X 100 </t>
  </si>
  <si>
    <t>BAJALENGUA DE MADERA NIÑO</t>
  </si>
  <si>
    <t>BARBIJOS</t>
  </si>
  <si>
    <t>BARBIJO DESC TRIPLE CAPA HEMOREP MIN 40 GR CON SUJETADOR DE NARIZ</t>
  </si>
  <si>
    <t>ROPA DESCARTABLE</t>
  </si>
  <si>
    <t>BLUSON DE CIRUGIA DESC.C/PUÑO TEJIDO/ELASTIZADO, HEMORREPELENTE 40GR. MINIMO,  1.30 MTS DE LARGO, 1.50 MTS DE ANCHO APROX Y 60 CM MINIMO DE BRAZO.</t>
  </si>
  <si>
    <t xml:space="preserve">BOTAS CAÑA LARGA HEMOREPELENTES NO PLASTICO PERMEABLE AL VAPOR DESC.DE 30 GR. MINIMO </t>
  </si>
  <si>
    <t xml:space="preserve">PAR          </t>
  </si>
  <si>
    <t>GORRO CIRUJANO TIPO COFIA HEMOREPELENTE NO PLASTICO PERMEABLE AL VAPOR DESC.</t>
  </si>
  <si>
    <t>BOLSA DE COLOSTOMIA AUTOADHESIVA C/FILTRO Y DIAM.RECORTABLE OPACA</t>
  </si>
  <si>
    <t>BOLSA DE PAPEL QUIRURGICO C/INDIC.QUIMICO P/VAPOR 140 X 330 C/FUELLE 50 MM APROXIMADAMENTE TERMOSELLABLE</t>
  </si>
  <si>
    <t>BOLSA PLASTICA C/VALVULA DE DESAGOTE Y ANTIREFLUJO CAP. 2 L P/RECOLEC.ORINA EST. FONDO BLANCO</t>
  </si>
  <si>
    <t>LUBRICANTE SILICONADA EN AEROSOL X 440 CM (para colocacion a autoclave)</t>
  </si>
  <si>
    <t>ESPIROMETRIA</t>
  </si>
  <si>
    <t>BOQUILLA DE CARTON P/ESPIROMETRIA</t>
  </si>
  <si>
    <t>BROCAL CON TAPA</t>
  </si>
  <si>
    <t>CABLE P/ELECTROBISTURI CON MANGO Y PUNTA P/CORTE DESCARTABLE</t>
  </si>
  <si>
    <t>CATETER I.V. DE POLIURETANO G RADIOPACO DISTINTOS Nº</t>
  </si>
  <si>
    <t>CEPILLO P/TOMA CITOLOGICA ENDOCERVICAL DESC.EST.</t>
  </si>
  <si>
    <t>CHATA PLASTICA ADULTO</t>
  </si>
  <si>
    <t>CINTAS</t>
  </si>
  <si>
    <t>CINTA AUTOADHESIVA C/INDICADOR QUIMICO P/CALOR SECO 18 MM-50 MT.APROX.</t>
  </si>
  <si>
    <t xml:space="preserve">ROLLO        </t>
  </si>
  <si>
    <t>CINTA AUTOADHESIVA C/INDICADOR QUIMICO P/VAPOR 18 MM 50 MT.APROX. ROLLO</t>
  </si>
  <si>
    <t>CIRCUITO CERRADO DE EXTRACCION DE MUCUS 16 F TIPO TRANCHCARE 2.600</t>
  </si>
  <si>
    <t>COLLARES CERVICALES</t>
  </si>
  <si>
    <t xml:space="preserve">COLLAR CERVICAL TIPO PHILADELPHIA </t>
  </si>
  <si>
    <t>CONTROL BIOLOGICO P/VAPOR.CALOR SECO Y OXIDO ETILEN.S/MEDIO CULT.INCORPORADO UNIDAD</t>
  </si>
  <si>
    <t>DESCARTADOR CAP. 4LT. P/PUNZANTES BOCA ANCHA</t>
  </si>
  <si>
    <t>DESCARTADOR CAP. 7LT. P/PUNZANTES BOCA ANCHA</t>
  </si>
  <si>
    <t xml:space="preserve">DESCARTADOR CAP.1 LT. P/PUNZANTES BOCA ANCHA                                                                                                                                                                                                                         </t>
  </si>
  <si>
    <t>DETERGENTE TRIENZIMATICO (PROTEASA-AMILASA-LIPASA)BAJA ESPUMA</t>
  </si>
  <si>
    <t xml:space="preserve">X LITRO      </t>
  </si>
  <si>
    <t>ELECTRODOS</t>
  </si>
  <si>
    <t>ELECTRODO P/MONITOREO  DESC.</t>
  </si>
  <si>
    <t>EQUIPO DE CONTROL DE FLUJO TIPO UNIFLOW</t>
  </si>
  <si>
    <t>ESPECULOS</t>
  </si>
  <si>
    <t>ESPECULO CHICO DESC.EST.</t>
  </si>
  <si>
    <t>ESPECULO GRANDE DESC.EST.</t>
  </si>
  <si>
    <t>ESPECULO MEDIANO DESC.EST.</t>
  </si>
  <si>
    <t>FILTRO HUMIDIF P/RESP ANTIBACT/VIRAL ADULTO</t>
  </si>
  <si>
    <t xml:space="preserve">FILTRO P/TUBO ENDOTRAQUEAL ANTIBACTERIANO/VIRAL ESTERIL </t>
  </si>
  <si>
    <t>FRASCO HUMIDIFICADOR DE OXIGENO x 300 ML</t>
  </si>
  <si>
    <t>GASAS</t>
  </si>
  <si>
    <t>GASA HIDROFILA DOBLE TUBULAR CON HILADO NO MENOR A 24/1, PIEZA DE80 CM X 22 M Y PESO NO INFERIOR A 1.1OO GR.</t>
  </si>
  <si>
    <t xml:space="preserve">PIEZA        </t>
  </si>
  <si>
    <t>GASA TUBULAR 7 X 7 CM.ESTERIL DOBLADILLADA APROX.</t>
  </si>
  <si>
    <t xml:space="preserve">POUCH X 3    </t>
  </si>
  <si>
    <t>GASA SIMPLE-RECTILINEA 36 M LARGO X 1M ANCHO X 18 HILOS</t>
  </si>
  <si>
    <t>GEL PARA ECOGRAFIA CON DOSIFICADOR</t>
  </si>
  <si>
    <t xml:space="preserve">X 500 GR     </t>
  </si>
  <si>
    <t>GUANTES</t>
  </si>
  <si>
    <t>GUANTE LATEX   DESCARTABLE</t>
  </si>
  <si>
    <t xml:space="preserve">CAJA X 100   </t>
  </si>
  <si>
    <t>GUANTE LATEX  PUÑO LARGO DESC. ESTERIL</t>
  </si>
  <si>
    <t xml:space="preserve">X PAR        </t>
  </si>
  <si>
    <t>GUANTE LIBRE DE LATEX  DESCARTABLE</t>
  </si>
  <si>
    <t>GUIA ESTERIL</t>
  </si>
  <si>
    <t xml:space="preserve">GUIA ESTERIL MACROGOTERO C/FILTRO P/INFUSION DE SANGRE-PLASMA </t>
  </si>
  <si>
    <t>GUIA ESTERIL MACROGOTERO S/FILTRO Y S/AGUJA</t>
  </si>
  <si>
    <t>GUIA ESTERIL MICROGOTERO FOTOSENSIBLE OPACA S/AGUJA</t>
  </si>
  <si>
    <t xml:space="preserve">GUIA ESTERIL MICROGOTERO S/FILTRO S/AGUJA </t>
  </si>
  <si>
    <t>GUIA ESTERIL MICROGOTERO C/CAMARA GRAD.100 ML S/A</t>
  </si>
  <si>
    <t>HISTEROMETRO DESCARTABLE</t>
  </si>
  <si>
    <t>HOJAS DE BISTURI</t>
  </si>
  <si>
    <t>HOJA DE BISTURI Nº 24 ESTERIL</t>
  </si>
  <si>
    <t>HOJAS POLIPROP.PEROX.HIDROG. (para esterilizacion)</t>
  </si>
  <si>
    <t>JERINGAS DESCARTABLES</t>
  </si>
  <si>
    <t>JERINGA   5 CC.S/AGUJA DESC.EST.</t>
  </si>
  <si>
    <t>JERINGA  10 CC.S/AGUJA DESC.EST.</t>
  </si>
  <si>
    <t>JERINGA  20 CC.S/AGUJA DESC.EST.</t>
  </si>
  <si>
    <t xml:space="preserve">JERINGA  60 CC.S/AGUJA DESC.EST.                                                                                                                                                                                                                              </t>
  </si>
  <si>
    <t>JERINGA 2.5 /3 CC.S/AGUJA DESC.EST.</t>
  </si>
  <si>
    <t>LLAVE 3 VIAS</t>
  </si>
  <si>
    <t>INSUMOS PARA OXIGENOTERAPIA</t>
  </si>
  <si>
    <t xml:space="preserve">AEROCAMARA INHALATORIA C/VALVULA C/MASCARA ADULTO </t>
  </si>
  <si>
    <t xml:space="preserve">AEROCAMARA INHALATORIA C/VALVULA C/MASCARA NEONATAL </t>
  </si>
  <si>
    <t xml:space="preserve">AEROCAMARA INHALATORIA C/VALVULA C/MASCARA PEDIATRICA </t>
  </si>
  <si>
    <t>INHALADOR DE OXIGENO P/CAVIDAD NASAL ADULTO C/2 TUBULADURAS DESC.EST.</t>
  </si>
  <si>
    <t>INHALADOR DE OXIGENO P/CAVIDAD NASAL PEDIATRICO C/2 TUBULADURAS DESC.EST.</t>
  </si>
  <si>
    <t>MASCARA P/OXIGENA C/RESERVORIO PEDIATRICA</t>
  </si>
  <si>
    <t>MASCARA P/OXIGENOTERAPIA ADULTO C/5 VALVULAS P/ GRADUACION</t>
  </si>
  <si>
    <t xml:space="preserve"> SET         </t>
  </si>
  <si>
    <t>MASCARA P/OXIGENOTERAPIA PEDIATRICA C/5 VALVULAS P/GRADUACION</t>
  </si>
  <si>
    <t>MASCARA PARA OXIGENOTERAPIA  CON RESERVORIO ADULTO</t>
  </si>
  <si>
    <t>MICRONEBULIZADOR</t>
  </si>
  <si>
    <t>MICRONEBULIZADOR C/MASCARA Y TUBULADURA</t>
  </si>
  <si>
    <t>SUTURAS</t>
  </si>
  <si>
    <t>NYLON N°4/0 C/AGUJA 1/2 CIRC.15 MM APROX.PTA.REV.CORTANTE</t>
  </si>
  <si>
    <t>NYLON N°5/0 C/AGUJA 1/2 CIRC.15 MM APROX.PTA.REV.CORTANTE</t>
  </si>
  <si>
    <t>NYLON Nº3/0 C/AGUJA 3/8 CIRC.25 MM APROX.PTA.REV.CORTANTE</t>
  </si>
  <si>
    <t>POLIGLACTINA C/AGUJA .PTA.CILÍNDRICA</t>
  </si>
  <si>
    <t>ORINAL DE PLASTICO P/VARON CAP.800 ML.</t>
  </si>
  <si>
    <t>PAÑALES</t>
  </si>
  <si>
    <t>PAÑAL DESCARTABLE ADULTO EXTRAGRANDE CON ADHESIVO Y GEL</t>
  </si>
  <si>
    <t>PAÑAL DESCARTABLE ADULTO GRANDE C/ADHESIVO Y GEL</t>
  </si>
  <si>
    <t xml:space="preserve">PAÑOS BAÑO FACIL CON CLORHEXIDINA JABONOSA </t>
  </si>
  <si>
    <t>PAPEL P/ECG TERMOSENSIBLE 50 MM X 30 MT</t>
  </si>
  <si>
    <t>PAPEL P/ECOGRAFIA 110 MM X 20 MT</t>
  </si>
  <si>
    <t>PAPEL QUIRURGICO BLANCO PURO  (TIPO KRAFT)</t>
  </si>
  <si>
    <t xml:space="preserve">X KG         </t>
  </si>
  <si>
    <t>PINZA MAIER RECTA DESC. ESTÉRIL</t>
  </si>
  <si>
    <t xml:space="preserve">PINZA UMBILICAL DESCARTABLE-ESTERIL </t>
  </si>
  <si>
    <t>POUCH CON INDIC P/VAPOR /O.E  PAPEL QUIRURGICO LISO/LAMINAD.PLAST.TRANSPAREN</t>
  </si>
  <si>
    <t>PROLONGADOR DE CATETER</t>
  </si>
  <si>
    <t>PROLONGADOR DOBLE VIA PARA VIA CENTRAL 18CM LONG APROX. CON CONECTOR DE BIOSEGURIDAD</t>
  </si>
  <si>
    <t>PROLONGADOR TRIPLE VIA PARA VIA CENTRAL 18CM LONG APROX CON CONECTOR DE BIOSEGURIDAD</t>
  </si>
  <si>
    <t>SONDAS</t>
  </si>
  <si>
    <t xml:space="preserve">SONDA (TIPO K ) P/INTUBACION GASTRICA  DIAM.EXT.APROX.EST. </t>
  </si>
  <si>
    <t>SONDA P/INH O SUCCION MUCUS (TIPO K 29) LONG.45 CM X 4.0 MM DIAM.EXT.DESC.EST.</t>
  </si>
  <si>
    <t xml:space="preserve">SONDA DE FOLEY DOBLE VIA BALON 5/15 EST. </t>
  </si>
  <si>
    <t>SONDA URETRAL RECTA N° 12 (TIPO K 93)</t>
  </si>
  <si>
    <t>TELA</t>
  </si>
  <si>
    <t>TELA ADHESIVA X 5 CM DE ANCHO Y 9 M DE LARGO APROX.</t>
  </si>
  <si>
    <t>TELA ADHESIVA X 5 CM MICROPOROSA HIPOALERGENICA 9 M LARGO APROX.</t>
  </si>
  <si>
    <t>TELA ADHESIVA X 5 CM TRANSP.HIPOALERGENICA 9 M DE LARGO APROX.</t>
  </si>
  <si>
    <t>TERMOMETRO CLINICO DIGITAL (S/MERCURIO)</t>
  </si>
  <si>
    <t>TUBO ENDOTRAQUEAL  8 MM DIAM.INT.(Nº32) CON BALON DESC.EST.</t>
  </si>
  <si>
    <t>TUBO P/CANALIZ VENOSA ANESTESIA PC 75</t>
  </si>
  <si>
    <t>VENDAS</t>
  </si>
  <si>
    <t>VENDA ENYESADA-FRAGUADO RAPIDO 10 CM ANCHO X 5 M DE LARGO APROX.</t>
  </si>
  <si>
    <t>VENDA ENYESADA-FRAGUADO RAPIDO 15 CM ANCHO X 5 M DE LARGO APROX.</t>
  </si>
  <si>
    <t>VENDA ENYESADA-FRAGUADO RAPIDO 20 CM ANCHO X 5 M DE LARGO APROX.</t>
  </si>
  <si>
    <t>VENDA TIPO CAMBRIC  7 CM ANCHO ORILLADA MIN 2,5 MTS DE LARGO</t>
  </si>
  <si>
    <t>VENDA TIPO CAMBRIC 10 CM ANCHO ORILLADA MIN 2,5 MTS DE LARGO</t>
  </si>
  <si>
    <t>ADQUISICION DE PRODUCTOS MEDICOS. Nº DE PROCESO: 10606-0001-LPU22</t>
  </si>
  <si>
    <t>Precio promedio</t>
  </si>
  <si>
    <t>Precio ref. 1</t>
  </si>
  <si>
    <t>Marca px 1</t>
  </si>
  <si>
    <t>Link px 1</t>
  </si>
  <si>
    <t xml:space="preserve">Precio ref. 2 </t>
  </si>
  <si>
    <t>Marca px 2</t>
  </si>
  <si>
    <t>Link px 2</t>
  </si>
  <si>
    <t>Precio ref. 3</t>
  </si>
  <si>
    <t>Marca px3</t>
  </si>
  <si>
    <t>Link px 3</t>
  </si>
  <si>
    <t>OBSERVACIONES</t>
  </si>
  <si>
    <t xml:space="preserve">PRECIOS FUENTES CONSULTADAS </t>
  </si>
  <si>
    <t>AURINCO</t>
  </si>
  <si>
    <t>https://www.tiendasaludonline.com.ar/productos/aguja-puncion-lumbar-25g-importada-aurinco/</t>
  </si>
  <si>
    <t>PHOENIX</t>
  </si>
  <si>
    <t>https://www.tiendasaludonline.com.ar/productos/aguja-espinal-puncion-lumbar-25gx31-2-phoenix/</t>
  </si>
  <si>
    <t>48Base032070002.2AGUJA HIPODERMICA 15/5 DESC.EST.  Presentación:  UNIDAD</t>
  </si>
  <si>
    <t>GREEDMED</t>
  </si>
  <si>
    <t>https://www.tiendasaludonline.com.ar/productos/aguja-hipodermica-15-5-25g5-8-caja-x-100u-greetmed/</t>
  </si>
  <si>
    <t>49Base032070002.3AGUJA HIPODERMICA 25/6 DESC.EST.  Presentacion:  UNIDAD</t>
  </si>
  <si>
    <t>Sigue variacion de codigo de insumo 3207</t>
  </si>
  <si>
    <t>50Base032070002.4AGUJA HIPODERMICA 25/8 DESC.EST.  Presentación:  UNIDAD</t>
  </si>
  <si>
    <t>NOVAMED</t>
  </si>
  <si>
    <t>https://www.tiendasaludonline.com.ar/productos/agujas-hipodermicas-25-8-x-100ps-novamed/</t>
  </si>
  <si>
    <t>BREMEN</t>
  </si>
  <si>
    <t>https://www.tiendasaludonline.com.ar/productos/agujas-hipodermicas-25-8-21gx1-caja-x-100u-bremen/</t>
  </si>
  <si>
    <t>Caja x 100u</t>
  </si>
  <si>
    <t>51Base032070002.6AGUJA HIPODERMICA 30/7 DESC.EST.  Presentacion:  UNIDAD</t>
  </si>
  <si>
    <t>52Base032070002.7AGUJA HIPODERMICA 40/8 DESC.EST.  Presentación:  UNIDAD</t>
  </si>
  <si>
    <t>https://www.tiendasaludonline.com.ar/productos/agujas-hipodermicas-40-8-caja-x-100u-novamed/</t>
  </si>
  <si>
    <t>https://i-mek.com/producto/aguja-hipodermica-x-100-bremen/</t>
  </si>
  <si>
    <t>https://www.lilis.com.ar/aguja-40-8-100-bremen?gclid=Cj0KCQiA_P6dBhD1ARIsAAGI7HC-vxJNP2G1CdmLxDEy3skfs1Ytlc13yHW1_TXvog3XzZAczMUsGZMaAuhDEALw_wcB</t>
  </si>
  <si>
    <t>53Base032070002.8AGUJA HIPODERMICA 50/8 DESC.EST.  Presentación:  UNIDAD</t>
  </si>
  <si>
    <t>2Base031290027.4ALCOHOL ETILICO 70º  Presentación:  X 1000 ML  Solicitado:  ENVASE</t>
  </si>
  <si>
    <t>PORTA</t>
  </si>
  <si>
    <t>https://www.tiendasaludonline.com.ar/productos/alcohol-etilico-70-x-500-ml-porta/</t>
  </si>
  <si>
    <t>PX1 por 500ml</t>
  </si>
  <si>
    <t>1Base031290027.1ALCOHOL ETILICO PURO 96º  Presentación:  X LT  Solicitado:  LT</t>
  </si>
  <si>
    <t>https://www.tiendasaludonline.com.ar/productos/alcohol-etilico-96-x-1-lt-porta/</t>
  </si>
  <si>
    <t>21Base032020001.1ALGODON HIDROFILO PLEGADO X 400/500 G  Presentación:  PAQUETE</t>
  </si>
  <si>
    <t>DONCELLA</t>
  </si>
  <si>
    <t>https://www.tiendasaludonline.com.ar/productos/algodon-hidrofilo-x-500grs-doncella-x-10u/</t>
  </si>
  <si>
    <t>INSUMOS XXI</t>
  </si>
  <si>
    <t>https://www.tiendasaludonline.com.ar/productos/algodon-hidrofilo-x-500grs-x-10-paq-insumos-xxi/</t>
  </si>
  <si>
    <t>https://www.lilis.com.ar/algodon-1-2-k-doncella-igalte</t>
  </si>
  <si>
    <t>X 10U.</t>
  </si>
  <si>
    <t>42Base032060001.2ALGODON LAMINADO X 10 CM ANCHO Y 2.5 MTS LARGO APROX.  Presentación:  ROLLO</t>
  </si>
  <si>
    <t>SM</t>
  </si>
  <si>
    <t>https://www.tiendahospimed.com.ar/MLA-677207028-venda-cambric-10cm-x-3mt-de-algodon-x-25-u-_JM?utm_source=google&amp;utm_medium=cpc&amp;utm_campaign=darwin_ss</t>
  </si>
  <si>
    <t>FAVE</t>
  </si>
  <si>
    <t>https://cirugiarex.com.ar/producto/venda-ovata-de-algodon-10cm-x-3m/</t>
  </si>
  <si>
    <t xml:space="preserve">PX 1 X 25U (10CM X 3M) </t>
  </si>
  <si>
    <t>93Base032100001.4APOSITO ADHESIVO 10 X 12 CM (tipo Tegaderm)  Presentación:  UNIDAD</t>
  </si>
  <si>
    <t>3M</t>
  </si>
  <si>
    <t>https://cirugiarex.com.ar/producto/tegaderm-1626-10x12cm-3m/</t>
  </si>
  <si>
    <t>https://www.tiendahospimed.com.ar/MLA-607569932-aposito-impermeable-tegaderm-3m-10x12-10-unidades-_JM#position=1&amp;search_layout=stack&amp;type=item&amp;tracking_id=5aa2351b-d0ee-4e1b-af50-92b53d2c6d2d</t>
  </si>
  <si>
    <t>94Base032100001.10APOSITO HIDROCOLOIDE  Presentación:  10 X 10  Solicitado:  UNIDAD</t>
  </si>
  <si>
    <t>COLOPLAST</t>
  </si>
  <si>
    <t>https://cirugiarex.com.ar/producto/aposito-hidrocoloide-10x10cm-33110/</t>
  </si>
  <si>
    <t>HOLLISTER</t>
  </si>
  <si>
    <t>https://www.tiendasaludonline.com.ar/productos/apositos-hidrocoloide-hollister-restore-doble-dorso-espuma-10-x-10cm-9930/</t>
  </si>
  <si>
    <t>https://www.tiendahospimed.com.ar/MLA-616305640-comfeel-aposito-parche-hidrocoloide-grueso-10x10-x-10-u-_JM#position=3&amp;search_layout=stack&amp;type=item&amp;tracking_id=122e6606-c91c-4169-9433-c2fafd512ba0</t>
  </si>
  <si>
    <t>31Base032020007.4APOSITO DE 10X20CM Y 14G APROX.CONFECCIONADO C/ALGODON HIDROFILO Y GASA TUBULAR,ACONDICIONADO ESTERIL  Presentacion:  UNIDAD</t>
  </si>
  <si>
    <t>https://www.tiendasaludonline.com.ar/productos/apositos-a-granel-10x20cm-x-200u-insumos-xxi/</t>
  </si>
  <si>
    <t>MEDICA</t>
  </si>
  <si>
    <t>https://www.lilis.com.ar/aposito-10-20-10-unidades-esteril</t>
  </si>
  <si>
    <t>GENERIC</t>
  </si>
  <si>
    <t>https://www.tiendahospimed.com.ar/MLA-1120422069-aposito-esteril-gasa-algodon-kraft-10x20-20-unidades-_JM#position=4&amp;search_layout=stack&amp;type=item&amp;tracking_id=77054436-6e98-4191-b4ee-f45c3346c70f</t>
  </si>
  <si>
    <t xml:space="preserve"> PX 1x 200 u Y px 2 x 10u en la pagina</t>
  </si>
  <si>
    <t>30Base032020007.3APOSITO PROTECTOR P/VIA VENOSA CENTRAL TIPO VECA-C  Presentacion:  UNIDAD</t>
  </si>
  <si>
    <t>IHT</t>
  </si>
  <si>
    <t>https://www.tiendasaludonline.com.ar/productos/aposito-iht-oper-easy-5-x-72-cm-caja-x-100-unidades/</t>
  </si>
  <si>
    <t>TEGADERM</t>
  </si>
  <si>
    <t>https://cirugiarex.com.ar/producto/tegaderm-1624-6x-7cm-3m/</t>
  </si>
  <si>
    <t>81Base032090001.1BAJALENGUA DE MADERA ADULTO  Presentación:  ENVASE X 100  Solicitado:  ENVASE</t>
  </si>
  <si>
    <t>CLERICOT</t>
  </si>
  <si>
    <t>https://www.lilis.com.ar/bajalenguas-adulto-100</t>
  </si>
  <si>
    <t>https://cirugiarex.com.ar/producto/baja-lengua-de-madera-adultos-x100-unidades/</t>
  </si>
  <si>
    <t>82Base032090001.2BAJALENGUA DE MADERA NI#O  Presentación:  ENVASE X 100  Solicitado:  ENVASE</t>
  </si>
  <si>
    <t>https://cirugiarex.com.ar/producto/baja-lengua-de-madera-pediatricos-x100-unidades/</t>
  </si>
  <si>
    <t>3Base032010001.3BARBIJO DESC TRIPLE CAPA HEMOREP MIN 40 GR CON SUJETADOR DE NARIZ  Presentación:  UNIDAD</t>
  </si>
  <si>
    <t>X 50 UNIDADES, PX 2 X100U</t>
  </si>
  <si>
    <t>4Base032010004.9BLUSON DE CIRUGIA DESC.C/PUÑO ELASTIZADO, HEMORREPELENTE 40GR.1.40 MTS DE LARGO Y 1.50 MTS DE ANCHO APROX  Presentacion:  UNIDAD</t>
  </si>
  <si>
    <t>SMS</t>
  </si>
  <si>
    <t>https://www.tiendasaludonline.com.ar/productos/camisolin-descartabe-azul-hemorrepelente-puno-elastico-sms-30-gr-x-10unidades/</t>
  </si>
  <si>
    <t>https://www.lilis.com.ar/camisolin-esteril</t>
  </si>
  <si>
    <t>PX 1 X10U</t>
  </si>
  <si>
    <t>5Base032010005.3 BOTAS CAÑA LARGA HEMOREPELENTES NO PLASTICO PERMEABLE AL VAPOR DESC.DE 30 GR. MINIMO  Presentación:  PAR</t>
  </si>
  <si>
    <t>DIMEX</t>
  </si>
  <si>
    <t>https://www.tiendasaludonline.com.ar/productos/botas-descartable-hemorepelente-con-tiras-blanca-30grs-p-cirugia-x-10-pares/</t>
  </si>
  <si>
    <t>https://cirugiarex.com.ar/producto/bota-media-cana-descatable-x100-unidades/</t>
  </si>
  <si>
    <t>PX 1 y 2 por 50 PARES</t>
  </si>
  <si>
    <t>9Base032010007.3GORRO CIRUJANO TIPO COFIA HEMOREPELENTE NO PLASTICO PERMEABLE AL VAPOR DESC.  Presentación:  UNIDAD</t>
  </si>
  <si>
    <t>https://www.tiendasaludonline.com.ar/productos/cofias-plizadas-hemoreplente-sms-pack-x-1000unidades/</t>
  </si>
  <si>
    <t>LYNCMED</t>
  </si>
  <si>
    <t>https://cirugiarex.com.ar/producto/cofia-descartable-x100-unidades-lyncmed/</t>
  </si>
  <si>
    <t>PX X 100</t>
  </si>
  <si>
    <t>121Base032130001.1BOLSA DE COLOSTOMIA AUTOADHESIVA C/FILTRO Y DIAM.RECORTABLE OPACA  Presentación:  UNIDAD</t>
  </si>
  <si>
    <t>CONVATEC</t>
  </si>
  <si>
    <t>https://www.tiendasaludonline.com.ar/productos/bolsas-colostomia-cerrada-con-filtro-38mm-402522-convatec/</t>
  </si>
  <si>
    <t>https://www.lilis.com.ar/bolsa-convatec-cerrada-colostomia-opaca-38mm</t>
  </si>
  <si>
    <t>https://www.tiendahospimed.com.ar/MLA-643229833-bolsa-de-colostomia-cerrada-2-piezas-coloplast-10184-x30-uni-_JM#position=23&amp;search_layout=stack&amp;type=item&amp;tracking_id=bcf55261-9a5b-4a18-86a6-4b12314ccceb</t>
  </si>
  <si>
    <t>Sigue variacion de codigo de insumo 3213</t>
  </si>
  <si>
    <t>148Base032230002.2BOLSA PLASTICA C/VALVULA DE DESAGOTE Y ANTIREFLUJO CAP. 2 L P/RECOLEC.ORINA EST. FONDO BLANCO  Presentación:  UNIDAD</t>
  </si>
  <si>
    <t>FORLANO</t>
  </si>
  <si>
    <t>https://www.lilis.com.ar/bolsa-orina-cama-forlano-2000a-4200</t>
  </si>
  <si>
    <t>Sigue variacion de codigo de insumo 3215</t>
  </si>
  <si>
    <t>117Base032122001.3BOQUILLA DE CARTON P/ESPIROMETRIA  Presentación:  UNIDAD</t>
  </si>
  <si>
    <t>https://www.tiendahospimed.com.ar/MLA-738015672-boquilla-para-espirometria-31-mm-20-unidades-_JM#position=1&amp;search_layout=stack&amp;type=item&amp;tracking_id=221e3683-c93b-4582-b29e-6e45c6851180</t>
  </si>
  <si>
    <t>CAJA X200U (px1) 20u (px2)</t>
  </si>
  <si>
    <t>156Base032230006.1BROCAL CON TAPA  Presentación:  UNIDAD</t>
  </si>
  <si>
    <t>https://www.tiendasaludonline.com.ar/productos/frasco-brocal-desc-c-tapa-no-esteril-x-2500cc/</t>
  </si>
  <si>
    <t>https://www.tiendahospimed.com.ar/MLA-872162244-frasco-brocal-24hs-muestra-de-orina-completa-2-lts-_JM#position=1&amp;search_layout=stack&amp;type=item&amp;tracking_id=c3b53cc0-b0de-416b-bcc3-d2db57cf3b27</t>
  </si>
  <si>
    <t>https://cirugiarex.com.ar/producto/brocal-descartable-vertice/</t>
  </si>
  <si>
    <t>px 2,5 litros</t>
  </si>
  <si>
    <t>36Base032030003.3CABLE P/ELECTROBISTURI CON MANGO Y PUNTA P/CORTE DESCARTABLE  Presentación:  SET</t>
  </si>
  <si>
    <t>CATETER IV DE POLIURETANO</t>
  </si>
  <si>
    <t>54Base032070005.11CATETER I.V. DE POLIURETANO N 14 G RADIOPACO  Presentacion:  UNIDAD</t>
  </si>
  <si>
    <t>CATETER I.V. DE POLIURETANO N 16 G RADIOPACO</t>
  </si>
  <si>
    <t>POLYMED</t>
  </si>
  <si>
    <t>https://www.tiendasaludonline.com.ar/productos/cateter-intravenoso-16g-caja-x-100u-polywin-polymed/</t>
  </si>
  <si>
    <t xml:space="preserve">CATETER I.V. DE POLIURETANO N 18 G RADIOPACO </t>
  </si>
  <si>
    <t>https://www.tiendasaludonline.com.ar/productos/cateter-intravenoso-18g-caja-x-100u-polywin-polymed/</t>
  </si>
  <si>
    <t xml:space="preserve">CATETER I.V. DE POLIURETANO N 20 G RADIOPACO </t>
  </si>
  <si>
    <t>https://www.tiendasaludonline.com.ar/productos/cateter-intravenoso-20g-caja-x-100u-polywin-polymed/</t>
  </si>
  <si>
    <t xml:space="preserve">CATETER I.V. DE POLIURETANO N 22 G RADIOPACO </t>
  </si>
  <si>
    <t>CATETER I.V. DE POLIURETANO N 24 G RADIOPACO</t>
  </si>
  <si>
    <t>https://www.tiendasaludonline.com.ar/productos/cateter-intravenoso-24g-caja-x-100u-polywin-polymed/</t>
  </si>
  <si>
    <t>139Base032160001.2CEPILLO P/TOMA CITOLOGICA ENDOCERVICAL DESC.EST.  Presentación:  UNIDAD</t>
  </si>
  <si>
    <t>IMPORTADO</t>
  </si>
  <si>
    <t>https://www.tiendasaludonline.com.ar/productos/cepillo-p-citologia-endocervical-cj-x-100-unidades-esteril-c-envase-individual-importado/</t>
  </si>
  <si>
    <t>MEDISUL</t>
  </si>
  <si>
    <t>https://cirugiarex.com.ar/producto/cepillo-colector-citologico/</t>
  </si>
  <si>
    <t>X 100U</t>
  </si>
  <si>
    <t>85Base032090007.1CHATA PLASTICA ADULTO  Presentación:  UNIDAD</t>
  </si>
  <si>
    <t>KASSE</t>
  </si>
  <si>
    <t>https://cirugiarex.com.ar/producto/chata-plastica-orinal-reforzada-kasse/</t>
  </si>
  <si>
    <t>https://www.lilis.com.ar/chata-plastica</t>
  </si>
  <si>
    <t>125Base032150002.1CINTA AUTOADHESIVA C/INDICADOR QUIMICO P/CALOR SECO 18 MM-50 MT.APROX.  Presentación:  ROLLO</t>
  </si>
  <si>
    <t>https://www.tiendasaludonline.com.ar/productos/cinta-indicadora-autoadhesiva-para-procesos-de-esterilizacion-ct30-dry-terragene/</t>
  </si>
  <si>
    <t>126Base032150002.3CINTA AUTOADHESIVA C/INDICADOR QUIMICO P/VAPOR 18 MM 50 MT.APROX.  Presentación:  ROLLO</t>
  </si>
  <si>
    <t>https://www.tiendasaludonline.com.ar/productos/cinta-indicadora-autoadhesiva-para-procesos-de-esterilizacion-ct40-vh2o2-terragene/</t>
  </si>
  <si>
    <t>114Base032120020.17CIRCUITO CERRADO DE EXTRACCION DE MUCUS 16 F TIPO TRANCHCARE  Presentación:  UNIDAD</t>
  </si>
  <si>
    <t>https://www.tiendasaludonline.com.ar/productos/cateter-de-succion-cerrado-p-asp-traqueal-14-fr-adulto-aurinco-libre-de-latex-x-34-cm/</t>
  </si>
  <si>
    <t>145Base032220001.1COLLAR CERVICAL TIPO PHILADELPHIA CHICO  Presentación:  UNIDAD</t>
  </si>
  <si>
    <t>BODY CARE</t>
  </si>
  <si>
    <t>https://www.tiendasaludonline.com.ar/productos/collar-tipo-filadelfia-s-m-l-body-care/</t>
  </si>
  <si>
    <t>COLTEX</t>
  </si>
  <si>
    <t>https://www.lilis.com.ar/collar-de-filadelfia-coltex-mediano</t>
  </si>
  <si>
    <t>128Base032150004.1CONTROL BIOLOGICO P/VAPOR.CALOR SECO Y OXIDO ETILEN.S/MEDIO CULT.INCORPORADO  Presentación:  UNIDAD</t>
  </si>
  <si>
    <t>https://www.tiendasaludonline.com.ar/productos/indicador-biologico-bt91-vh2o2-x-100u-terragene/</t>
  </si>
  <si>
    <t>7Base032010006.13DESCARTADOR PLAST CAP 4 LT P/CORTOPUNZANTES BOCA ANCHA  Presentacion:  UNIDAD</t>
  </si>
  <si>
    <t>https://www.lilis.com.ar/descartador-agujas-y-corto-punz-e-4</t>
  </si>
  <si>
    <t>https://www.tiendahospimed.com.ar/MLA-915340507-descartador-agujas-y-cortopunzantes-negro-4-litros-_JM#position=21&amp;search_layout=stack&amp;type=item&amp;tracking_id=0b2e9a7f-529f-4b1f-894a-35cbc3e4ea57</t>
  </si>
  <si>
    <t>8Base032010006.14DESCARTADOR PLAST CAP 7 LT P/CORTOPUNZANTES BOCA ANCHA  Presentacion:  UNIDAD</t>
  </si>
  <si>
    <t>https://www.lilis.com.ar/descartador-agujas-y-corto-punz-e-7</t>
  </si>
  <si>
    <t>https://www.tiendahospimed.com.ar/MLA-805901351-descartador-agujas-y-cortopunzantes-rojo-7-litros-_JM#position=6&amp;search_layout=stack&amp;type=item&amp;tracking_id=5d5ddbbf-cc65-4aec-9d7c-a7b4551a530c</t>
  </si>
  <si>
    <t>62032010006.12DESCARTADOR PLAST CAP 1 LT P/CORTOPUNZANTES BOCA ANCHA  Presentación:  UNIDAD</t>
  </si>
  <si>
    <t>https://www.lilis.com.ar/descartador-agujas-1-litros-e-1</t>
  </si>
  <si>
    <t>https://www.tiendahospimed.com.ar/MLA-862992543-descartador-agujas-cortopunzantes-negro-1-litro-2-unidades-_JM#position=30&amp;search_layout=stack&amp;type=item&amp;tracking_id=45721ac5-008c-420d-91ec-d16ba69bbf1e</t>
  </si>
  <si>
    <t>PX 2 X 2UNIDADES</t>
  </si>
  <si>
    <t>127Base032150003.6DETERGENTE TRIENZIMATICO (PROTEASA-AMILASA-LIPASA)BAJA ESPUMA  Presentación:  X LITRO  Solicitado:  BIDON</t>
  </si>
  <si>
    <t>SURGIZIME</t>
  </si>
  <si>
    <t>https://www.tiendasaludonline.com.ar/productos/detergente-tri-enzimatico-o3-x-1-lt-surgizime/</t>
  </si>
  <si>
    <t>37Base032050001.1ELECTRODO P/MONITOREO NIÑOS DESC.  Presentación:  UNIDAD</t>
  </si>
  <si>
    <t>https://cirugiarex.com.ar/producto/electrodos-descartables/</t>
  </si>
  <si>
    <t>SWAROMED</t>
  </si>
  <si>
    <t>https://www.tiendasaludonline.com.ar/productos/electrodo-e-c-g-foam-pedatrico-40-mm-paq-x-50-libre-de-latex-swaromed/</t>
  </si>
  <si>
    <t>px 1 y 2 x 50u</t>
  </si>
  <si>
    <t>74Base032070012.1EQUIPO DE CONTROL DE FLUJO TIPO UNIFLOW  Presentación:  UNIDAD</t>
  </si>
  <si>
    <t>Sigue variacion por codigo de insumo 3207</t>
  </si>
  <si>
    <t>GREYTON</t>
  </si>
  <si>
    <t>https://www.tiendasaludonline.com.ar/productos/especulo-vaginal-descartable-chico-greyton/</t>
  </si>
  <si>
    <t>BIONPRO</t>
  </si>
  <si>
    <t>https://www.tiendasaludonline.com.ar/productos/especulo-vaginal-descartable-chico-packing-x-100u-bionpro/</t>
  </si>
  <si>
    <t>https://www.lilis.com.ar/especulo-medisul-grande-para-leep-100-rosa-2</t>
  </si>
  <si>
    <t>X100U (PX 1 Y 2)</t>
  </si>
  <si>
    <t>141Base032160002.2ESPECULO GRANDE DESC.EST.  Presentación:  UNIDAD</t>
  </si>
  <si>
    <t>https://www.tiendasaludonline.com.ar/productos/especulo-vaginal-descartable-grande-packing-x-100u-greyton/</t>
  </si>
  <si>
    <t>https://www.tiendasaludonline.com.ar/productos/especulo-vaginal-descartable-grande-packing-x-100u-bionpro/</t>
  </si>
  <si>
    <t>X 100U (PX 1 Y 2)</t>
  </si>
  <si>
    <t>https://www.tiendasaludonline.com.ar/productos/especulo-vaginal-descartable-mediano-medisul/</t>
  </si>
  <si>
    <t>https://www.tiendasaludonline.com.ar/productos/especulo-vaginal-descartable-mediano-packing-x-100u-bionpro/</t>
  </si>
  <si>
    <t>Sigue variacion codigo de insumo 3212</t>
  </si>
  <si>
    <t>113Base032120019.2FRASCO HUMIDIFICADOR DE OXIGENO x 300 ML  Presentación:  UNIDAD</t>
  </si>
  <si>
    <t>https://www.tiendahospimed.com.ar/MLA-925074778-frasco-humidificador-de-oxigeno-a-burbuja-_JM?utm_source=google&amp;utm_medium=cpc&amp;utm_campaign=darwin_ss</t>
  </si>
  <si>
    <t>232032020003.2GASA HIDROFILA DOBLE TUBULAR CON HILADO NO MENOR A 24/1, PIEZA DE80 CM X 22 M Y PESO NO INFERIOR A 1.1OO GR.  Presentación:  PIEZA</t>
  </si>
  <si>
    <t xml:space="preserve"> </t>
  </si>
  <si>
    <t>https://www.tiendasaludonline.com.ar/productos/gasa-hidrof-tubular-doble-hilado-24-1-pieza-x-1-kilo-insumos-xxi/</t>
  </si>
  <si>
    <t>CAVANNA</t>
  </si>
  <si>
    <t>https://cirugiarex.com.ar/producto/pieza-de-gasa-1-kg/</t>
  </si>
  <si>
    <t>Pieza x 1k</t>
  </si>
  <si>
    <t>24Base032020003.3 GASA TUBULAR 7 X 7 CM.ESTERIL DOBLADILLADA APROX.  Presentacion:  POUCH X 3  Solicitado:  POUCH</t>
  </si>
  <si>
    <t>https://www.tiendasaludonline.com.ar/productos/gasa-doblada-simple-esteril-en-sobre-7x7cm-x-3u-caja-x-500u-insumos-xxi/</t>
  </si>
  <si>
    <t>PX  x unidad, 500u de pouch por 3</t>
  </si>
  <si>
    <t>22Base032020002.4GASA SIMPLE-RECTILINEA 36 M LARGO X 1M ANCHO X 18 HILOS  Presentacion:  PIEZA</t>
  </si>
  <si>
    <t xml:space="preserve">Sigue px gasa hidrofilia doble tubular </t>
  </si>
  <si>
    <t>39Base032050002.6GEL PARA ECOGRAFIA CON DOSIFICADOR  Presentación:  X 500 GR  Solicitado:  ENVASE</t>
  </si>
  <si>
    <t>BACTER ALL</t>
  </si>
  <si>
    <t>https://www.lilis.com.ar/gel-neutro-1-2-kg-con-dispenser</t>
  </si>
  <si>
    <t>DELVA</t>
  </si>
  <si>
    <t>https://cirugiarex.com.ar/producto/gel-neutro-1000-ml-delva/</t>
  </si>
  <si>
    <t>MOIST GEL</t>
  </si>
  <si>
    <t>https://www.tiendahospimed.com.ar/MLA-808478889-gel-neutro-1-kg-x-2-unidades-_JM#position=4&amp;search_layout=stack&amp;type=item&amp;tracking_id=4e9e71f7-3bb5-4140-9504-a2190b3ce9db</t>
  </si>
  <si>
    <t>PX 2 X1Lto</t>
  </si>
  <si>
    <t>10Base032010011.1GUANTE LATEX CHICO DESCARTABLE  Presentación:  CAJA X 100  Solicitado:  CAJA</t>
  </si>
  <si>
    <t>TRUX</t>
  </si>
  <si>
    <t>https://www.tiendasaludonline.com.ar/productos/guantes-examen-latex-m-mediano-caja-x-100ps-trux/</t>
  </si>
  <si>
    <t>https://www.tiendasaludonline.com.ar/productos/guantes-examen-latex-talla-m-medium-caja-x-100u-bremen/</t>
  </si>
  <si>
    <t>13Base032010012.1GUANTE LATEX Nº 7 PUÑO LARGO DESC. ESTERIL  Presentación:  X PAR  Solicitado:  PAR</t>
  </si>
  <si>
    <t>NIPRO</t>
  </si>
  <si>
    <t>https://www.tiendasaludonline.com.ar/productos/guantes-esteriles-de-cirugia-nipro-nro-8-5-cja-x-50-pares/</t>
  </si>
  <si>
    <t>KELMER</t>
  </si>
  <si>
    <t>https://www.tiendasaludonline.com.ar/productos/guantes-de-cirugia-esteriles-n-7-0-caja-x-50-pares-kelmer/</t>
  </si>
  <si>
    <t>PX 1 X 50 pares en la pagina</t>
  </si>
  <si>
    <t>182032010017.9GUANTE LIBRE DE LATEX CHICO DESCARTABLE  Presentación:  CAJA X 100  Solicitado:  CAJA</t>
  </si>
  <si>
    <t>https://www.tiendahospimed.com.ar/MLA-866945877-guantes-de-nitrilo-negro-sin-polvo-x-100-unidades-_JM?searchVariation=59540783082#searchVariation=59540783082&amp;position=2&amp;search_layout=stack&amp;type=item&amp;tracking_id=13144c16-d71b-4ade-a9f4-c5dc0b72b11b</t>
  </si>
  <si>
    <t>https://www.tiendasaludonline.com.ar/productos/guante-examen-nitrilo-azul-medium-sin-polvo-aurinco-caja-x100u/</t>
  </si>
  <si>
    <t xml:space="preserve">X 100u </t>
  </si>
  <si>
    <t>64Base032070006.15GUIA ESTERIL MACROGOTERO C/FILTRO P/INFUSION DE SANGRE-PLASMA  Presentación:  UNIDAD</t>
  </si>
  <si>
    <t>63Base032070006.4GUIA ESTERIL MACROGOTERO S/FILTRO Y S/AGUJA  Presentación:  UNIDAD</t>
  </si>
  <si>
    <t>VENOSIL</t>
  </si>
  <si>
    <t>https://cirugiarex.com.ar/producto/macrogotero-venosil-s-aguja-tipo-v14/</t>
  </si>
  <si>
    <t>https://www.tiendasaludonline.com.ar/productos/macrogotero-sin-aguja-v14-caja-x-25ps-a-ruedita-novamed/</t>
  </si>
  <si>
    <t>PX 2. precio por 25ps</t>
  </si>
  <si>
    <t>62Base032070006.3GUIA ESTERIL MICROGOTERO FOTOSENSIBLE OPACA S/AGUJA  Presentación:  UNIDAD</t>
  </si>
  <si>
    <t>RYMCO</t>
  </si>
  <si>
    <t>https://www.tiendasaludonline.com.ar/productos/venoclisis-fotosensible-macro-sin-aguja-c-filtro-caja-x-100u-rymco/</t>
  </si>
  <si>
    <t>61Base032070006.1GUIA ESTERIL MICROGOTERO S/FILTRO S/AGUJA  Presentación:  UNIDAD</t>
  </si>
  <si>
    <t>https://cirugiarex.com.ar/producto/equipo-para-terapia-parental-con-microgotero-sin-aguja-tipo-v17/</t>
  </si>
  <si>
    <t>60Base032070006.2GUIA ESTERIL MICROGOTERO C/CAMARA GRAD.100 ML S/A  Presentación:  UNIDAD</t>
  </si>
  <si>
    <t>https://www.tiendasaludonline.com.ar/productos/venoclisis-macrogotero-s-aguj-c-filtro-con-venteo-20-gotas-caja-x-100u-rymco/</t>
  </si>
  <si>
    <t>20 GOTAS/ML</t>
  </si>
  <si>
    <t>144Base032160008.1HISTEROMETRO DESCARTABLE  Presentación:  UNIDAD</t>
  </si>
  <si>
    <t>https://cirugiarex.com.ar/producto/histerometro-maleable-sims-32-cm/</t>
  </si>
  <si>
    <t>BELMED</t>
  </si>
  <si>
    <t>https://www.tiendahospimed.com.ar/MLA-756022976-histerometro-sims-32-cm-instrumental-quirurgico-_JM#position=2&amp;search_layout=stack&amp;type=item&amp;tracking_id=b079918a-0923-4ef0-a7bc-cd168f966715</t>
  </si>
  <si>
    <t>32Base032030001.2HOJA DE BISTURI Nº 15 ESTERIL  Presentación:  UNIDAD</t>
  </si>
  <si>
    <t>RIBBEL</t>
  </si>
  <si>
    <t>https://www.lilis.com.ar/hojas-de-bisturi-ribbel-todos-los-tama-os</t>
  </si>
  <si>
    <t>https://www.lilis.com.ar/hojas-de-bisturi-printex-100-todos-los-tama-os</t>
  </si>
  <si>
    <t>X 100 U</t>
  </si>
  <si>
    <t>Sigue variacion por codigo de insumo 3215</t>
  </si>
  <si>
    <t>66Base032070007.4JERINGA   5 CC.S/AGUJA DESC.EST.  Presentación:  UNIDAD</t>
  </si>
  <si>
    <t>https://www.tiendasaludonline.com.ar/productos/jeringas-5cc-sin-aguja-caja-x-100-novamed/</t>
  </si>
  <si>
    <t>DARLING</t>
  </si>
  <si>
    <t>https://cirugiarex.com.ar/producto/jeringa-hipodermica-descartable-5ml-darling/</t>
  </si>
  <si>
    <t>https://www.tiendahospimed.com.ar/MLA-839003046-jeringa-descartable-5-ml-sin-aguja-100-unidades-_JM?searchVariation=50638209526#searchVariation=50638209526&amp;position=10&amp;search_layout=stack&amp;type=item&amp;tracking_id=6daac8f4-dc44-4bd5-ab5b-995b83254133</t>
  </si>
  <si>
    <t>X100U</t>
  </si>
  <si>
    <t>67Base032070007.5JERINGA  10 CC.S/AGUJA DESC.EST.  Presentación:  UNIDAD</t>
  </si>
  <si>
    <t>MEDECO</t>
  </si>
  <si>
    <t>https://www.tiendasaludonline.com.ar/productos/jeringas-3-elementos-10cc-s-aguja-medeco-caja-x-100u/</t>
  </si>
  <si>
    <t>https://www.tiendahospimed.com.ar/MLA-839003144-jeringa-descartable-10-ml-sin-aguja-100-unidades-_JM?searchVariation=50638348833#searchVariation=50638348833&amp;position=3&amp;search_layout=stack&amp;type=item&amp;tracking_id=23682066-0608-4318-9631-44fce24e804f</t>
  </si>
  <si>
    <t>68Base032070007.10JERINGA  20 CC.S/AGUJA DESC.EST.  Presentación:  UNIDAD</t>
  </si>
  <si>
    <t>https://www.tiendasaludonline.com.ar/productos/jeringas-3-elementos-sin-aguja-20cc-medeco-caja-x-50u/</t>
  </si>
  <si>
    <t>https://www.tiendahospimed.com.ar/MLA-839005963-jeringa-descartable-20-ml-sin-aguja-50-unidades-_JM?searchVariation=50639296659#searchVariation=50639296659&amp;position=27&amp;search_layout=stack&amp;type=item&amp;tracking_id=b581924e-6b78-4e94-bc7d-192e82dd69ec</t>
  </si>
  <si>
    <t>X50U</t>
  </si>
  <si>
    <t>69Base032070007.12JERINGA  60 CC.S/AGUJA DESC.EST.  Presentación:  UNIDAD</t>
  </si>
  <si>
    <t>EUROMIX</t>
  </si>
  <si>
    <t>https://www.tiendahospimed.com.ar/MLA-839004562-jeringa-descartable-60-ml-pico-toomey-cateter-25-unida-_JM?searchVariation=50638615865#searchVariation=50638615865&amp;position=1&amp;search_layout=stack&amp;type=item&amp;tracking_id=b47d3cab-1071-4ad2-97ed-4a8b1c4179c0</t>
  </si>
  <si>
    <t>NP</t>
  </si>
  <si>
    <t>https://cirugiarex.com.ar/producto/jeringa-desechable-tomey-60ml-x25/</t>
  </si>
  <si>
    <t>65Base032070007.3JERINGA 2.5 /3 CC.S/AGUJA DESC.EST.  Presentación:  UNIDAD</t>
  </si>
  <si>
    <t>https://www.tiendasaludonline.com.ar/productos/jeringas-3cc-sin-aguja-novamed-caja-x-100u/</t>
  </si>
  <si>
    <t>95Base032110001.1LLAVE 3 VIAS  Presentación:  UNIDAD</t>
  </si>
  <si>
    <t>https://www.lilis.com.ar/llave-de-3-vias</t>
  </si>
  <si>
    <t>GST</t>
  </si>
  <si>
    <t>https://www.tiendasaludonline.com.ar/productos/llaves-de-3-vias-esteril-luer-lock-gst-360x-50u/</t>
  </si>
  <si>
    <t>91Base032090019.7AEROCAMARA INHALATORIA C/VALVULA C/MASCARA ADULTO  Presentación:  UNIDAD</t>
  </si>
  <si>
    <t>AERO</t>
  </si>
  <si>
    <t>https://www.tiendasaludonline.com.ar/productos/aerocamara-adulto-aero-100/</t>
  </si>
  <si>
    <t>89Base032090019.5AEROCAMARA INHALATORIA C/VLAVULA C/MASCARA NEONATAL  Presentación:  UNIDAD</t>
  </si>
  <si>
    <t>https://www.tiendasaludonline.com.ar/productos/aerocamara-neonatal-aero-100/</t>
  </si>
  <si>
    <t>90Base032090019.6AEROCAMARA INHALATORIA C/VALVULA C/MASCARA PEDIATRICA  Presentación:  UNIDAD</t>
  </si>
  <si>
    <t>https://www.tiendasaludonline.com.ar/productos/aerocamara-pediatrica-aero-100/</t>
  </si>
  <si>
    <t>100Base032120004.3INHALADOR DE OXIGENO P/CAVIDAD NASAL ADULTO C/2 TUBULADURAS DESC.EST.  Presentación:  UNIDAD</t>
  </si>
  <si>
    <t>https://www.tiendasaludonline.com.ar/productos/sonda-nasal-p-oxigeno-adulto-k27-cajon-x-250u-novamed/</t>
  </si>
  <si>
    <t>https://www.lilis.com.ar/bigotera-k27-adulto-nasal-kol-78433</t>
  </si>
  <si>
    <t>px 1 X250u</t>
  </si>
  <si>
    <t>99Base032120004.2INHALADOR DE OXIGENO P/CAVIDAD NASAL PEDIATRICO C/2 TUBULADURAS DESC.EST.  Presentación:  UNIDAD</t>
  </si>
  <si>
    <t>https://www.lilis.com.ar/bigotera-k27-pediatrica-koler</t>
  </si>
  <si>
    <t>px 1 x100u</t>
  </si>
  <si>
    <t>103Base032120005.25MASCARA P/OXIGENA C/RESERVORIO PEDIATRICA  Presentación:  UNIDAD</t>
  </si>
  <si>
    <t>https://cirugiarex.com.ar/producto/mascara-oxigeno-con-reservorio-adulto-y-pediatrico/</t>
  </si>
  <si>
    <t>https://www.tiendahospimed.com.ar/MLA-1111930436-mascara-de-oxigeno-c-reservorio-arnes-y-tubuladora-_JM#position=5&amp;search_layout=stack&amp;type=item&amp;tracking_id=78294b9d-cafd-4586-9d8b-8bea49a452ea</t>
  </si>
  <si>
    <t>101Base032120005.1MASCARA P/OXIGENOTERAPIA ADULTO C/5 VALVULAS P/ GRADUACION  Presentación:  SET  Solicitado:  SET</t>
  </si>
  <si>
    <t>GALEMED</t>
  </si>
  <si>
    <t>https://cirugiarex.com.ar/producto/mascara-oxigeno-100/</t>
  </si>
  <si>
    <t>https://www.lilis.com.ar/mascara-de-oxigeno-6-graduaciones-hg-adulta-59498</t>
  </si>
  <si>
    <t>PX 2 C/6 valvulas</t>
  </si>
  <si>
    <t>102Base032120005.2MASCARA P/OXIGENOTERAPIA PEDIATRICA C/5 VALVULAS P/GRADUACION  Presentación:  SET  Solicitado:  SET</t>
  </si>
  <si>
    <t>https://www.lilis.com.ar/mascara-de-oxigeno-6-graduaciones-pediatrica-hg-113</t>
  </si>
  <si>
    <t>104Base032120005.26MASCARA P/OXIGENA C/RESERVORIO ADULTO  Presentación:  UNIDAD</t>
  </si>
  <si>
    <t>Sigue variacion por codigo de insumo 3212</t>
  </si>
  <si>
    <t>75Base032080004.3NYLON N°4/0 C/AGUJA 1/2 CIRC.15 MM APROX.PTA.REV.CORTANTE  Presentación:  UNIDAD</t>
  </si>
  <si>
    <t>SURGIKAL</t>
  </si>
  <si>
    <t>https://www.lilis.com.ar/sutura-de-nylon-supralon-todos-los-tama-os</t>
  </si>
  <si>
    <t>76Base032080004.4NYLON N°5/0 C/AGUJA 1/2 CIRC.15 MM APROX.PTA.REV.CORTANTE  Presentación:  UNIDAD</t>
  </si>
  <si>
    <t>77Base032080004.7NYLON Nº3/0 C/AGUJA 3/8 CIRC.25 MM APROX.PTA.REV.CORTANTE  Presentación:  UNIDAD</t>
  </si>
  <si>
    <t>78Base032080005.7POLIGLACTINA Nº2/0 C/AGUJA 1/2 CIRC.25 MM APROX.PTA.CILÍNDRICA  Presentación:  UNIDAD</t>
  </si>
  <si>
    <t>https://www.lilis.com.ar/sutura-poliglyd-todos-los-tama-os</t>
  </si>
  <si>
    <t>86Base032090010.2ORINAL DE PLASTICO P/VARON CAP.800 ML.  Presentación:  UNIDAD</t>
  </si>
  <si>
    <t>https://www.lilis.com.ar/papagayo-plastico-masculino</t>
  </si>
  <si>
    <t>88Base032090013.5PAÑAL DESCARTABLE ADULTO EXTRAGRANDE CON ADHESIVO Y GEL  Presentacion:  UNIDAD</t>
  </si>
  <si>
    <t>NONISEC</t>
  </si>
  <si>
    <t>https://www.tiendasaludonline.com.ar/productos/nonisec-panales-adultos-recto-con-gel-extragrande-x-10pads-x-8-paq/</t>
  </si>
  <si>
    <t>px 1 (8 paq. De 10 pañales)</t>
  </si>
  <si>
    <t>87Base032090013.1PAÑAL DESCARTABLE ADULTO GRANDE C/ADHESIVO Y GEL  Presentación:  UNIDAD</t>
  </si>
  <si>
    <t>https://www.tiendasaludonline.com.ar/productos/panales-adultos-recto-con-gel-grande-x-50-pads-x-2-paq/</t>
  </si>
  <si>
    <t>px 1(2 Paq. De 16 pañales)</t>
  </si>
  <si>
    <t>92Base032090021.2PAÑOS BAÑO FACIL CON CLORHEXIDINA JABONOSA  Presentacion:  UNIDAD</t>
  </si>
  <si>
    <t>BAÑO FACIL</t>
  </si>
  <si>
    <t>https://cirugiarex.com.ar/producto/bano-facil-con-clorhexidina/</t>
  </si>
  <si>
    <t>41Base032050004.4PAPEL P/ECG TERMOSENSIBLE 50 MM X 30 MT  Presentación:  ROLLO</t>
  </si>
  <si>
    <t>THERMAL PAPER</t>
  </si>
  <si>
    <t>https://cirugiarex.com.ar/producto/papel-ecg-electrocardiografo-50mm-x30-mts/</t>
  </si>
  <si>
    <t>px 1 x10 rollos; px2 60mm*30mm</t>
  </si>
  <si>
    <t>40Base032050003.1PAPEL P/ECOGRAFIA 110 MM X 20 MT  Presentación:  ROLLO</t>
  </si>
  <si>
    <t xml:space="preserve">SONY </t>
  </si>
  <si>
    <t>https://cirugiarex.com.ar/producto/papel-videprinter-ecografico-upp-110s-sony/</t>
  </si>
  <si>
    <t>SONY</t>
  </si>
  <si>
    <t>https://www.lilis.com.ar/papel-para-video-printer-sony-negro-hd-ha</t>
  </si>
  <si>
    <t>134Base032150006.6PAPEL QUIRURGICO BLANCO PURO 60 GR.X M2 (TIPO KRAFT)  Presentacion:  X KG  Solicitado:  KG</t>
  </si>
  <si>
    <t>https://www.tiendahospimed.com.ar/MLA-1103683562-papel-kraff-medicinal-bobina-60-cm-12-kg-_JM#position=14&amp;search_layout=stack&amp;type=item&amp;tracking_id=a3333a02-bdfe-4512-872d-35e5a6e63887</t>
  </si>
  <si>
    <t>60cm 12 km</t>
  </si>
  <si>
    <t>143Base032160005.1PINZA MAIER RECTA DESC. ESTÉRIL  Presentación:  UNIDAD</t>
  </si>
  <si>
    <t>https://www.lilis.com.ar/pinza-maier-medisul-descartable-10-uni</t>
  </si>
  <si>
    <t>https://cirugiarex.com.ar/producto/pinza-maier-un-solo-uso-25-cm-recta/</t>
  </si>
  <si>
    <t>MEDICAL PLUS</t>
  </si>
  <si>
    <t>https://www.tiendahospimed.com.ar/MLA-817034684-pinza-maier-ginecologica-descartable-por-5-unidades-_JM#position=1&amp;search_layout=stack&amp;type=item&amp;tracking_id=d269d3a5-cf58-4423-8db1-4c39264c184d</t>
  </si>
  <si>
    <t>83Base032090004.1PINZA UMBILICAL DESCARTABLE-ESTERIL  Presentación:  UNIDAD</t>
  </si>
  <si>
    <t>PLASTIMED</t>
  </si>
  <si>
    <t>129Base032150006.1POUCH CON INDIC P/VAPOR/O.E 7,5X200 PAPEL QUIRURGICO LISO/LAMINAD.PLAST.TRANSPAREN  Presentacion:  ROLLO</t>
  </si>
  <si>
    <t>https://www.tiendasaludonline.com.ar/productos/bobina-pouch-para-esterilizacion-sin-fuelle-300mm-x-200mts-caja-x-1-rollo-3m/</t>
  </si>
  <si>
    <t>Sigue variacion por codigo de insumo 3211</t>
  </si>
  <si>
    <t>118Base032130006.1SONDA (TIPO K 9) P/INTUBACION GASTRICA LONG.125 CM X 4 MM DIAM.EXT.APROX.EST.  Presentación:  UNIDAD</t>
  </si>
  <si>
    <t>https://www.lilis.com.ar/sonda-k-32-nasogastrica-s-33</t>
  </si>
  <si>
    <t>105Base032120006.4SONDA P/INH O SUCCION MUCUS (TIPO K 29) LONG.45 CM X 4.0 MM DIAM.EXT.DESC.EST.  Presentación:  UNIDAD</t>
  </si>
  <si>
    <t>150Base032230003.5SONDA DE FOLEY Nº16 DOBLE VIA BALON 5/15 EST.  Presentación:  UNIDAD</t>
  </si>
  <si>
    <t xml:space="preserve">SONDA DE FOLEY Nº16 DOBLE VIA BALON 5/15 EST. </t>
  </si>
  <si>
    <t>STAR</t>
  </si>
  <si>
    <t>https://www.tiendasaludonline.com.ar/productos/sonda-foley-2-vias-100-silicona-pura-n-16-caja-x-10ps-star-kangyuang/</t>
  </si>
  <si>
    <t>https://cirugiarex.com.ar/producto/sonda-foley-n18-silicona-2-vias-kangyuan/</t>
  </si>
  <si>
    <t>151Base032230003.6SONDA DE FOLEY Nº18 DOBLE VIA BALON 5/15 EST.  Presentación:  UNIDAD</t>
  </si>
  <si>
    <t>SONDA DE FOLEY Nº18 DOBLE VIA BALON 5/15 EST.</t>
  </si>
  <si>
    <t>152Base032230003.7SONDA DE FOLEY Nº20 DOBLE VIA BALON 5/15 EST.  Presentación:  UNIDAD</t>
  </si>
  <si>
    <t xml:space="preserve">SONDA DE FOLEY Nº20 DOBLE VIA BALON 5/15 EST. </t>
  </si>
  <si>
    <t>153Base032230003.8SONDA DE FOLEY Nº22 DOBLE VIA BALON 5/15 EST.  Presentación:  UNIDAD</t>
  </si>
  <si>
    <t>SONDA DE FOLEY Nº22 DOBLE VIA BALON 5/15 EST.</t>
  </si>
  <si>
    <t>https://www.tiendasaludonline.com.ar/productos/sonda-foley-2-vias-100-silicona-pura-n-22-caja-x-10ps-star-kangyuan/</t>
  </si>
  <si>
    <t>154Base032230003.11SONDA DE FOLEY Nº20 TRIPLE VIA BALON 30/45 EST.  Presentación:  UNIDAD</t>
  </si>
  <si>
    <t>SONDA DE FOLEY Nº20 TRIPLE VIA BALON 30/45 EST</t>
  </si>
  <si>
    <t>https://www.tiendasaludonline.com.ar/productos/sonda-foley-3-vias-n-20-silicona-pura-100-caja-x-10ps-star/</t>
  </si>
  <si>
    <t>155Base032230005.4 SONDA URETRAL RECTA N° 12 (TIPO K 93)  Presentación:  UNIDAD</t>
  </si>
  <si>
    <t>https://www.tiendasaludonline.com.ar/productos/sonda-nelaton-uretral-pvc-k93-n12-caja-x-50-ps-novamed/</t>
  </si>
  <si>
    <t>https://cirugiarex.com.ar/producto/sonda-nelaton-k93-dc/</t>
  </si>
  <si>
    <t>27Base032020006.2TELA ADHESIVA X   5 CM DE ANCHO Y 9 M DE LARGO APROX.  Presentación:  ROLLO</t>
  </si>
  <si>
    <t>ADHESUR</t>
  </si>
  <si>
    <t>https://www.lilis.com.ar/tela-adhesiva-adhesur-5-uni-4-5-metros</t>
  </si>
  <si>
    <t>CORONET</t>
  </si>
  <si>
    <t>https://cirugiarex.com.ar/producto/cintas-adhesivas-coronet-5cm-x-9m-x6-unidades/</t>
  </si>
  <si>
    <t>4,5 X 9MTS de largo</t>
  </si>
  <si>
    <t>28Base032020006.4TELA ADHESIVA X 5 CM MICROPOROSA HIPOALERGENICA 9 M LARGO APROX.  Presentación:  ROLLO</t>
  </si>
  <si>
    <t>RIASA</t>
  </si>
  <si>
    <t>https://cirugiarex.com.ar/producto/cinta-hipoalergenica-micropore-3m-1530-2/</t>
  </si>
  <si>
    <t>292032020006.6TELA ADHESIVA X 5 CM TRANSP.HIPOALERGENICA 9 M DE LARGO APROX.  Presentación:  ROLLO</t>
  </si>
  <si>
    <t>https://cirugiarex.com.ar/producto/tela-transpore-5-00cm-x-6un-3m/</t>
  </si>
  <si>
    <t>https://www.lilis.com.ar/tela-adhesiva-transpore-2-5-9-un-42212-120</t>
  </si>
  <si>
    <t>Solo x2,5 cm</t>
  </si>
  <si>
    <t>84Base032090005.2TERMOMETRO CLINICO DIGITAL (S/MERCURIO)  Presentación:  UNIDAD</t>
  </si>
  <si>
    <t>CITIZEN</t>
  </si>
  <si>
    <t>https://www.lilis.com.ar/termometro-digital-citizen</t>
  </si>
  <si>
    <t>EXHATERM</t>
  </si>
  <si>
    <t>https://www.tiendasaludonline.com.ar/productos/termometro-digital-exatherm-dt-k11b/</t>
  </si>
  <si>
    <t>EXATHERM</t>
  </si>
  <si>
    <t>https://www.tiendahospimed.com.ar/MLA-854138982-termometro-digital-lectura-rapida-exatherm-_JM#position=3&amp;search_layout=stack&amp;type=item&amp;tracking_id=ae3e8879-4057-4a0e-88ad-f7c3d73658c0</t>
  </si>
  <si>
    <t>106Base032120008.14TUBO ENDOTRAQUEAL 7.5 MM DIAM.INT.(N°30) CON BALON DESC.EST.  Presentacion:  UNIDAD</t>
  </si>
  <si>
    <t>KANGYUAN</t>
  </si>
  <si>
    <t>https://www.tiendasaludonline.com.ar/productos/tubo-endotraqueal-con-balon-reforzado-8-0-kangyuan/</t>
  </si>
  <si>
    <t>45Base032060005.6VENDA ENYESADA-FRAGUADO RAPIDO 10 CM ANCHO X 5 M DE LARGO APROX.  Presentación:  ROLLO</t>
  </si>
  <si>
    <t>https://cirugiarex.com.ar/producto/venda-enseyada-fraguada-rapido-10cm-x-4m/</t>
  </si>
  <si>
    <t>https://www.lilis.com.ar/venda-yeso-rapida-10-4-gypsofix-25</t>
  </si>
  <si>
    <t>Tamaño 10x4</t>
  </si>
  <si>
    <t>46Base032060005.7VENDA ENYESADA-FRAGUADO RAPIDO 15 CM ANCHO X 5 M DE LARGO APROX.  Presentación:  ROLLO</t>
  </si>
  <si>
    <t>https://www.lilis.com.ar/venda-yeso-rapida-15-4-gypsofix-25</t>
  </si>
  <si>
    <t>https://cirugiarex.com.ar/producto/venda-enseyada-fraguada-rapido-15cm-x-4m/</t>
  </si>
  <si>
    <t>Tamaño 15x4</t>
  </si>
  <si>
    <t>47Base032060005.8VENDA ENYESADA-FRAGUADO RAPIDO 20 CM ANCHO X 5 M DE LARGO APROX.  Presentación:  ROLLO</t>
  </si>
  <si>
    <t>https://www.lilis.com.ar/venda-yeso-rapida-20-4-fave-gypsofix-25</t>
  </si>
  <si>
    <t>https://cirugiarex.com.ar/producto/venda-enseyada-fraguada-rapido-20cm-x-4m/</t>
  </si>
  <si>
    <t>Tamaño 20x4</t>
  </si>
  <si>
    <t>25Base032020004.2 VENDA TIPO CAMBRIC  7 CM ANCHO ORILLADA MIN 2,5 MTS DE LARGO  Presentación:  ROLLO</t>
  </si>
  <si>
    <t>ANTAR</t>
  </si>
  <si>
    <t>https://cirugiarex.com.ar/producto/venda-cambric-7-cm-x3mm-antar/</t>
  </si>
  <si>
    <t>VENDSUR</t>
  </si>
  <si>
    <t>https://www.lilis.com.ar/venda-cambric-orillada-7-3-plus</t>
  </si>
  <si>
    <t>26Base032020004.3VENDA TIPO CAMBRIC 10 CM ANCHO ORILLADA MIN 2,5 MTS DE LARGO  Presentación:  ROLLO</t>
  </si>
  <si>
    <t>https://cirugiarex.com.ar/producto/venda-cambric-10-cm-x3mm-antar/</t>
  </si>
  <si>
    <t>https://www.lilis.com.ar/venda-cambric-orillada-10-3-plus</t>
  </si>
  <si>
    <t xml:space="preserve">Sigue px similar GASA HIDROFILIA </t>
  </si>
  <si>
    <t>Grupo codigo de insumo</t>
  </si>
  <si>
    <t>Detalle</t>
  </si>
  <si>
    <t>Promedio por codigo de insumo</t>
  </si>
  <si>
    <t>Renglon</t>
  </si>
  <si>
    <t xml:space="preserve">JERINGA  60 CC.S/AGUJA DESC.EST.                                                                                                                                                   </t>
  </si>
  <si>
    <t>MICRONEBULIZADOR C/MASCARA Y TUBULADURA (adulto y pediatrico)</t>
  </si>
  <si>
    <t>109/110</t>
  </si>
  <si>
    <t>TUBO ENDOTRAQUEAL 7.5 MM DIAM.INT.(N°30) CON BALON DESC.EST.  Presentacion:  UNIDAD</t>
  </si>
  <si>
    <t>115/116</t>
  </si>
  <si>
    <t>Promedio Mercado</t>
  </si>
  <si>
    <t>Precio Mayo COMPR.AR</t>
  </si>
  <si>
    <t>Promedio TOTAL</t>
  </si>
  <si>
    <t>PTM</t>
  </si>
  <si>
    <t xml:space="preserve">DESCARTADOR CAP.1 LT. P/PUNZANTES BOCA ANCHA                                                                                                                                                                                                            </t>
  </si>
  <si>
    <t>Porcentaje aumento Ene-Marz.</t>
  </si>
  <si>
    <t>https://www.tiendahospimed.com.ar/MLA-918606757-alcohol-medicinal-70-1-litro-sanicol-3-unidades-_JM#position=3&amp;search_layout=stack&amp;type=item&amp;tracking_id=b1377160-a1b4-4e65-9b75-b0f100f44cb1</t>
  </si>
  <si>
    <t>SANICOL</t>
  </si>
  <si>
    <t>https://www.tiendahospimed.com.ar/MLA-918604306-alcohol-etilico-96-1-litro-x-3-unidades-sanicol-_JM#position=1&amp;search_layout=stack&amp;type=item&amp;tracking_id=b1377160-a1b4-4e65-9b75-b0f100f44cb1</t>
  </si>
  <si>
    <t>https://www.tiendahospimed.com.ar/MLA-768780653-bajalengua-de-madera-adulto-o-pediatrico-600-unidades-_JM#position=1&amp;search_layout=stack&amp;type=item&amp;tracking_id=ec7797df-3e4d-4220-90cc-6644425bf5a2</t>
  </si>
  <si>
    <t>https://www.tiendahospimed.com.ar/MLA-768780653-bajalengua-de-madera-adulto-o-pediatrico-600-unidades-_JM#position=1&amp;search_layout=stack&amp;type=item&amp;tracking_id=ec7797df-3e4d-4220-90cc-6644425bf5a3</t>
  </si>
  <si>
    <t>https://www.tiendahospimed.com.ar/MLA-900811282-barbijo-quirurgico-triple-capa-con-elastico-50-unidades-_JM#position=1&amp;search_layout=stack&amp;type=item&amp;tracking_id=26c9d2d1-aa72-46b5-bfd4-c6383639bad9</t>
  </si>
  <si>
    <t>https://cirugiarex.com.ar/producto/barbijo-quirurgico-x50-unidades-2/</t>
  </si>
  <si>
    <t>NEW MASK</t>
  </si>
  <si>
    <t>https://www.tiendasaludonline.com.ar/productos/bolsa-orina-2lts-con-valvula-pull-on-k207-cajon-x-240u-kanginj/</t>
  </si>
  <si>
    <t>KANGINJ</t>
  </si>
  <si>
    <t>https://www.tiendahospimed.com.ar/MLA-1169851871-cateter-intravenoso-angiocath-x-10-unidades-varias-medidas-_JM?attributes=TWVkaWRh%3ATsKwMjI%3D&amp;quantity=1</t>
  </si>
  <si>
    <t>https://www.tiendahospimed.com.ar/MLA-1291850372-guia-suero-macrogotero-cchapa-v-14-x-10-unidades-sin-aguja-_JM#position=2&amp;search_layout=stack&amp;type=item&amp;tracking_id=57f49db4-9aee-44c5-9095-2a62687ea517</t>
  </si>
  <si>
    <t>KOLER</t>
  </si>
  <si>
    <t>https://www.tiendasaludonline.com.ar/productos/sonda-inhalacion-oxigeno-pediatrica-k27-bigotera-x-250ps-novamed/</t>
  </si>
  <si>
    <t>PRECIOS ACTUALIZADOS AL : 08/05/2023</t>
  </si>
  <si>
    <t>Promedio Mercado MAYO</t>
  </si>
  <si>
    <t>https://www.lilis.com.ar/detergente-bienzimatico-1-litro</t>
  </si>
  <si>
    <t>https://www.lilis.com.ar/papel-50-30-electrocardiografo-t-fukuda-x-10-un</t>
  </si>
  <si>
    <t>https://www.lilis.com.ar/tela-adhesiva-micropore-5-sin-carretel-16558</t>
  </si>
  <si>
    <t>https://www.lilis.com.ar/barbijo-triple-con-elastico-50-negro</t>
  </si>
  <si>
    <t>https://www.tiendahospimed.com.ar/MLA-1193292917-mango-para-electrobisturi-monopolar-descartable-_JM#position=1&amp;search_layout=stack&amp;type=item&amp;tracking_id=622e4d85-b43d-4b8b-aaaa-51e931ca9843</t>
  </si>
  <si>
    <t>https://www.lilis.com.ar/agujas-cateter-todos-los-tama-os</t>
  </si>
  <si>
    <t>https://www.tiendahospimed.com.ar/MLA-1111932009-mascara-de-oxigeno-c-reguladores-arnes-y-tubuladora-_JM#position=1&amp;search_layout=stack&amp;type=item&amp;tracking_id=688708a5-e42d-4ff5-9938-1ee3a70f6c44</t>
  </si>
  <si>
    <t>https://www.lilis.com.ar/pinza-umbilical-descartable-100-25453?gclid=Cj0KCQjwu-KiBhCsARIsAPztUF3OO_Zqxn8C8cGp92xDJUounaQKJsursL4121TSqyqZJGJ1bBHRd_4aAsQiEALw_wcB</t>
  </si>
  <si>
    <t>https://www.tiendasaludonline.com.ar/productos/aguja-hipodermica-descart-25-6-23g1-caja-x-100u-greetmed/</t>
  </si>
  <si>
    <t>GREETMED</t>
  </si>
  <si>
    <t>https://www.lilis.com.ar/agujas-terumo-todos-los-tama-os</t>
  </si>
  <si>
    <t>https://www.tiendasaludonline.com.ar/productos/agujas-hipodermicas-50-8-x-100ps-novamed/</t>
  </si>
  <si>
    <t>https://www.farmaplus.com.ar/novofine-agujas-30g-x-8-mm-para-pen-caja-100-unidades/p?gclid=EAIaIQobChMIitjau-by_wIVLWtMCh3KOgiMEAMYAyAAEgL1YvD_BwE%20NOVOFINE</t>
  </si>
  <si>
    <t>NOVOFINE</t>
  </si>
  <si>
    <t>https://www.lilis.com.ar/aguja-50-8-100-euromix</t>
  </si>
  <si>
    <t>https://cirugiarex.com.ar/producto/llave-de-3-vias-esteril-360o/</t>
  </si>
  <si>
    <t>PRINTEX</t>
  </si>
  <si>
    <t>https://www.tiendahospimed.com.ar/MLA-1123310076-filtro-con-puerto-oxigeno-kangyuan-x-3-unidades-_JM#position=12&amp;search_layout=stack&amp;type=item&amp;tracking_id=0826f4ba-742b-4114-90c7-f739d290aa8f</t>
  </si>
  <si>
    <t>https://www.tiendahospimed.com.ar/MLA-1119006063-filtro-para-espirometro-3030-microgard-ii-_JM#position=3&amp;search_layout=stack&amp;type=item&amp;tracking_id=0826f4ba-742b-4114-90c7-f739d290aa8f</t>
  </si>
  <si>
    <t>MICROGARD II</t>
  </si>
  <si>
    <t>https://www.lilis.com.ar/filtro-antibacterial-para-espirometro-mir</t>
  </si>
  <si>
    <t>MIR</t>
  </si>
  <si>
    <t>Promedio Mercado JULIO</t>
  </si>
  <si>
    <t>Variacion Mayo - Julio</t>
  </si>
  <si>
    <t>https://www.tiendasaludonline.com.ar/productos/macrogotero-sin-aguja-v14-caja-x-200-unidades-a-ruedita-novamed/</t>
  </si>
  <si>
    <t>PX 2. precio por 200u</t>
  </si>
  <si>
    <t>https://www.kine-estetic.com/catalogue/guias-de-suero-perfus-11337/guia-de-suero-perfus-n%C2%B01-v14-macrogotero-sin-aguja-con-chapita-venosil-16609.html?skin=busqueda</t>
  </si>
  <si>
    <t>https://www.lilis.com.ar/ba-o-facil-manzanilla-10-unidades</t>
  </si>
  <si>
    <t>PRECIOS ACTUALIZADOS AL : 18/07/2023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</si>
</sst>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.00_-;\-&quot;$&quot;\ * #,##0.00_-;_-&quot;$&quot;\ * &quot;-&quot;??_-;_-@"/>
  </numFmts>
  <fonts count="121">
    <font>
      <sz val="11"/>
      <name val="Calibri"/>
      <scheme val="minor"/>
    </font>
    <font>
      <i/>
      <sz val="12"/>
      <color rgb="FF000000"/>
      <name val="Calibri"/>
    </font>
    <font>
      <sz val="11"/>
      <name val="Calibri"/>
    </font>
    <font>
      <sz val="11"/>
      <name val="Calibri"/>
    </font>
    <font>
      <b/>
      <sz val="11"/>
      <color rgb="FF333333"/>
      <name val="Calibri"/>
    </font>
    <font>
      <b/>
      <i/>
      <sz val="11"/>
      <color rgb="FF000000"/>
      <name val="Calibri"/>
    </font>
    <font>
      <b/>
      <i/>
      <sz val="11"/>
      <color rgb="FF333333"/>
      <name val="Calibri"/>
    </font>
    <font>
      <i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color rgb="FF9C0006"/>
      <name val="Calibri"/>
    </font>
    <font>
      <b/>
      <sz val="11"/>
      <color rgb="FF000000"/>
      <name val="Calibri"/>
    </font>
    <font>
      <b/>
      <sz val="11"/>
      <name val="Calibri"/>
    </font>
    <font>
      <sz val="11"/>
      <color rgb="FF333333"/>
      <name val="Calibri"/>
    </font>
    <font>
      <b/>
      <i/>
      <sz val="11"/>
      <color rgb="FF333333"/>
      <name val="Arial"/>
    </font>
    <font>
      <b/>
      <i/>
      <sz val="11"/>
      <name val="Calibri"/>
    </font>
    <font>
      <b/>
      <sz val="11"/>
      <color rgb="FF808080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b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sz val="11"/>
      <color rgb="FFFFFF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2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theme="10"/>
      <name val="Calibri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b/>
      <sz val="11"/>
      <color rgb="FF333333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scheme val="minor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99CC00"/>
        <bgColor rgb="FF99CC00"/>
      </patternFill>
    </fill>
    <fill>
      <patternFill patternType="solid">
        <fgColor rgb="FFFFC7CE"/>
        <bgColor rgb="FFFFC7CE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9900"/>
        <bgColor rgb="FFFF99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CFFFF"/>
      </patternFill>
    </fill>
  </fills>
  <borders count="9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10" fillId="0" borderId="0" applyNumberFormat="0" applyFill="0" applyBorder="0" applyAlignment="0" applyProtection="0"/>
    <xf numFmtId="9" fontId="116" fillId="0" borderId="0" applyFont="0" applyFill="0" applyBorder="0" applyAlignment="0" applyProtection="0"/>
  </cellStyleXfs>
  <cellXfs count="668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164" fontId="3" fillId="0" borderId="0" xfId="0" applyNumberFormat="1" applyFont="1"/>
    <xf numFmtId="164" fontId="3" fillId="3" borderId="4" xfId="0" applyNumberFormat="1" applyFont="1" applyFill="1" applyBorder="1"/>
    <xf numFmtId="0" fontId="5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3" fillId="0" borderId="0" xfId="0" applyFont="1"/>
    <xf numFmtId="17" fontId="7" fillId="3" borderId="5" xfId="0" applyNumberFormat="1" applyFont="1" applyFill="1" applyBorder="1" applyAlignment="1">
      <alignment horizontal="center" vertical="center"/>
    </xf>
    <xf numFmtId="17" fontId="7" fillId="6" borderId="5" xfId="0" applyNumberFormat="1" applyFont="1" applyFill="1" applyBorder="1" applyAlignment="1">
      <alignment horizontal="center" vertical="center"/>
    </xf>
    <xf numFmtId="17" fontId="7" fillId="3" borderId="5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 vertical="top"/>
    </xf>
    <xf numFmtId="164" fontId="3" fillId="3" borderId="12" xfId="0" applyNumberFormat="1" applyFont="1" applyFill="1" applyBorder="1" applyAlignment="1">
      <alignment horizontal="right"/>
    </xf>
    <xf numFmtId="164" fontId="3" fillId="6" borderId="12" xfId="0" applyNumberFormat="1" applyFont="1" applyFill="1" applyBorder="1" applyAlignment="1">
      <alignment horizontal="right"/>
    </xf>
    <xf numFmtId="164" fontId="3" fillId="3" borderId="12" xfId="0" applyNumberFormat="1" applyFont="1" applyFill="1" applyBorder="1"/>
    <xf numFmtId="0" fontId="9" fillId="3" borderId="12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164" fontId="8" fillId="3" borderId="12" xfId="0" applyNumberFormat="1" applyFont="1" applyFill="1" applyBorder="1" applyAlignment="1">
      <alignment horizontal="right"/>
    </xf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 vertical="top"/>
    </xf>
    <xf numFmtId="164" fontId="3" fillId="3" borderId="12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/>
    </xf>
    <xf numFmtId="164" fontId="3" fillId="6" borderId="12" xfId="0" applyNumberFormat="1" applyFont="1" applyFill="1" applyBorder="1"/>
    <xf numFmtId="0" fontId="9" fillId="3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left"/>
    </xf>
    <xf numFmtId="0" fontId="10" fillId="7" borderId="12" xfId="0" applyFont="1" applyFill="1" applyBorder="1" applyAlignment="1">
      <alignment horizontal="left" vertical="top"/>
    </xf>
    <xf numFmtId="0" fontId="12" fillId="3" borderId="12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6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top"/>
    </xf>
    <xf numFmtId="0" fontId="3" fillId="4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3" borderId="4" xfId="0" applyFont="1" applyFill="1" applyBorder="1"/>
    <xf numFmtId="164" fontId="6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64" fontId="15" fillId="5" borderId="5" xfId="0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top"/>
    </xf>
    <xf numFmtId="164" fontId="8" fillId="8" borderId="21" xfId="0" applyNumberFormat="1" applyFont="1" applyFill="1" applyBorder="1" applyAlignment="1">
      <alignment horizontal="right" vertical="center"/>
    </xf>
    <xf numFmtId="164" fontId="8" fillId="9" borderId="22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left"/>
    </xf>
    <xf numFmtId="0" fontId="17" fillId="3" borderId="23" xfId="0" applyFont="1" applyFill="1" applyBorder="1"/>
    <xf numFmtId="164" fontId="9" fillId="9" borderId="23" xfId="0" applyNumberFormat="1" applyFont="1" applyFill="1" applyBorder="1" applyAlignment="1">
      <alignment horizontal="right" vertical="center"/>
    </xf>
    <xf numFmtId="0" fontId="11" fillId="0" borderId="15" xfId="0" applyFont="1" applyBorder="1"/>
    <xf numFmtId="0" fontId="9" fillId="3" borderId="23" xfId="0" applyFont="1" applyFill="1" applyBorder="1"/>
    <xf numFmtId="0" fontId="18" fillId="3" borderId="23" xfId="0" applyFont="1" applyFill="1" applyBorder="1"/>
    <xf numFmtId="0" fontId="8" fillId="3" borderId="24" xfId="0" applyFont="1" applyFill="1" applyBorder="1" applyAlignment="1">
      <alignment horizontal="center"/>
    </xf>
    <xf numFmtId="0" fontId="3" fillId="0" borderId="20" xfId="0" applyFont="1" applyBorder="1"/>
    <xf numFmtId="164" fontId="8" fillId="8" borderId="26" xfId="0" applyNumberFormat="1" applyFont="1" applyFill="1" applyBorder="1" applyAlignment="1">
      <alignment horizontal="right" vertical="center"/>
    </xf>
    <xf numFmtId="164" fontId="8" fillId="9" borderId="27" xfId="0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left"/>
    </xf>
    <xf numFmtId="0" fontId="19" fillId="0" borderId="28" xfId="0" applyFont="1" applyBorder="1"/>
    <xf numFmtId="0" fontId="20" fillId="0" borderId="0" xfId="0" applyFont="1"/>
    <xf numFmtId="0" fontId="21" fillId="0" borderId="29" xfId="0" applyFont="1" applyBorder="1"/>
    <xf numFmtId="0" fontId="8" fillId="3" borderId="30" xfId="0" applyFont="1" applyFill="1" applyBorder="1" applyAlignment="1">
      <alignment horizontal="center"/>
    </xf>
    <xf numFmtId="164" fontId="10" fillId="7" borderId="32" xfId="0" applyNumberFormat="1" applyFont="1" applyFill="1" applyBorder="1" applyAlignment="1">
      <alignment vertical="center"/>
    </xf>
    <xf numFmtId="164" fontId="8" fillId="8" borderId="34" xfId="0" applyNumberFormat="1" applyFont="1" applyFill="1" applyBorder="1" applyAlignment="1">
      <alignment horizontal="right" vertical="center"/>
    </xf>
    <xf numFmtId="164" fontId="8" fillId="9" borderId="35" xfId="0" applyNumberFormat="1" applyFont="1" applyFill="1" applyBorder="1" applyAlignment="1">
      <alignment horizontal="right" vertical="center"/>
    </xf>
    <xf numFmtId="0" fontId="22" fillId="0" borderId="14" xfId="0" applyFont="1" applyBorder="1" applyAlignment="1">
      <alignment horizontal="left"/>
    </xf>
    <xf numFmtId="164" fontId="9" fillId="0" borderId="14" xfId="0" applyNumberFormat="1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8" fillId="2" borderId="34" xfId="0" applyFont="1" applyFill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20" xfId="0" applyFont="1" applyBorder="1"/>
    <xf numFmtId="0" fontId="10" fillId="0" borderId="0" xfId="0" applyFont="1"/>
    <xf numFmtId="0" fontId="8" fillId="3" borderId="30" xfId="0" applyFont="1" applyFill="1" applyBorder="1" applyAlignment="1">
      <alignment horizontal="left"/>
    </xf>
    <xf numFmtId="164" fontId="10" fillId="7" borderId="38" xfId="0" applyNumberFormat="1" applyFont="1" applyFill="1" applyBorder="1" applyAlignment="1">
      <alignment vertical="center"/>
    </xf>
    <xf numFmtId="0" fontId="3" fillId="0" borderId="20" xfId="0" applyFont="1" applyBorder="1" applyAlignment="1">
      <alignment horizontal="left" vertical="top"/>
    </xf>
    <xf numFmtId="164" fontId="8" fillId="9" borderId="43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164" fontId="8" fillId="9" borderId="23" xfId="0" applyNumberFormat="1" applyFont="1" applyFill="1" applyBorder="1" applyAlignment="1">
      <alignment horizontal="right" vertical="center"/>
    </xf>
    <xf numFmtId="164" fontId="9" fillId="9" borderId="23" xfId="0" applyNumberFormat="1" applyFont="1" applyFill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26" fillId="0" borderId="44" xfId="0" applyFont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164" fontId="8" fillId="8" borderId="5" xfId="0" applyNumberFormat="1" applyFont="1" applyFill="1" applyBorder="1" applyAlignment="1">
      <alignment horizontal="right" vertical="center"/>
    </xf>
    <xf numFmtId="164" fontId="8" fillId="9" borderId="45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164" fontId="8" fillId="9" borderId="46" xfId="0" applyNumberFormat="1" applyFont="1" applyFill="1" applyBorder="1" applyAlignment="1">
      <alignment horizontal="right" vertical="center"/>
    </xf>
    <xf numFmtId="0" fontId="9" fillId="0" borderId="13" xfId="0" applyFont="1" applyBorder="1" applyAlignment="1">
      <alignment horizontal="left"/>
    </xf>
    <xf numFmtId="0" fontId="28" fillId="0" borderId="4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29" fillId="3" borderId="48" xfId="0" applyFont="1" applyFill="1" applyBorder="1" applyAlignment="1">
      <alignment horizontal="left"/>
    </xf>
    <xf numFmtId="0" fontId="30" fillId="3" borderId="23" xfId="0" applyFont="1" applyFill="1" applyBorder="1" applyAlignment="1">
      <alignment horizontal="left"/>
    </xf>
    <xf numFmtId="0" fontId="23" fillId="3" borderId="2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9" fillId="3" borderId="20" xfId="0" applyFont="1" applyFill="1" applyBorder="1" applyAlignment="1">
      <alignment horizontal="left" vertical="top"/>
    </xf>
    <xf numFmtId="0" fontId="31" fillId="3" borderId="49" xfId="0" applyFont="1" applyFill="1" applyBorder="1"/>
    <xf numFmtId="0" fontId="11" fillId="3" borderId="46" xfId="0" applyFont="1" applyFill="1" applyBorder="1"/>
    <xf numFmtId="0" fontId="32" fillId="3" borderId="46" xfId="0" applyFont="1" applyFill="1" applyBorder="1"/>
    <xf numFmtId="0" fontId="9" fillId="3" borderId="46" xfId="0" applyFont="1" applyFill="1" applyBorder="1" applyAlignment="1">
      <alignment horizontal="left"/>
    </xf>
    <xf numFmtId="0" fontId="33" fillId="3" borderId="4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8" borderId="5" xfId="0" applyNumberFormat="1" applyFont="1" applyFill="1" applyBorder="1" applyAlignment="1">
      <alignment horizontal="right" vertical="center"/>
    </xf>
    <xf numFmtId="0" fontId="34" fillId="0" borderId="15" xfId="0" applyFont="1" applyBorder="1"/>
    <xf numFmtId="0" fontId="23" fillId="0" borderId="15" xfId="0" applyFont="1" applyBorder="1"/>
    <xf numFmtId="164" fontId="8" fillId="9" borderId="51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/>
    </xf>
    <xf numFmtId="0" fontId="36" fillId="0" borderId="12" xfId="0" applyFont="1" applyBorder="1" applyAlignment="1">
      <alignment horizontal="left"/>
    </xf>
    <xf numFmtId="164" fontId="8" fillId="9" borderId="12" xfId="0" applyNumberFormat="1" applyFont="1" applyFill="1" applyBorder="1" applyAlignment="1">
      <alignment horizontal="right" vertical="center"/>
    </xf>
    <xf numFmtId="0" fontId="37" fillId="0" borderId="12" xfId="0" applyFont="1" applyBorder="1" applyAlignment="1">
      <alignment vertical="top"/>
    </xf>
    <xf numFmtId="164" fontId="9" fillId="9" borderId="12" xfId="0" applyNumberFormat="1" applyFont="1" applyFill="1" applyBorder="1" applyAlignment="1">
      <alignment vertical="top"/>
    </xf>
    <xf numFmtId="0" fontId="23" fillId="0" borderId="12" xfId="0" applyFont="1" applyBorder="1" applyAlignment="1">
      <alignment vertical="top"/>
    </xf>
    <xf numFmtId="0" fontId="39" fillId="0" borderId="12" xfId="0" applyFont="1" applyBorder="1" applyAlignment="1">
      <alignment horizontal="center"/>
    </xf>
    <xf numFmtId="164" fontId="9" fillId="9" borderId="12" xfId="0" applyNumberFormat="1" applyFont="1" applyFill="1" applyBorder="1" applyAlignment="1">
      <alignment horizontal="left"/>
    </xf>
    <xf numFmtId="0" fontId="23" fillId="0" borderId="12" xfId="0" applyFont="1" applyBorder="1" applyAlignment="1">
      <alignment horizontal="left"/>
    </xf>
    <xf numFmtId="164" fontId="11" fillId="0" borderId="13" xfId="0" applyNumberFormat="1" applyFont="1" applyBorder="1" applyAlignment="1">
      <alignment horizontal="left" vertical="center"/>
    </xf>
    <xf numFmtId="164" fontId="41" fillId="0" borderId="13" xfId="0" applyNumberFormat="1" applyFont="1" applyBorder="1"/>
    <xf numFmtId="164" fontId="11" fillId="3" borderId="46" xfId="0" applyNumberFormat="1" applyFont="1" applyFill="1" applyBorder="1"/>
    <xf numFmtId="164" fontId="42" fillId="3" borderId="46" xfId="0" applyNumberFormat="1" applyFont="1" applyFill="1" applyBorder="1"/>
    <xf numFmtId="164" fontId="9" fillId="3" borderId="46" xfId="0" applyNumberFormat="1" applyFont="1" applyFill="1" applyBorder="1"/>
    <xf numFmtId="164" fontId="8" fillId="3" borderId="46" xfId="0" applyNumberFormat="1" applyFont="1" applyFill="1" applyBorder="1"/>
    <xf numFmtId="164" fontId="8" fillId="3" borderId="30" xfId="0" applyNumberFormat="1" applyFont="1" applyFill="1" applyBorder="1"/>
    <xf numFmtId="164" fontId="3" fillId="8" borderId="21" xfId="0" applyNumberFormat="1" applyFont="1" applyFill="1" applyBorder="1" applyAlignment="1">
      <alignment horizontal="right" vertical="center"/>
    </xf>
    <xf numFmtId="0" fontId="23" fillId="0" borderId="15" xfId="0" applyFont="1" applyBorder="1" applyAlignment="1">
      <alignment horizontal="left"/>
    </xf>
    <xf numFmtId="164" fontId="3" fillId="8" borderId="34" xfId="0" applyNumberFormat="1" applyFont="1" applyFill="1" applyBorder="1" applyAlignment="1">
      <alignment horizontal="right" vertical="center"/>
    </xf>
    <xf numFmtId="164" fontId="9" fillId="9" borderId="46" xfId="0" applyNumberFormat="1" applyFont="1" applyFill="1" applyBorder="1"/>
    <xf numFmtId="0" fontId="23" fillId="0" borderId="13" xfId="0" applyFont="1" applyBorder="1"/>
    <xf numFmtId="0" fontId="3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4" fillId="0" borderId="28" xfId="0" applyFont="1" applyBorder="1" applyAlignment="1">
      <alignment horizontal="left"/>
    </xf>
    <xf numFmtId="0" fontId="45" fillId="0" borderId="0" xfId="0" applyFont="1" applyAlignment="1">
      <alignment horizontal="left"/>
    </xf>
    <xf numFmtId="164" fontId="9" fillId="9" borderId="43" xfId="0" applyNumberFormat="1" applyFont="1" applyFill="1" applyBorder="1" applyAlignment="1">
      <alignment horizontal="right" vertical="center"/>
    </xf>
    <xf numFmtId="164" fontId="46" fillId="0" borderId="15" xfId="0" applyNumberFormat="1" applyFont="1" applyBorder="1" applyAlignment="1">
      <alignment horizontal="left"/>
    </xf>
    <xf numFmtId="0" fontId="9" fillId="3" borderId="23" xfId="0" applyFont="1" applyFill="1" applyBorder="1" applyAlignment="1">
      <alignment horizontal="left"/>
    </xf>
    <xf numFmtId="0" fontId="47" fillId="0" borderId="9" xfId="0" applyFont="1" applyBorder="1" applyAlignment="1">
      <alignment horizontal="left"/>
    </xf>
    <xf numFmtId="0" fontId="48" fillId="0" borderId="13" xfId="0" applyFont="1" applyBorder="1" applyAlignment="1">
      <alignment horizontal="left" vertical="top"/>
    </xf>
    <xf numFmtId="164" fontId="9" fillId="9" borderId="46" xfId="0" applyNumberFormat="1" applyFont="1" applyFill="1" applyBorder="1" applyAlignment="1">
      <alignment horizontal="left"/>
    </xf>
    <xf numFmtId="164" fontId="9" fillId="9" borderId="23" xfId="0" applyNumberFormat="1" applyFont="1" applyFill="1" applyBorder="1"/>
    <xf numFmtId="0" fontId="9" fillId="3" borderId="19" xfId="0" applyFont="1" applyFill="1" applyBorder="1" applyAlignment="1">
      <alignment horizontal="center" vertical="center"/>
    </xf>
    <xf numFmtId="164" fontId="9" fillId="9" borderId="3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0" fillId="0" borderId="14" xfId="0" applyFont="1" applyBorder="1"/>
    <xf numFmtId="0" fontId="51" fillId="0" borderId="14" xfId="0" applyFont="1" applyBorder="1"/>
    <xf numFmtId="0" fontId="9" fillId="0" borderId="14" xfId="0" applyFont="1" applyBorder="1"/>
    <xf numFmtId="0" fontId="52" fillId="0" borderId="28" xfId="0" applyFont="1" applyBorder="1"/>
    <xf numFmtId="0" fontId="3" fillId="2" borderId="26" xfId="0" applyFont="1" applyFill="1" applyBorder="1" applyAlignment="1">
      <alignment horizontal="left"/>
    </xf>
    <xf numFmtId="164" fontId="9" fillId="9" borderId="35" xfId="0" applyNumberFormat="1" applyFont="1" applyFill="1" applyBorder="1"/>
    <xf numFmtId="0" fontId="13" fillId="0" borderId="14" xfId="0" applyFont="1" applyBorder="1" applyAlignment="1">
      <alignment horizontal="left"/>
    </xf>
    <xf numFmtId="0" fontId="53" fillId="0" borderId="14" xfId="0" applyFont="1" applyBorder="1" applyAlignment="1">
      <alignment horizontal="right" vertical="center"/>
    </xf>
    <xf numFmtId="0" fontId="54" fillId="0" borderId="14" xfId="0" applyFont="1" applyBorder="1"/>
    <xf numFmtId="0" fontId="23" fillId="0" borderId="14" xfId="0" applyFont="1" applyBorder="1"/>
    <xf numFmtId="0" fontId="11" fillId="0" borderId="58" xfId="0" applyFont="1" applyBorder="1" applyAlignment="1">
      <alignment horizontal="left"/>
    </xf>
    <xf numFmtId="0" fontId="9" fillId="3" borderId="59" xfId="0" applyFont="1" applyFill="1" applyBorder="1" applyAlignment="1">
      <alignment horizontal="left" vertical="top"/>
    </xf>
    <xf numFmtId="0" fontId="11" fillId="0" borderId="12" xfId="0" applyFont="1" applyBorder="1"/>
    <xf numFmtId="164" fontId="4" fillId="0" borderId="14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8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164" fontId="9" fillId="8" borderId="5" xfId="0" applyNumberFormat="1" applyFont="1" applyFill="1" applyBorder="1" applyAlignment="1">
      <alignment vertical="center"/>
    </xf>
    <xf numFmtId="164" fontId="9" fillId="9" borderId="60" xfId="0" applyNumberFormat="1" applyFont="1" applyFill="1" applyBorder="1" applyAlignment="1">
      <alignment vertical="center"/>
    </xf>
    <xf numFmtId="164" fontId="9" fillId="0" borderId="61" xfId="0" applyNumberFormat="1" applyFont="1" applyBorder="1" applyAlignment="1">
      <alignment vertical="center"/>
    </xf>
    <xf numFmtId="164" fontId="55" fillId="0" borderId="61" xfId="0" applyNumberFormat="1" applyFont="1" applyBorder="1" applyAlignment="1">
      <alignment vertical="center"/>
    </xf>
    <xf numFmtId="164" fontId="9" fillId="0" borderId="62" xfId="0" applyNumberFormat="1" applyFont="1" applyBorder="1" applyAlignment="1">
      <alignment vertical="center"/>
    </xf>
    <xf numFmtId="164" fontId="9" fillId="9" borderId="63" xfId="0" applyNumberFormat="1" applyFont="1" applyFill="1" applyBorder="1" applyAlignment="1">
      <alignment vertical="center"/>
    </xf>
    <xf numFmtId="164" fontId="9" fillId="0" borderId="64" xfId="0" applyNumberFormat="1" applyFont="1" applyBorder="1" applyAlignment="1">
      <alignment vertical="center"/>
    </xf>
    <xf numFmtId="164" fontId="56" fillId="0" borderId="64" xfId="0" applyNumberFormat="1" applyFont="1" applyBorder="1" applyAlignment="1">
      <alignment vertical="center"/>
    </xf>
    <xf numFmtId="164" fontId="9" fillId="0" borderId="65" xfId="0" applyNumberFormat="1" applyFont="1" applyBorder="1" applyAlignment="1">
      <alignment vertical="center"/>
    </xf>
    <xf numFmtId="0" fontId="57" fillId="0" borderId="67" xfId="0" applyFont="1" applyBorder="1"/>
    <xf numFmtId="0" fontId="58" fillId="0" borderId="68" xfId="0" applyFont="1" applyBorder="1"/>
    <xf numFmtId="0" fontId="10" fillId="3" borderId="4" xfId="0" applyFont="1" applyFill="1" applyBorder="1"/>
    <xf numFmtId="0" fontId="59" fillId="3" borderId="35" xfId="0" applyFont="1" applyFill="1" applyBorder="1"/>
    <xf numFmtId="0" fontId="9" fillId="3" borderId="35" xfId="0" applyFont="1" applyFill="1" applyBorder="1"/>
    <xf numFmtId="0" fontId="60" fillId="3" borderId="30" xfId="0" applyFont="1" applyFill="1" applyBorder="1"/>
    <xf numFmtId="0" fontId="9" fillId="0" borderId="14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69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52" xfId="0" applyFont="1" applyBorder="1" applyAlignment="1">
      <alignment horizontal="left"/>
    </xf>
    <xf numFmtId="0" fontId="62" fillId="0" borderId="13" xfId="0" applyFont="1" applyBorder="1"/>
    <xf numFmtId="0" fontId="63" fillId="0" borderId="13" xfId="0" applyFont="1" applyBorder="1" applyAlignment="1">
      <alignment horizontal="left"/>
    </xf>
    <xf numFmtId="0" fontId="3" fillId="2" borderId="70" xfId="0" applyFont="1" applyFill="1" applyBorder="1" applyAlignment="1">
      <alignment horizontal="left"/>
    </xf>
    <xf numFmtId="0" fontId="64" fillId="0" borderId="12" xfId="0" applyFont="1" applyBorder="1"/>
    <xf numFmtId="0" fontId="65" fillId="0" borderId="12" xfId="0" applyFont="1" applyBorder="1" applyAlignment="1">
      <alignment horizontal="left"/>
    </xf>
    <xf numFmtId="164" fontId="8" fillId="9" borderId="12" xfId="0" applyNumberFormat="1" applyFont="1" applyFill="1" applyBorder="1"/>
    <xf numFmtId="0" fontId="66" fillId="0" borderId="57" xfId="0" applyFont="1" applyBorder="1"/>
    <xf numFmtId="0" fontId="9" fillId="0" borderId="57" xfId="0" applyFont="1" applyBorder="1" applyAlignment="1">
      <alignment horizontal="left"/>
    </xf>
    <xf numFmtId="0" fontId="9" fillId="0" borderId="20" xfId="0" applyFont="1" applyBorder="1" applyAlignment="1">
      <alignment horizontal="left" vertical="top"/>
    </xf>
    <xf numFmtId="0" fontId="67" fillId="0" borderId="15" xfId="0" applyFont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23" fillId="3" borderId="46" xfId="0" applyFont="1" applyFill="1" applyBorder="1" applyAlignment="1">
      <alignment horizontal="left"/>
    </xf>
    <xf numFmtId="164" fontId="8" fillId="9" borderId="6" xfId="0" applyNumberFormat="1" applyFont="1" applyFill="1" applyBorder="1"/>
    <xf numFmtId="0" fontId="68" fillId="0" borderId="2" xfId="0" applyFont="1" applyBorder="1"/>
    <xf numFmtId="0" fontId="69" fillId="0" borderId="3" xfId="0" applyFont="1" applyBorder="1"/>
    <xf numFmtId="0" fontId="4" fillId="0" borderId="44" xfId="0" applyFont="1" applyBorder="1" applyAlignment="1">
      <alignment horizontal="left"/>
    </xf>
    <xf numFmtId="0" fontId="70" fillId="0" borderId="71" xfId="0" applyFont="1" applyBorder="1" applyAlignment="1">
      <alignment horizontal="right" vertical="center"/>
    </xf>
    <xf numFmtId="0" fontId="71" fillId="0" borderId="71" xfId="0" applyFont="1" applyBorder="1"/>
    <xf numFmtId="0" fontId="3" fillId="10" borderId="4" xfId="0" applyFont="1" applyFill="1" applyBorder="1"/>
    <xf numFmtId="0" fontId="9" fillId="10" borderId="19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left"/>
    </xf>
    <xf numFmtId="0" fontId="9" fillId="10" borderId="20" xfId="0" applyFont="1" applyFill="1" applyBorder="1" applyAlignment="1">
      <alignment horizontal="left" vertical="top"/>
    </xf>
    <xf numFmtId="164" fontId="8" fillId="10" borderId="5" xfId="0" applyNumberFormat="1" applyFont="1" applyFill="1" applyBorder="1" applyAlignment="1">
      <alignment horizontal="right" vertical="center"/>
    </xf>
    <xf numFmtId="164" fontId="8" fillId="10" borderId="51" xfId="0" applyNumberFormat="1" applyFont="1" applyFill="1" applyBorder="1" applyAlignment="1">
      <alignment horizontal="right" vertical="center"/>
    </xf>
    <xf numFmtId="0" fontId="4" fillId="10" borderId="23" xfId="0" applyFont="1" applyFill="1" applyBorder="1" applyAlignment="1">
      <alignment horizontal="left"/>
    </xf>
    <xf numFmtId="0" fontId="72" fillId="10" borderId="23" xfId="0" applyFont="1" applyFill="1" applyBorder="1" applyAlignment="1">
      <alignment horizontal="left"/>
    </xf>
    <xf numFmtId="164" fontId="8" fillId="10" borderId="23" xfId="0" applyNumberFormat="1" applyFont="1" applyFill="1" applyBorder="1" applyAlignment="1">
      <alignment horizontal="right" vertical="center"/>
    </xf>
    <xf numFmtId="0" fontId="4" fillId="10" borderId="48" xfId="0" applyFont="1" applyFill="1" applyBorder="1" applyAlignment="1">
      <alignment horizontal="left"/>
    </xf>
    <xf numFmtId="0" fontId="9" fillId="10" borderId="23" xfId="0" applyFont="1" applyFill="1" applyBorder="1" applyAlignment="1">
      <alignment horizontal="left"/>
    </xf>
    <xf numFmtId="0" fontId="73" fillId="10" borderId="48" xfId="0" applyFont="1" applyFill="1" applyBorder="1" applyAlignment="1">
      <alignment horizontal="left"/>
    </xf>
    <xf numFmtId="164" fontId="8" fillId="10" borderId="5" xfId="0" applyNumberFormat="1" applyFont="1" applyFill="1" applyBorder="1"/>
    <xf numFmtId="164" fontId="9" fillId="9" borderId="27" xfId="0" applyNumberFormat="1" applyFont="1" applyFill="1" applyBorder="1" applyAlignment="1">
      <alignment horizontal="right" vertical="center"/>
    </xf>
    <xf numFmtId="0" fontId="74" fillId="0" borderId="14" xfId="0" applyFont="1" applyBorder="1" applyAlignment="1">
      <alignment horizontal="left"/>
    </xf>
    <xf numFmtId="164" fontId="9" fillId="9" borderId="35" xfId="0" applyNumberFormat="1" applyFont="1" applyFill="1" applyBorder="1" applyAlignment="1">
      <alignment horizontal="left"/>
    </xf>
    <xf numFmtId="0" fontId="11" fillId="0" borderId="28" xfId="0" applyFont="1" applyBorder="1" applyAlignment="1">
      <alignment horizontal="left"/>
    </xf>
    <xf numFmtId="164" fontId="8" fillId="0" borderId="15" xfId="0" applyNumberFormat="1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75" fillId="0" borderId="12" xfId="0" applyFont="1" applyBorder="1"/>
    <xf numFmtId="0" fontId="8" fillId="0" borderId="9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3" fillId="3" borderId="20" xfId="0" applyFont="1" applyFill="1" applyBorder="1" applyAlignment="1">
      <alignment horizontal="left" vertical="top"/>
    </xf>
    <xf numFmtId="0" fontId="3" fillId="3" borderId="23" xfId="0" applyFont="1" applyFill="1" applyBorder="1" applyAlignment="1">
      <alignment horizontal="right" vertical="center"/>
    </xf>
    <xf numFmtId="0" fontId="3" fillId="3" borderId="23" xfId="0" applyFont="1" applyFill="1" applyBorder="1"/>
    <xf numFmtId="0" fontId="9" fillId="3" borderId="23" xfId="0" applyFont="1" applyFill="1" applyBorder="1" applyAlignment="1">
      <alignment horizontal="left" vertical="center"/>
    </xf>
    <xf numFmtId="0" fontId="76" fillId="3" borderId="23" xfId="0" applyFont="1" applyFill="1" applyBorder="1" applyAlignment="1">
      <alignment horizontal="left" vertical="center"/>
    </xf>
    <xf numFmtId="0" fontId="3" fillId="3" borderId="72" xfId="0" applyFont="1" applyFill="1" applyBorder="1"/>
    <xf numFmtId="164" fontId="8" fillId="9" borderId="73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77" fillId="0" borderId="44" xfId="0" applyFont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78" fillId="0" borderId="10" xfId="0" applyFont="1" applyBorder="1" applyAlignment="1">
      <alignment horizontal="right" vertical="center"/>
    </xf>
    <xf numFmtId="0" fontId="79" fillId="0" borderId="10" xfId="0" applyFont="1" applyBorder="1"/>
    <xf numFmtId="0" fontId="3" fillId="0" borderId="69" xfId="0" applyFont="1" applyBorder="1" applyAlignment="1">
      <alignment horizontal="left"/>
    </xf>
    <xf numFmtId="164" fontId="3" fillId="8" borderId="26" xfId="0" applyNumberFormat="1" applyFont="1" applyFill="1" applyBorder="1" applyAlignment="1">
      <alignment horizontal="right" vertical="center"/>
    </xf>
    <xf numFmtId="0" fontId="3" fillId="0" borderId="74" xfId="0" applyFont="1" applyBorder="1" applyAlignment="1">
      <alignment horizontal="left"/>
    </xf>
    <xf numFmtId="164" fontId="8" fillId="8" borderId="5" xfId="0" applyNumberFormat="1" applyFont="1" applyFill="1" applyBorder="1" applyAlignment="1">
      <alignment vertical="center"/>
    </xf>
    <xf numFmtId="164" fontId="8" fillId="9" borderId="51" xfId="0" applyNumberFormat="1" applyFont="1" applyFill="1" applyBorder="1" applyAlignment="1">
      <alignment vertical="center"/>
    </xf>
    <xf numFmtId="164" fontId="11" fillId="3" borderId="12" xfId="0" applyNumberFormat="1" applyFont="1" applyFill="1" applyBorder="1" applyAlignment="1">
      <alignment vertical="center"/>
    </xf>
    <xf numFmtId="164" fontId="80" fillId="3" borderId="12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vertical="center"/>
    </xf>
    <xf numFmtId="164" fontId="8" fillId="3" borderId="75" xfId="0" applyNumberFormat="1" applyFont="1" applyFill="1" applyBorder="1" applyAlignment="1">
      <alignment vertical="center"/>
    </xf>
    <xf numFmtId="164" fontId="8" fillId="2" borderId="5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left"/>
    </xf>
    <xf numFmtId="0" fontId="81" fillId="3" borderId="35" xfId="0" applyFont="1" applyFill="1" applyBorder="1"/>
    <xf numFmtId="0" fontId="11" fillId="0" borderId="14" xfId="0" applyFont="1" applyBorder="1"/>
    <xf numFmtId="0" fontId="9" fillId="0" borderId="14" xfId="0" applyFont="1" applyBorder="1" applyAlignment="1">
      <alignment horizontal="left"/>
    </xf>
    <xf numFmtId="164" fontId="9" fillId="9" borderId="72" xfId="0" applyNumberFormat="1" applyFont="1" applyFill="1" applyBorder="1" applyAlignment="1">
      <alignment horizontal="left"/>
    </xf>
    <xf numFmtId="0" fontId="23" fillId="0" borderId="57" xfId="0" applyFont="1" applyBorder="1" applyAlignment="1">
      <alignment horizontal="left"/>
    </xf>
    <xf numFmtId="0" fontId="82" fillId="3" borderId="4" xfId="0" applyFont="1" applyFill="1" applyBorder="1" applyAlignment="1">
      <alignment horizontal="left"/>
    </xf>
    <xf numFmtId="0" fontId="83" fillId="3" borderId="75" xfId="0" applyFont="1" applyFill="1" applyBorder="1"/>
    <xf numFmtId="0" fontId="84" fillId="3" borderId="12" xfId="0" applyFont="1" applyFill="1" applyBorder="1"/>
    <xf numFmtId="0" fontId="85" fillId="3" borderId="75" xfId="0" applyFont="1" applyFill="1" applyBorder="1" applyAlignment="1">
      <alignment horizontal="left"/>
    </xf>
    <xf numFmtId="164" fontId="8" fillId="9" borderId="4" xfId="0" applyNumberFormat="1" applyFont="1" applyFill="1" applyBorder="1" applyAlignment="1">
      <alignment horizontal="right" vertical="center"/>
    </xf>
    <xf numFmtId="0" fontId="11" fillId="0" borderId="0" xfId="0" applyFont="1"/>
    <xf numFmtId="0" fontId="86" fillId="3" borderId="72" xfId="0" applyFont="1" applyFill="1" applyBorder="1"/>
    <xf numFmtId="0" fontId="9" fillId="3" borderId="72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right" vertical="center"/>
    </xf>
    <xf numFmtId="0" fontId="11" fillId="3" borderId="4" xfId="0" applyFont="1" applyFill="1" applyBorder="1"/>
    <xf numFmtId="164" fontId="8" fillId="0" borderId="15" xfId="0" applyNumberFormat="1" applyFont="1" applyBorder="1" applyAlignment="1">
      <alignment horizontal="right" vertical="center"/>
    </xf>
    <xf numFmtId="0" fontId="8" fillId="3" borderId="23" xfId="0" applyFont="1" applyFill="1" applyBorder="1"/>
    <xf numFmtId="0" fontId="8" fillId="3" borderId="24" xfId="0" applyFont="1" applyFill="1" applyBorder="1"/>
    <xf numFmtId="164" fontId="8" fillId="0" borderId="12" xfId="0" applyNumberFormat="1" applyFont="1" applyBorder="1" applyAlignment="1">
      <alignment horizontal="right" vertical="center"/>
    </xf>
    <xf numFmtId="0" fontId="9" fillId="3" borderId="12" xfId="0" applyFont="1" applyFill="1" applyBorder="1"/>
    <xf numFmtId="0" fontId="8" fillId="3" borderId="20" xfId="0" applyFont="1" applyFill="1" applyBorder="1"/>
    <xf numFmtId="0" fontId="8" fillId="3" borderId="76" xfId="0" applyFont="1" applyFill="1" applyBorder="1"/>
    <xf numFmtId="0" fontId="8" fillId="0" borderId="20" xfId="0" applyFont="1" applyBorder="1" applyAlignment="1">
      <alignment horizontal="left" vertical="top"/>
    </xf>
    <xf numFmtId="0" fontId="3" fillId="6" borderId="12" xfId="0" applyFont="1" applyFill="1" applyBorder="1" applyAlignment="1">
      <alignment horizontal="left"/>
    </xf>
    <xf numFmtId="0" fontId="3" fillId="6" borderId="20" xfId="0" applyFont="1" applyFill="1" applyBorder="1" applyAlignment="1">
      <alignment horizontal="left" vertical="top"/>
    </xf>
    <xf numFmtId="0" fontId="87" fillId="0" borderId="15" xfId="0" applyFont="1" applyBorder="1" applyAlignment="1">
      <alignment horizontal="right" vertical="center"/>
    </xf>
    <xf numFmtId="0" fontId="88" fillId="0" borderId="15" xfId="0" applyFont="1" applyBorder="1"/>
    <xf numFmtId="0" fontId="89" fillId="0" borderId="12" xfId="0" applyFont="1" applyBorder="1" applyAlignment="1">
      <alignment horizontal="right" vertical="center"/>
    </xf>
    <xf numFmtId="0" fontId="90" fillId="3" borderId="46" xfId="0" applyFont="1" applyFill="1" applyBorder="1"/>
    <xf numFmtId="0" fontId="91" fillId="3" borderId="46" xfId="0" applyFont="1" applyFill="1" applyBorder="1" applyAlignment="1">
      <alignment horizontal="right" vertical="center"/>
    </xf>
    <xf numFmtId="0" fontId="92" fillId="3" borderId="46" xfId="0" applyFont="1" applyFill="1" applyBorder="1" applyAlignment="1">
      <alignment horizontal="left"/>
    </xf>
    <xf numFmtId="0" fontId="3" fillId="3" borderId="76" xfId="0" applyFont="1" applyFill="1" applyBorder="1" applyAlignment="1">
      <alignment horizontal="left"/>
    </xf>
    <xf numFmtId="0" fontId="93" fillId="0" borderId="13" xfId="0" applyFont="1" applyBorder="1" applyAlignment="1">
      <alignment horizontal="right" vertical="center"/>
    </xf>
    <xf numFmtId="0" fontId="11" fillId="3" borderId="35" xfId="0" applyFont="1" applyFill="1" applyBorder="1" applyAlignment="1">
      <alignment horizontal="left"/>
    </xf>
    <xf numFmtId="0" fontId="8" fillId="3" borderId="4" xfId="0" applyFont="1" applyFill="1" applyBorder="1"/>
    <xf numFmtId="0" fontId="8" fillId="3" borderId="27" xfId="0" applyFont="1" applyFill="1" applyBorder="1"/>
    <xf numFmtId="0" fontId="8" fillId="3" borderId="4" xfId="0" applyFont="1" applyFill="1" applyBorder="1" applyAlignment="1">
      <alignment horizontal="left"/>
    </xf>
    <xf numFmtId="0" fontId="9" fillId="0" borderId="13" xfId="0" applyFont="1" applyBorder="1"/>
    <xf numFmtId="164" fontId="8" fillId="3" borderId="46" xfId="0" applyNumberFormat="1" applyFont="1" applyFill="1" applyBorder="1" applyAlignment="1">
      <alignment horizontal="right" vertical="center"/>
    </xf>
    <xf numFmtId="164" fontId="8" fillId="3" borderId="49" xfId="0" applyNumberFormat="1" applyFont="1" applyFill="1" applyBorder="1"/>
    <xf numFmtId="164" fontId="8" fillId="2" borderId="5" xfId="0" applyNumberFormat="1" applyFont="1" applyFill="1" applyBorder="1"/>
    <xf numFmtId="0" fontId="95" fillId="0" borderId="74" xfId="0" applyFont="1" applyBorder="1"/>
    <xf numFmtId="0" fontId="96" fillId="3" borderId="23" xfId="0" applyFont="1" applyFill="1" applyBorder="1" applyAlignment="1">
      <alignment vertical="center"/>
    </xf>
    <xf numFmtId="0" fontId="97" fillId="3" borderId="23" xfId="0" applyFont="1" applyFill="1" applyBorder="1" applyAlignment="1">
      <alignment horizontal="right" vertical="center"/>
    </xf>
    <xf numFmtId="0" fontId="9" fillId="3" borderId="76" xfId="0" applyFont="1" applyFill="1" applyBorder="1" applyAlignment="1">
      <alignment horizontal="left" vertical="top"/>
    </xf>
    <xf numFmtId="0" fontId="98" fillId="3" borderId="12" xfId="0" applyFont="1" applyFill="1" applyBorder="1" applyAlignment="1">
      <alignment horizontal="right" vertical="center"/>
    </xf>
    <xf numFmtId="0" fontId="99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left" vertical="center"/>
    </xf>
    <xf numFmtId="0" fontId="100" fillId="3" borderId="12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top"/>
    </xf>
    <xf numFmtId="0" fontId="11" fillId="3" borderId="46" xfId="0" applyFont="1" applyFill="1" applyBorder="1" applyAlignment="1">
      <alignment horizontal="left"/>
    </xf>
    <xf numFmtId="164" fontId="8" fillId="0" borderId="13" xfId="0" applyNumberFormat="1" applyFont="1" applyBorder="1" applyAlignment="1">
      <alignment horizontal="right" vertical="center"/>
    </xf>
    <xf numFmtId="0" fontId="4" fillId="3" borderId="46" xfId="0" applyFont="1" applyFill="1" applyBorder="1" applyAlignment="1">
      <alignment horizontal="left"/>
    </xf>
    <xf numFmtId="0" fontId="9" fillId="3" borderId="46" xfId="0" applyFont="1" applyFill="1" applyBorder="1"/>
    <xf numFmtId="0" fontId="104" fillId="3" borderId="76" xfId="0" applyFont="1" applyFill="1" applyBorder="1"/>
    <xf numFmtId="164" fontId="8" fillId="9" borderId="4" xfId="0" applyNumberFormat="1" applyFont="1" applyFill="1" applyBorder="1"/>
    <xf numFmtId="0" fontId="3" fillId="0" borderId="57" xfId="0" applyFont="1" applyBorder="1" applyAlignment="1">
      <alignment horizontal="left"/>
    </xf>
    <xf numFmtId="0" fontId="105" fillId="3" borderId="35" xfId="0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106" fillId="0" borderId="0" xfId="0" applyFont="1"/>
    <xf numFmtId="0" fontId="4" fillId="3" borderId="12" xfId="0" applyFont="1" applyFill="1" applyBorder="1" applyAlignment="1">
      <alignment horizontal="left"/>
    </xf>
    <xf numFmtId="0" fontId="9" fillId="0" borderId="12" xfId="0" applyFont="1" applyBorder="1"/>
    <xf numFmtId="0" fontId="107" fillId="0" borderId="79" xfId="0" applyFont="1" applyBorder="1"/>
    <xf numFmtId="0" fontId="3" fillId="0" borderId="64" xfId="0" applyFont="1" applyBorder="1" applyAlignment="1">
      <alignment horizontal="left"/>
    </xf>
    <xf numFmtId="0" fontId="3" fillId="0" borderId="65" xfId="0" applyFont="1" applyBorder="1" applyAlignment="1">
      <alignment vertical="center"/>
    </xf>
    <xf numFmtId="164" fontId="8" fillId="9" borderId="63" xfId="0" applyNumberFormat="1" applyFont="1" applyFill="1" applyBorder="1" applyAlignment="1">
      <alignment horizontal="right" vertical="center"/>
    </xf>
    <xf numFmtId="0" fontId="4" fillId="3" borderId="64" xfId="0" applyFont="1" applyFill="1" applyBorder="1" applyAlignment="1">
      <alignment horizontal="left"/>
    </xf>
    <xf numFmtId="164" fontId="8" fillId="9" borderId="64" xfId="0" applyNumberFormat="1" applyFont="1" applyFill="1" applyBorder="1" applyAlignment="1">
      <alignment horizontal="right" vertical="center"/>
    </xf>
    <xf numFmtId="0" fontId="4" fillId="0" borderId="64" xfId="0" applyFont="1" applyBorder="1" applyAlignment="1">
      <alignment horizontal="left"/>
    </xf>
    <xf numFmtId="0" fontId="108" fillId="0" borderId="64" xfId="0" applyFont="1" applyBorder="1"/>
    <xf numFmtId="0" fontId="9" fillId="0" borderId="64" xfId="0" applyFont="1" applyBorder="1"/>
    <xf numFmtId="0" fontId="109" fillId="0" borderId="54" xfId="0" applyFont="1" applyBorder="1"/>
    <xf numFmtId="0" fontId="3" fillId="3" borderId="12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/>
    </xf>
    <xf numFmtId="0" fontId="8" fillId="3" borderId="24" xfId="0" applyFont="1" applyFill="1" applyBorder="1" applyAlignment="1">
      <alignment horizontal="left" vertical="top"/>
    </xf>
    <xf numFmtId="164" fontId="3" fillId="0" borderId="12" xfId="0" applyNumberFormat="1" applyFont="1" applyBorder="1"/>
    <xf numFmtId="0" fontId="10" fillId="7" borderId="20" xfId="0" applyFont="1" applyFill="1" applyBorder="1"/>
    <xf numFmtId="164" fontId="3" fillId="4" borderId="12" xfId="0" applyNumberFormat="1" applyFont="1" applyFill="1" applyBorder="1"/>
    <xf numFmtId="0" fontId="10" fillId="7" borderId="20" xfId="0" applyFont="1" applyFill="1" applyBorder="1" applyAlignment="1">
      <alignment horizontal="left" vertical="top"/>
    </xf>
    <xf numFmtId="0" fontId="10" fillId="7" borderId="19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65" xfId="0" applyFont="1" applyBorder="1" applyAlignment="1">
      <alignment horizontal="left" vertical="top"/>
    </xf>
    <xf numFmtId="0" fontId="11" fillId="0" borderId="5" xfId="0" applyFont="1" applyBorder="1" applyAlignment="1">
      <alignment horizontal="center" vertical="center" wrapText="1"/>
    </xf>
    <xf numFmtId="0" fontId="11" fillId="0" borderId="8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10" fillId="7" borderId="32" xfId="0" applyFont="1" applyFill="1" applyBorder="1"/>
    <xf numFmtId="9" fontId="10" fillId="7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9" fillId="0" borderId="86" xfId="0" applyFont="1" applyBorder="1" applyAlignment="1">
      <alignment horizontal="left"/>
    </xf>
    <xf numFmtId="9" fontId="9" fillId="0" borderId="87" xfId="0" applyNumberFormat="1" applyFont="1" applyBorder="1" applyAlignment="1">
      <alignment horizontal="center"/>
    </xf>
    <xf numFmtId="0" fontId="3" fillId="0" borderId="85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9" fontId="9" fillId="0" borderId="88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9" fontId="8" fillId="0" borderId="88" xfId="0" applyNumberFormat="1" applyFont="1" applyBorder="1" applyAlignment="1">
      <alignment horizontal="center"/>
    </xf>
    <xf numFmtId="9" fontId="3" fillId="0" borderId="0" xfId="0" applyNumberFormat="1" applyFont="1"/>
    <xf numFmtId="0" fontId="3" fillId="0" borderId="71" xfId="0" applyFont="1" applyBorder="1" applyAlignment="1">
      <alignment horizontal="left"/>
    </xf>
    <xf numFmtId="9" fontId="8" fillId="0" borderId="89" xfId="0" applyNumberFormat="1" applyFont="1" applyBorder="1" applyAlignment="1">
      <alignment horizontal="center"/>
    </xf>
    <xf numFmtId="0" fontId="10" fillId="7" borderId="32" xfId="0" applyFont="1" applyFill="1" applyBorder="1" applyAlignment="1">
      <alignment horizontal="left"/>
    </xf>
    <xf numFmtId="9" fontId="10" fillId="7" borderId="5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8" fillId="0" borderId="86" xfId="0" applyFont="1" applyBorder="1" applyAlignment="1">
      <alignment horizontal="left"/>
    </xf>
    <xf numFmtId="9" fontId="8" fillId="0" borderId="87" xfId="0" applyNumberFormat="1" applyFont="1" applyBorder="1" applyAlignment="1">
      <alignment horizontal="center"/>
    </xf>
    <xf numFmtId="0" fontId="9" fillId="0" borderId="71" xfId="0" applyFont="1" applyBorder="1" applyAlignment="1">
      <alignment horizontal="left"/>
    </xf>
    <xf numFmtId="9" fontId="8" fillId="0" borderId="90" xfId="0" applyNumberFormat="1" applyFont="1" applyBorder="1" applyAlignment="1">
      <alignment horizontal="center"/>
    </xf>
    <xf numFmtId="0" fontId="10" fillId="7" borderId="91" xfId="0" applyFont="1" applyFill="1" applyBorder="1" applyAlignment="1">
      <alignment horizontal="left"/>
    </xf>
    <xf numFmtId="9" fontId="10" fillId="7" borderId="9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8" xfId="0" applyFont="1" applyBorder="1"/>
    <xf numFmtId="9" fontId="8" fillId="0" borderId="8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8" xfId="0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0" fillId="7" borderId="88" xfId="0" applyFont="1" applyFill="1" applyBorder="1" applyAlignment="1">
      <alignment horizontal="left"/>
    </xf>
    <xf numFmtId="9" fontId="10" fillId="7" borderId="88" xfId="0" applyNumberFormat="1" applyFont="1" applyFill="1" applyBorder="1" applyAlignment="1">
      <alignment horizontal="center"/>
    </xf>
    <xf numFmtId="9" fontId="3" fillId="0" borderId="88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10" fillId="7" borderId="90" xfId="0" applyFont="1" applyFill="1" applyBorder="1" applyAlignment="1">
      <alignment horizontal="left"/>
    </xf>
    <xf numFmtId="2" fontId="10" fillId="7" borderId="90" xfId="0" applyNumberFormat="1" applyFont="1" applyFill="1" applyBorder="1"/>
    <xf numFmtId="9" fontId="3" fillId="0" borderId="8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left"/>
    </xf>
    <xf numFmtId="9" fontId="3" fillId="0" borderId="88" xfId="0" applyNumberFormat="1" applyFont="1" applyBorder="1" applyAlignment="1">
      <alignment vertical="center"/>
    </xf>
    <xf numFmtId="9" fontId="3" fillId="0" borderId="90" xfId="0" applyNumberFormat="1" applyFont="1" applyBorder="1" applyAlignment="1">
      <alignment vertical="center"/>
    </xf>
    <xf numFmtId="0" fontId="10" fillId="7" borderId="6" xfId="0" applyFont="1" applyFill="1" applyBorder="1" applyAlignment="1">
      <alignment horizontal="left"/>
    </xf>
    <xf numFmtId="0" fontId="3" fillId="0" borderId="86" xfId="0" applyFont="1" applyBorder="1" applyAlignment="1">
      <alignment horizontal="left"/>
    </xf>
    <xf numFmtId="9" fontId="8" fillId="0" borderId="87" xfId="0" applyNumberFormat="1" applyFont="1" applyBorder="1" applyAlignment="1">
      <alignment horizontal="center" vertical="center"/>
    </xf>
    <xf numFmtId="9" fontId="8" fillId="0" borderId="89" xfId="0" applyNumberFormat="1" applyFont="1" applyBorder="1" applyAlignment="1">
      <alignment horizontal="center" vertical="center"/>
    </xf>
    <xf numFmtId="0" fontId="8" fillId="0" borderId="71" xfId="0" applyFont="1" applyBorder="1" applyAlignment="1">
      <alignment horizontal="left"/>
    </xf>
    <xf numFmtId="0" fontId="3" fillId="0" borderId="92" xfId="0" applyFont="1" applyBorder="1" applyAlignment="1">
      <alignment horizontal="center" vertical="center"/>
    </xf>
    <xf numFmtId="9" fontId="8" fillId="0" borderId="85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67" xfId="0" applyFont="1" applyBorder="1" applyAlignment="1">
      <alignment horizontal="left"/>
    </xf>
    <xf numFmtId="9" fontId="8" fillId="0" borderId="9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164" fontId="8" fillId="3" borderId="4" xfId="0" applyNumberFormat="1" applyFont="1" applyFill="1" applyBorder="1"/>
    <xf numFmtId="0" fontId="5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wrapText="1"/>
    </xf>
    <xf numFmtId="164" fontId="3" fillId="5" borderId="5" xfId="0" applyNumberFormat="1" applyFont="1" applyFill="1" applyBorder="1" applyAlignment="1">
      <alignment horizontal="center" wrapText="1"/>
    </xf>
    <xf numFmtId="164" fontId="8" fillId="5" borderId="5" xfId="0" applyNumberFormat="1" applyFont="1" applyFill="1" applyBorder="1" applyAlignment="1">
      <alignment horizontal="center" wrapText="1"/>
    </xf>
    <xf numFmtId="164" fontId="8" fillId="8" borderId="12" xfId="0" applyNumberFormat="1" applyFont="1" applyFill="1" applyBorder="1"/>
    <xf numFmtId="0" fontId="3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center"/>
    </xf>
    <xf numFmtId="0" fontId="24" fillId="0" borderId="28" xfId="0" applyFont="1" applyBorder="1" applyAlignment="1">
      <alignment horizontal="left"/>
    </xf>
    <xf numFmtId="0" fontId="111" fillId="0" borderId="36" xfId="1" applyFont="1" applyBorder="1"/>
    <xf numFmtId="0" fontId="111" fillId="0" borderId="33" xfId="1" applyFont="1" applyBorder="1"/>
    <xf numFmtId="164" fontId="9" fillId="0" borderId="23" xfId="0" applyNumberFormat="1" applyFont="1" applyFill="1" applyBorder="1" applyAlignment="1">
      <alignment horizontal="left"/>
    </xf>
    <xf numFmtId="0" fontId="111" fillId="0" borderId="13" xfId="1" applyFont="1" applyBorder="1" applyAlignment="1">
      <alignment horizontal="left"/>
    </xf>
    <xf numFmtId="0" fontId="113" fillId="0" borderId="14" xfId="0" applyFont="1" applyBorder="1" applyAlignment="1">
      <alignment horizontal="left"/>
    </xf>
    <xf numFmtId="0" fontId="111" fillId="0" borderId="14" xfId="1" applyFont="1" applyBorder="1" applyAlignment="1">
      <alignment horizontal="left"/>
    </xf>
    <xf numFmtId="0" fontId="111" fillId="0" borderId="28" xfId="1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113" fillId="0" borderId="15" xfId="0" applyFont="1" applyBorder="1" applyAlignment="1">
      <alignment horizontal="left"/>
    </xf>
    <xf numFmtId="164" fontId="9" fillId="0" borderId="46" xfId="0" applyNumberFormat="1" applyFont="1" applyFill="1" applyBorder="1" applyAlignment="1">
      <alignment horizontal="left"/>
    </xf>
    <xf numFmtId="0" fontId="114" fillId="3" borderId="12" xfId="0" applyFont="1" applyFill="1" applyBorder="1" applyAlignment="1">
      <alignment horizontal="left"/>
    </xf>
    <xf numFmtId="0" fontId="111" fillId="0" borderId="14" xfId="1" applyFont="1" applyBorder="1"/>
    <xf numFmtId="0" fontId="111" fillId="0" borderId="15" xfId="1" applyFont="1" applyBorder="1"/>
    <xf numFmtId="0" fontId="111" fillId="0" borderId="66" xfId="1" applyFont="1" applyBorder="1"/>
    <xf numFmtId="0" fontId="112" fillId="3" borderId="35" xfId="0" applyFont="1" applyFill="1" applyBorder="1" applyAlignment="1">
      <alignment horizontal="left"/>
    </xf>
    <xf numFmtId="0" fontId="112" fillId="3" borderId="35" xfId="0" applyFont="1" applyFill="1" applyBorder="1"/>
    <xf numFmtId="0" fontId="111" fillId="0" borderId="15" xfId="1" applyFont="1" applyBorder="1" applyAlignment="1">
      <alignment horizontal="left"/>
    </xf>
    <xf numFmtId="0" fontId="111" fillId="0" borderId="28" xfId="1" applyFont="1" applyBorder="1"/>
    <xf numFmtId="0" fontId="111" fillId="0" borderId="12" xfId="1" applyFont="1" applyBorder="1" applyAlignment="1">
      <alignment horizontal="left"/>
    </xf>
    <xf numFmtId="0" fontId="111" fillId="0" borderId="13" xfId="1" applyFont="1" applyBorder="1"/>
    <xf numFmtId="0" fontId="111" fillId="0" borderId="12" xfId="1" applyFont="1" applyBorder="1"/>
    <xf numFmtId="0" fontId="111" fillId="0" borderId="57" xfId="1" applyFont="1" applyBorder="1"/>
    <xf numFmtId="0" fontId="111" fillId="0" borderId="44" xfId="1" applyFont="1" applyBorder="1" applyAlignment="1">
      <alignment horizontal="left"/>
    </xf>
    <xf numFmtId="0" fontId="111" fillId="0" borderId="47" xfId="1" applyFont="1" applyBorder="1" applyAlignment="1">
      <alignment horizontal="left"/>
    </xf>
    <xf numFmtId="0" fontId="111" fillId="0" borderId="47" xfId="1" applyFont="1" applyBorder="1"/>
    <xf numFmtId="0" fontId="111" fillId="10" borderId="23" xfId="1" applyFont="1" applyFill="1" applyBorder="1" applyAlignment="1">
      <alignment horizontal="left"/>
    </xf>
    <xf numFmtId="0" fontId="112" fillId="0" borderId="14" xfId="0" applyFont="1" applyBorder="1" applyAlignment="1">
      <alignment horizontal="left" vertical="top"/>
    </xf>
    <xf numFmtId="0" fontId="114" fillId="3" borderId="12" xfId="0" applyFont="1" applyFill="1" applyBorder="1" applyAlignment="1">
      <alignment horizontal="left" vertical="center"/>
    </xf>
    <xf numFmtId="0" fontId="112" fillId="0" borderId="14" xfId="0" applyFont="1" applyBorder="1" applyAlignment="1">
      <alignment vertical="center"/>
    </xf>
    <xf numFmtId="0" fontId="111" fillId="0" borderId="9" xfId="1" applyFont="1" applyBorder="1"/>
    <xf numFmtId="0" fontId="112" fillId="3" borderId="23" xfId="0" applyFont="1" applyFill="1" applyBorder="1"/>
    <xf numFmtId="0" fontId="112" fillId="3" borderId="75" xfId="0" applyFont="1" applyFill="1" applyBorder="1"/>
    <xf numFmtId="0" fontId="111" fillId="3" borderId="75" xfId="1" applyFont="1" applyFill="1" applyBorder="1"/>
    <xf numFmtId="0" fontId="112" fillId="3" borderId="49" xfId="0" applyFont="1" applyFill="1" applyBorder="1"/>
    <xf numFmtId="0" fontId="111" fillId="3" borderId="23" xfId="1" applyFont="1" applyFill="1" applyBorder="1"/>
    <xf numFmtId="0" fontId="111" fillId="3" borderId="46" xfId="1" applyFont="1" applyFill="1" applyBorder="1"/>
    <xf numFmtId="0" fontId="111" fillId="3" borderId="4" xfId="1" applyFont="1" applyFill="1" applyBorder="1" applyAlignment="1">
      <alignment horizontal="left"/>
    </xf>
    <xf numFmtId="0" fontId="111" fillId="3" borderId="77" xfId="1" applyFont="1" applyFill="1" applyBorder="1"/>
    <xf numFmtId="164" fontId="111" fillId="3" borderId="46" xfId="1" applyNumberFormat="1" applyFont="1" applyFill="1" applyBorder="1"/>
    <xf numFmtId="0" fontId="111" fillId="3" borderId="23" xfId="1" applyFont="1" applyFill="1" applyBorder="1" applyAlignment="1">
      <alignment vertical="center"/>
    </xf>
    <xf numFmtId="0" fontId="111" fillId="3" borderId="46" xfId="1" applyFont="1" applyFill="1" applyBorder="1" applyAlignment="1">
      <alignment horizontal="left"/>
    </xf>
    <xf numFmtId="0" fontId="111" fillId="0" borderId="64" xfId="1" applyFont="1" applyBorder="1" applyAlignment="1">
      <alignment horizontal="left"/>
    </xf>
    <xf numFmtId="0" fontId="111" fillId="0" borderId="64" xfId="1" applyFont="1" applyBorder="1"/>
    <xf numFmtId="0" fontId="114" fillId="12" borderId="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/>
    <xf numFmtId="0" fontId="4" fillId="4" borderId="40" xfId="0" applyFont="1" applyFill="1" applyBorder="1" applyAlignment="1"/>
    <xf numFmtId="0" fontId="3" fillId="4" borderId="42" xfId="0" applyFont="1" applyFill="1" applyBorder="1" applyAlignment="1"/>
    <xf numFmtId="0" fontId="3" fillId="4" borderId="1" xfId="0" applyFont="1" applyFill="1" applyBorder="1" applyAlignment="1"/>
    <xf numFmtId="0" fontId="8" fillId="4" borderId="42" xfId="0" applyFont="1" applyFill="1" applyBorder="1" applyAlignment="1"/>
    <xf numFmtId="0" fontId="94" fillId="4" borderId="1" xfId="0" applyFont="1" applyFill="1" applyBorder="1" applyAlignment="1"/>
    <xf numFmtId="164" fontId="94" fillId="4" borderId="1" xfId="0" applyNumberFormat="1" applyFont="1" applyFill="1" applyBorder="1" applyAlignment="1"/>
    <xf numFmtId="164" fontId="10" fillId="7" borderId="40" xfId="0" applyNumberFormat="1" applyFont="1" applyFill="1" applyBorder="1" applyAlignment="1"/>
    <xf numFmtId="164" fontId="10" fillId="7" borderId="1" xfId="0" applyNumberFormat="1" applyFont="1" applyFill="1" applyBorder="1" applyAlignment="1">
      <alignment vertical="center"/>
    </xf>
    <xf numFmtId="0" fontId="11" fillId="4" borderId="40" xfId="0" applyFont="1" applyFill="1" applyBorder="1" applyAlignment="1"/>
    <xf numFmtId="0" fontId="12" fillId="4" borderId="40" xfId="0" applyFont="1" applyFill="1" applyBorder="1" applyAlignment="1"/>
    <xf numFmtId="0" fontId="13" fillId="4" borderId="40" xfId="0" applyFont="1" applyFill="1" applyBorder="1" applyAlignment="1"/>
    <xf numFmtId="0" fontId="114" fillId="0" borderId="12" xfId="0" applyFont="1" applyBorder="1" applyAlignment="1">
      <alignment horizontal="left"/>
    </xf>
    <xf numFmtId="164" fontId="8" fillId="8" borderId="84" xfId="0" applyNumberFormat="1" applyFont="1" applyFill="1" applyBorder="1" applyAlignment="1">
      <alignment vertical="center"/>
    </xf>
    <xf numFmtId="164" fontId="8" fillId="9" borderId="13" xfId="0" applyNumberFormat="1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01" fillId="3" borderId="13" xfId="0" applyFont="1" applyFill="1" applyBorder="1" applyAlignment="1">
      <alignment vertical="center"/>
    </xf>
    <xf numFmtId="164" fontId="118" fillId="9" borderId="43" xfId="0" applyNumberFormat="1" applyFont="1" applyFill="1" applyBorder="1" applyAlignment="1">
      <alignment horizontal="right" vertical="center" wrapText="1"/>
    </xf>
    <xf numFmtId="0" fontId="111" fillId="3" borderId="12" xfId="1" applyFont="1" applyFill="1" applyBorder="1"/>
    <xf numFmtId="0" fontId="111" fillId="3" borderId="72" xfId="1" applyFont="1" applyFill="1" applyBorder="1"/>
    <xf numFmtId="0" fontId="111" fillId="3" borderId="13" xfId="1" applyFont="1" applyFill="1" applyBorder="1" applyAlignment="1">
      <alignment vertical="center"/>
    </xf>
    <xf numFmtId="9" fontId="3" fillId="0" borderId="0" xfId="2" applyFont="1"/>
    <xf numFmtId="9" fontId="2" fillId="0" borderId="5" xfId="2" applyFont="1" applyBorder="1" applyAlignment="1">
      <alignment horizontal="center" vertical="center" wrapText="1"/>
    </xf>
    <xf numFmtId="9" fontId="0" fillId="0" borderId="0" xfId="2" applyFont="1" applyAlignment="1"/>
    <xf numFmtId="9" fontId="10" fillId="7" borderId="59" xfId="2" applyFont="1" applyFill="1" applyBorder="1"/>
    <xf numFmtId="9" fontId="3" fillId="4" borderId="59" xfId="2" applyFont="1" applyFill="1" applyBorder="1"/>
    <xf numFmtId="9" fontId="10" fillId="7" borderId="12" xfId="2" applyFont="1" applyFill="1" applyBorder="1"/>
    <xf numFmtId="2" fontId="10" fillId="7" borderId="12" xfId="0" applyNumberFormat="1" applyFont="1" applyFill="1" applyBorder="1"/>
    <xf numFmtId="0" fontId="115" fillId="0" borderId="84" xfId="0" applyFont="1" applyBorder="1" applyAlignment="1">
      <alignment horizontal="center" vertical="center" wrapText="1"/>
    </xf>
    <xf numFmtId="0" fontId="111" fillId="0" borderId="15" xfId="1" applyFont="1" applyFill="1" applyBorder="1" applyAlignment="1">
      <alignment horizontal="left"/>
    </xf>
    <xf numFmtId="0" fontId="111" fillId="0" borderId="13" xfId="1" applyFont="1" applyFill="1" applyBorder="1" applyAlignment="1">
      <alignment horizontal="left"/>
    </xf>
    <xf numFmtId="0" fontId="113" fillId="0" borderId="13" xfId="0" applyFont="1" applyBorder="1" applyAlignment="1">
      <alignment horizontal="left"/>
    </xf>
    <xf numFmtId="0" fontId="111" fillId="0" borderId="14" xfId="1" applyFont="1" applyFill="1" applyBorder="1" applyAlignment="1">
      <alignment horizontal="left"/>
    </xf>
    <xf numFmtId="0" fontId="111" fillId="0" borderId="28" xfId="1" applyFont="1" applyFill="1" applyBorder="1" applyAlignment="1">
      <alignment horizontal="left"/>
    </xf>
    <xf numFmtId="0" fontId="111" fillId="0" borderId="23" xfId="1" applyFont="1" applyFill="1" applyBorder="1" applyAlignment="1">
      <alignment vertical="center"/>
    </xf>
    <xf numFmtId="0" fontId="115" fillId="0" borderId="15" xfId="0" applyFont="1" applyBorder="1" applyAlignment="1">
      <alignment wrapText="1"/>
    </xf>
    <xf numFmtId="0" fontId="111" fillId="0" borderId="15" xfId="1" applyFont="1" applyFill="1" applyBorder="1" applyAlignment="1">
      <alignment vertical="center"/>
    </xf>
    <xf numFmtId="0" fontId="111" fillId="0" borderId="12" xfId="1" applyFont="1" applyFill="1" applyBorder="1"/>
    <xf numFmtId="0" fontId="118" fillId="3" borderId="12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111" fillId="0" borderId="36" xfId="1" applyFont="1" applyFill="1" applyBorder="1"/>
    <xf numFmtId="0" fontId="3" fillId="0" borderId="0" xfId="0" applyFont="1"/>
    <xf numFmtId="0" fontId="0" fillId="0" borderId="0" xfId="0" applyFont="1" applyAlignment="1"/>
    <xf numFmtId="0" fontId="40" fillId="0" borderId="9" xfId="0" applyFont="1" applyBorder="1" applyAlignment="1">
      <alignment horizontal="left"/>
    </xf>
    <xf numFmtId="0" fontId="111" fillId="0" borderId="9" xfId="1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164" fontId="3" fillId="0" borderId="48" xfId="0" applyNumberFormat="1" applyFont="1" applyBorder="1"/>
    <xf numFmtId="9" fontId="3" fillId="4" borderId="10" xfId="2" applyFont="1" applyFill="1" applyBorder="1"/>
    <xf numFmtId="9" fontId="10" fillId="7" borderId="10" xfId="2" applyFont="1" applyFill="1" applyBorder="1"/>
    <xf numFmtId="0" fontId="2" fillId="0" borderId="12" xfId="0" applyFont="1" applyBorder="1" applyAlignment="1">
      <alignment horizontal="left"/>
    </xf>
    <xf numFmtId="0" fontId="112" fillId="11" borderId="14" xfId="0" applyFont="1" applyFill="1" applyBorder="1" applyAlignment="1">
      <alignment horizontal="left" vertical="top"/>
    </xf>
    <xf numFmtId="0" fontId="75" fillId="11" borderId="12" xfId="0" applyFont="1" applyFill="1" applyBorder="1"/>
    <xf numFmtId="0" fontId="111" fillId="11" borderId="13" xfId="1" applyFont="1" applyFill="1" applyBorder="1"/>
    <xf numFmtId="9" fontId="114" fillId="0" borderId="69" xfId="2" applyFont="1" applyBorder="1"/>
    <xf numFmtId="164" fontId="3" fillId="0" borderId="75" xfId="0" applyNumberFormat="1" applyFont="1" applyBorder="1"/>
    <xf numFmtId="164" fontId="3" fillId="4" borderId="20" xfId="0" applyNumberFormat="1" applyFont="1" applyFill="1" applyBorder="1"/>
    <xf numFmtId="164" fontId="3" fillId="0" borderId="66" xfId="0" applyNumberFormat="1" applyFont="1" applyBorder="1"/>
    <xf numFmtId="0" fontId="111" fillId="0" borderId="0" xfId="1" applyFont="1" applyFill="1" applyAlignment="1">
      <alignment horizontal="left"/>
    </xf>
    <xf numFmtId="0" fontId="111" fillId="0" borderId="14" xfId="1" applyFont="1" applyFill="1" applyBorder="1"/>
    <xf numFmtId="0" fontId="111" fillId="0" borderId="15" xfId="1" applyFont="1" applyFill="1" applyBorder="1"/>
    <xf numFmtId="164" fontId="9" fillId="0" borderId="35" xfId="0" applyNumberFormat="1" applyFont="1" applyFill="1" applyBorder="1" applyAlignment="1">
      <alignment horizontal="left"/>
    </xf>
    <xf numFmtId="164" fontId="8" fillId="0" borderId="46" xfId="0" applyNumberFormat="1" applyFont="1" applyFill="1" applyBorder="1" applyAlignment="1">
      <alignment horizontal="right" vertical="center"/>
    </xf>
    <xf numFmtId="0" fontId="3" fillId="0" borderId="0" xfId="0" applyFont="1"/>
    <xf numFmtId="0" fontId="0" fillId="0" borderId="0" xfId="0" applyFont="1" applyAlignment="1"/>
    <xf numFmtId="0" fontId="3" fillId="0" borderId="0" xfId="0" applyFont="1" applyAlignment="1">
      <alignment horizontal="right" vertical="center"/>
    </xf>
    <xf numFmtId="0" fontId="40" fillId="0" borderId="9" xfId="0" applyFont="1" applyBorder="1" applyAlignment="1">
      <alignment horizontal="left"/>
    </xf>
    <xf numFmtId="0" fontId="111" fillId="0" borderId="9" xfId="1" applyFont="1" applyBorder="1" applyAlignment="1">
      <alignment horizontal="left"/>
    </xf>
    <xf numFmtId="0" fontId="9" fillId="3" borderId="23" xfId="0" applyFont="1" applyFill="1" applyBorder="1" applyAlignment="1">
      <alignment horizontal="left" vertical="center"/>
    </xf>
    <xf numFmtId="0" fontId="3" fillId="0" borderId="4" xfId="0" applyFont="1" applyFill="1" applyBorder="1"/>
    <xf numFmtId="0" fontId="2" fillId="0" borderId="2" xfId="0" applyFont="1" applyBorder="1" applyAlignment="1"/>
    <xf numFmtId="0" fontId="2" fillId="0" borderId="33" xfId="0" applyFont="1" applyBorder="1" applyAlignment="1"/>
    <xf numFmtId="164" fontId="8" fillId="8" borderId="96" xfId="0" applyNumberFormat="1" applyFont="1" applyFill="1" applyBorder="1" applyAlignment="1">
      <alignment horizontal="right" vertical="center"/>
    </xf>
    <xf numFmtId="164" fontId="8" fillId="9" borderId="97" xfId="0" applyNumberFormat="1" applyFont="1" applyFill="1" applyBorder="1" applyAlignment="1">
      <alignment horizontal="right" vertical="center"/>
    </xf>
    <xf numFmtId="0" fontId="120" fillId="0" borderId="2" xfId="0" applyFont="1" applyBorder="1" applyAlignment="1"/>
    <xf numFmtId="0" fontId="2" fillId="0" borderId="3" xfId="0" applyFont="1" applyBorder="1" applyAlignment="1"/>
    <xf numFmtId="164" fontId="8" fillId="9" borderId="38" xfId="0" applyNumberFormat="1" applyFont="1" applyFill="1" applyBorder="1" applyAlignment="1">
      <alignment horizontal="right" vertical="center"/>
    </xf>
    <xf numFmtId="0" fontId="111" fillId="0" borderId="2" xfId="1" applyFont="1" applyBorder="1" applyAlignment="1"/>
    <xf numFmtId="0" fontId="120" fillId="0" borderId="2" xfId="0" applyFont="1" applyFill="1" applyBorder="1" applyAlignment="1"/>
    <xf numFmtId="164" fontId="8" fillId="9" borderId="98" xfId="0" applyNumberFormat="1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 vertical="top"/>
    </xf>
    <xf numFmtId="0" fontId="4" fillId="0" borderId="23" xfId="0" applyFont="1" applyFill="1" applyBorder="1" applyAlignment="1">
      <alignment horizontal="left"/>
    </xf>
    <xf numFmtId="0" fontId="72" fillId="0" borderId="23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/>
    </xf>
    <xf numFmtId="0" fontId="111" fillId="0" borderId="23" xfId="1" applyFont="1" applyFill="1" applyBorder="1" applyAlignment="1">
      <alignment horizontal="left"/>
    </xf>
    <xf numFmtId="0" fontId="9" fillId="0" borderId="23" xfId="0" applyFont="1" applyFill="1" applyBorder="1" applyAlignment="1">
      <alignment horizontal="left"/>
    </xf>
    <xf numFmtId="0" fontId="73" fillId="0" borderId="48" xfId="0" applyFont="1" applyFill="1" applyBorder="1" applyAlignment="1">
      <alignment horizontal="left"/>
    </xf>
    <xf numFmtId="164" fontId="8" fillId="0" borderId="5" xfId="0" applyNumberFormat="1" applyFont="1" applyFill="1" applyBorder="1"/>
    <xf numFmtId="0" fontId="111" fillId="0" borderId="98" xfId="1" applyFont="1" applyBorder="1" applyAlignment="1"/>
    <xf numFmtId="0" fontId="114" fillId="0" borderId="2" xfId="0" applyFont="1" applyFill="1" applyBorder="1" applyAlignment="1"/>
    <xf numFmtId="0" fontId="2" fillId="0" borderId="2" xfId="0" applyFont="1" applyFill="1" applyBorder="1" applyAlignment="1"/>
    <xf numFmtId="0" fontId="23" fillId="0" borderId="14" xfId="0" applyFont="1" applyFill="1" applyBorder="1" applyAlignment="1">
      <alignment horizontal="left"/>
    </xf>
    <xf numFmtId="0" fontId="110" fillId="0" borderId="28" xfId="1" applyFill="1" applyBorder="1" applyAlignment="1">
      <alignment horizontal="left"/>
    </xf>
    <xf numFmtId="0" fontId="0" fillId="0" borderId="0" xfId="0" applyFont="1" applyAlignment="1"/>
    <xf numFmtId="0" fontId="110" fillId="0" borderId="2" xfId="1" applyBorder="1" applyAlignment="1"/>
    <xf numFmtId="0" fontId="110" fillId="0" borderId="28" xfId="1" applyBorder="1"/>
    <xf numFmtId="0" fontId="110" fillId="0" borderId="2" xfId="1" applyFill="1" applyBorder="1" applyAlignment="1"/>
    <xf numFmtId="9" fontId="10" fillId="0" borderId="59" xfId="2" applyFont="1" applyFill="1" applyBorder="1"/>
    <xf numFmtId="0" fontId="111" fillId="0" borderId="2" xfId="1" applyFont="1" applyFill="1" applyBorder="1" applyAlignment="1"/>
    <xf numFmtId="0" fontId="11" fillId="0" borderId="46" xfId="0" applyFont="1" applyFill="1" applyBorder="1"/>
    <xf numFmtId="0" fontId="110" fillId="0" borderId="46" xfId="1" applyFill="1" applyBorder="1"/>
    <xf numFmtId="164" fontId="8" fillId="0" borderId="6" xfId="0" applyNumberFormat="1" applyFont="1" applyFill="1" applyBorder="1"/>
    <xf numFmtId="0" fontId="4" fillId="0" borderId="14" xfId="0" applyFont="1" applyFill="1" applyBorder="1" applyAlignment="1">
      <alignment vertical="center"/>
    </xf>
    <xf numFmtId="0" fontId="110" fillId="0" borderId="9" xfId="1" applyFill="1" applyBorder="1"/>
    <xf numFmtId="0" fontId="110" fillId="0" borderId="33" xfId="1" applyBorder="1"/>
    <xf numFmtId="0" fontId="3" fillId="0" borderId="12" xfId="0" applyFont="1" applyFill="1" applyBorder="1" applyAlignment="1">
      <alignment horizontal="left"/>
    </xf>
    <xf numFmtId="0" fontId="110" fillId="0" borderId="15" xfId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/>
    </xf>
    <xf numFmtId="164" fontId="8" fillId="0" borderId="46" xfId="0" applyNumberFormat="1" applyFont="1" applyFill="1" applyBorder="1"/>
    <xf numFmtId="164" fontId="111" fillId="0" borderId="46" xfId="1" applyNumberFormat="1" applyFont="1" applyFill="1" applyBorder="1"/>
    <xf numFmtId="0" fontId="110" fillId="3" borderId="35" xfId="1" applyFill="1" applyBorder="1"/>
    <xf numFmtId="0" fontId="110" fillId="0" borderId="47" xfId="1" applyFill="1" applyBorder="1"/>
    <xf numFmtId="0" fontId="110" fillId="0" borderId="77" xfId="1" applyFill="1" applyBorder="1"/>
    <xf numFmtId="164" fontId="3" fillId="3" borderId="9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3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5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16" fillId="0" borderId="0" xfId="0" applyFont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 vertical="center"/>
    </xf>
    <xf numFmtId="0" fontId="2" fillId="0" borderId="31" xfId="0" applyFont="1" applyBorder="1"/>
    <xf numFmtId="0" fontId="2" fillId="0" borderId="37" xfId="0" applyFont="1" applyBorder="1"/>
    <xf numFmtId="164" fontId="10" fillId="7" borderId="1" xfId="0" applyNumberFormat="1" applyFont="1" applyFill="1" applyBorder="1" applyAlignment="1">
      <alignment horizontal="center" vertical="center"/>
    </xf>
    <xf numFmtId="0" fontId="2" fillId="0" borderId="33" xfId="0" applyFont="1" applyBorder="1"/>
    <xf numFmtId="164" fontId="10" fillId="7" borderId="39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7" fillId="6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4" borderId="10" xfId="0" applyFont="1" applyFill="1" applyBorder="1" applyAlignment="1">
      <alignment horizontal="center"/>
    </xf>
    <xf numFmtId="0" fontId="4" fillId="4" borderId="59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5" fillId="0" borderId="50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38" fillId="0" borderId="47" xfId="0" applyFont="1" applyBorder="1" applyAlignment="1">
      <alignment horizontal="left" vertical="top"/>
    </xf>
    <xf numFmtId="0" fontId="2" fillId="0" borderId="52" xfId="0" applyFont="1" applyBorder="1"/>
    <xf numFmtId="0" fontId="8" fillId="3" borderId="25" xfId="0" applyFont="1" applyFill="1" applyBorder="1" applyAlignment="1">
      <alignment horizontal="center" vertical="center"/>
    </xf>
    <xf numFmtId="0" fontId="49" fillId="0" borderId="55" xfId="0" applyFont="1" applyBorder="1" applyAlignment="1">
      <alignment horizontal="left"/>
    </xf>
    <xf numFmtId="0" fontId="2" fillId="0" borderId="56" xfId="0" applyFont="1" applyBorder="1"/>
    <xf numFmtId="0" fontId="43" fillId="0" borderId="53" xfId="0" applyFont="1" applyBorder="1" applyAlignment="1">
      <alignment horizontal="left"/>
    </xf>
    <xf numFmtId="0" fontId="2" fillId="0" borderId="54" xfId="0" applyFont="1" applyBorder="1"/>
    <xf numFmtId="0" fontId="111" fillId="0" borderId="28" xfId="1" applyFont="1" applyFill="1" applyBorder="1" applyAlignment="1">
      <alignment horizontal="center"/>
    </xf>
    <xf numFmtId="0" fontId="119" fillId="0" borderId="0" xfId="0" applyFont="1" applyFill="1" applyAlignment="1"/>
    <xf numFmtId="0" fontId="114" fillId="0" borderId="57" xfId="0" applyFont="1" applyFill="1" applyBorder="1"/>
    <xf numFmtId="0" fontId="9" fillId="0" borderId="9" xfId="0" applyFont="1" applyBorder="1" applyAlignment="1">
      <alignment horizontal="left"/>
    </xf>
    <xf numFmtId="0" fontId="2" fillId="0" borderId="41" xfId="0" applyFont="1" applyBorder="1"/>
    <xf numFmtId="0" fontId="3" fillId="4" borderId="32" xfId="0" applyFont="1" applyFill="1" applyBorder="1" applyAlignment="1">
      <alignment horizontal="center"/>
    </xf>
    <xf numFmtId="0" fontId="40" fillId="0" borderId="9" xfId="0" applyFont="1" applyBorder="1" applyAlignment="1">
      <alignment horizontal="left"/>
    </xf>
    <xf numFmtId="0" fontId="111" fillId="0" borderId="9" xfId="1" applyFont="1" applyFill="1" applyBorder="1" applyAlignment="1">
      <alignment horizontal="left"/>
    </xf>
    <xf numFmtId="0" fontId="114" fillId="0" borderId="10" xfId="0" applyFont="1" applyFill="1" applyBorder="1"/>
    <xf numFmtId="0" fontId="114" fillId="0" borderId="41" xfId="0" applyFont="1" applyFill="1" applyBorder="1"/>
    <xf numFmtId="0" fontId="111" fillId="0" borderId="9" xfId="1" applyFont="1" applyBorder="1" applyAlignment="1">
      <alignment horizontal="left"/>
    </xf>
    <xf numFmtId="0" fontId="114" fillId="0" borderId="10" xfId="0" applyFont="1" applyBorder="1"/>
    <xf numFmtId="0" fontId="114" fillId="0" borderId="41" xfId="0" applyFont="1" applyBorder="1"/>
    <xf numFmtId="0" fontId="112" fillId="3" borderId="36" xfId="0" applyFont="1" applyFill="1" applyBorder="1" applyAlignment="1">
      <alignment horizontal="left"/>
    </xf>
    <xf numFmtId="0" fontId="114" fillId="0" borderId="2" xfId="0" applyFont="1" applyBorder="1"/>
    <xf numFmtId="0" fontId="114" fillId="0" borderId="3" xfId="0" applyFont="1" applyBorder="1"/>
    <xf numFmtId="0" fontId="3" fillId="3" borderId="25" xfId="0" applyFont="1" applyFill="1" applyBorder="1" applyAlignment="1">
      <alignment horizontal="center" vertical="center"/>
    </xf>
    <xf numFmtId="0" fontId="111" fillId="0" borderId="36" xfId="1" applyFont="1" applyBorder="1" applyAlignment="1">
      <alignment horizontal="center"/>
    </xf>
    <xf numFmtId="0" fontId="111" fillId="0" borderId="50" xfId="1" applyFont="1" applyBorder="1" applyAlignment="1">
      <alignment horizontal="center"/>
    </xf>
    <xf numFmtId="0" fontId="114" fillId="0" borderId="18" xfId="0" applyFont="1" applyBorder="1"/>
    <xf numFmtId="0" fontId="4" fillId="0" borderId="78" xfId="0" applyFont="1" applyBorder="1" applyAlignment="1">
      <alignment horizontal="center"/>
    </xf>
    <xf numFmtId="0" fontId="102" fillId="3" borderId="13" xfId="0" applyFont="1" applyFill="1" applyBorder="1" applyAlignment="1">
      <alignment horizontal="center" vertical="center"/>
    </xf>
    <xf numFmtId="0" fontId="111" fillId="3" borderId="36" xfId="1" applyFont="1" applyFill="1" applyBorder="1" applyAlignment="1">
      <alignment horizontal="center"/>
    </xf>
    <xf numFmtId="0" fontId="2" fillId="0" borderId="80" xfId="0" applyFont="1" applyBorder="1"/>
    <xf numFmtId="0" fontId="111" fillId="0" borderId="36" xfId="1" applyFont="1" applyBorder="1" applyAlignment="1">
      <alignment horizontal="left"/>
    </xf>
    <xf numFmtId="0" fontId="103" fillId="3" borderId="74" xfId="0" applyFont="1" applyFill="1" applyBorder="1" applyAlignment="1">
      <alignment horizontal="center" vertical="center"/>
    </xf>
    <xf numFmtId="0" fontId="2" fillId="0" borderId="58" xfId="0" applyFont="1" applyBorder="1"/>
    <xf numFmtId="0" fontId="2" fillId="0" borderId="69" xfId="0" applyFont="1" applyBorder="1"/>
    <xf numFmtId="0" fontId="114" fillId="0" borderId="9" xfId="0" applyFont="1" applyBorder="1" applyAlignment="1">
      <alignment horizontal="left"/>
    </xf>
    <xf numFmtId="0" fontId="3" fillId="4" borderId="67" xfId="0" applyFont="1" applyFill="1" applyBorder="1" applyAlignment="1">
      <alignment horizontal="center"/>
    </xf>
    <xf numFmtId="0" fontId="12" fillId="4" borderId="81" xfId="0" applyFont="1" applyFill="1" applyBorder="1" applyAlignment="1">
      <alignment horizontal="center"/>
    </xf>
    <xf numFmtId="0" fontId="2" fillId="0" borderId="82" xfId="0" applyFont="1" applyBorder="1"/>
    <xf numFmtId="0" fontId="2" fillId="0" borderId="83" xfId="0" applyFont="1" applyBorder="1"/>
    <xf numFmtId="0" fontId="12" fillId="4" borderId="40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left"/>
    </xf>
    <xf numFmtId="0" fontId="13" fillId="4" borderId="40" xfId="0" applyFont="1" applyFill="1" applyBorder="1" applyAlignment="1">
      <alignment horizontal="center"/>
    </xf>
    <xf numFmtId="0" fontId="3" fillId="0" borderId="84" xfId="0" applyFont="1" applyBorder="1" applyAlignment="1">
      <alignment horizontal="center" vertical="center"/>
    </xf>
    <xf numFmtId="0" fontId="2" fillId="0" borderId="85" xfId="0" applyFont="1" applyBorder="1"/>
    <xf numFmtId="0" fontId="2" fillId="0" borderId="92" xfId="0" applyFont="1" applyBorder="1"/>
    <xf numFmtId="9" fontId="3" fillId="0" borderId="84" xfId="0" applyNumberFormat="1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2" fillId="0" borderId="87" xfId="0" applyFont="1" applyBorder="1"/>
    <xf numFmtId="0" fontId="8" fillId="0" borderId="84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93" xfId="0" applyFont="1" applyFill="1" applyBorder="1"/>
    <xf numFmtId="0" fontId="2" fillId="0" borderId="94" xfId="0" applyFont="1" applyBorder="1"/>
    <xf numFmtId="0" fontId="2" fillId="0" borderId="95" xfId="0" applyFont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2</xdr:row>
      <xdr:rowOff>190500</xdr:rowOff>
    </xdr:from>
    <xdr:ext cx="22755225" cy="228600"/>
    <xdr:sp macro="" textlink="">
      <xdr:nvSpPr>
        <xdr:cNvPr id="2" name="Rectángulo 1"/>
        <xdr:cNvSpPr/>
      </xdr:nvSpPr>
      <xdr:spPr>
        <a:xfrm>
          <a:off x="771525" y="595840"/>
          <a:ext cx="23231476" cy="223310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bg1">
              <a:lumMod val="85000"/>
            </a:schemeClr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lang="es-AR" sz="1200" b="1">
              <a:solidFill>
                <a:schemeClr val="tx1">
                  <a:lumMod val="50000"/>
                  <a:lumOff val="50000"/>
                </a:schemeClr>
              </a:solidFill>
            </a:rPr>
            <a:t>PRECIOS DE COMPR.AR MENDOZA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iendahospimed.com.ar/MLA-808478889-gel-neutro-1-kg-x-2-unidades-_JM" TargetMode="External"/><Relationship Id="rId21" Type="http://schemas.openxmlformats.org/officeDocument/2006/relationships/hyperlink" Target="https://www.tiendahospimed.com.ar/MLA-1120422069-aposito-esteril-gasa-algodon-kraft-10x20-20-unidades-_JM" TargetMode="External"/><Relationship Id="rId42" Type="http://schemas.openxmlformats.org/officeDocument/2006/relationships/hyperlink" Target="https://www.tiendasaludonline.com.ar/productos/frasco-brocal-desc-c-tapa-no-esteril-x-2500cc/" TargetMode="External"/><Relationship Id="rId47" Type="http://schemas.openxmlformats.org/officeDocument/2006/relationships/hyperlink" Target="https://www.tiendasaludonline.com.ar/productos/cateter-intravenoso-16g-caja-x-100u-polywin-polymed/" TargetMode="External"/><Relationship Id="rId63" Type="http://schemas.openxmlformats.org/officeDocument/2006/relationships/hyperlink" Target="https://www.tiendasaludonline.com.ar/productos/gasa-hidrof-tubular-doble-hilado-24-1-pieza-x-1-kilo-insumos-xxi/" TargetMode="External"/><Relationship Id="rId68" Type="http://schemas.openxmlformats.org/officeDocument/2006/relationships/hyperlink" Target="https://www.tiendahospimed.com.ar/MLA-1291850372-guia-suero-macrogotero-cchapa-v-14-x-10-unidades-sin-aguja-_JM" TargetMode="External"/><Relationship Id="rId84" Type="http://schemas.openxmlformats.org/officeDocument/2006/relationships/hyperlink" Target="https://www.lilis.com.ar/barbijo-triple-con-elastico-50-negro" TargetMode="External"/><Relationship Id="rId89" Type="http://schemas.openxmlformats.org/officeDocument/2006/relationships/hyperlink" Target="https://www.lilis.com.ar/agujas-cateter-todos-los-tama-os" TargetMode="External"/><Relationship Id="rId112" Type="http://schemas.openxmlformats.org/officeDocument/2006/relationships/hyperlink" Target="https://www.lilis.com.ar/especulo-medisul-grande-para-leep-100-rosa-2" TargetMode="External"/><Relationship Id="rId133" Type="http://schemas.openxmlformats.org/officeDocument/2006/relationships/hyperlink" Target="https://www.tiendasaludonline.com.ar/productos/aerocamara-pediatrica-aero-100/" TargetMode="External"/><Relationship Id="rId138" Type="http://schemas.openxmlformats.org/officeDocument/2006/relationships/hyperlink" Target="https://www.lilis.com.ar/bigotera-k27-adulto-nasal-kol-78433" TargetMode="External"/><Relationship Id="rId154" Type="http://schemas.openxmlformats.org/officeDocument/2006/relationships/hyperlink" Target="https://www.lilis.com.ar/papel-50-30-electrocardiografo-t-fukuda-x-10-un" TargetMode="External"/><Relationship Id="rId159" Type="http://schemas.openxmlformats.org/officeDocument/2006/relationships/hyperlink" Target="https://www.tiendahospimed.com.ar/MLA-817034684-pinza-maier-ginecologica-descartable-por-5-unidades-_JM" TargetMode="External"/><Relationship Id="rId175" Type="http://schemas.openxmlformats.org/officeDocument/2006/relationships/hyperlink" Target="https://www.lilis.com.ar/termometro-digital-citizen" TargetMode="External"/><Relationship Id="rId170" Type="http://schemas.openxmlformats.org/officeDocument/2006/relationships/hyperlink" Target="https://www.lilis.com.ar/tela-adhesiva-micropore-5-sin-carretel-16558" TargetMode="External"/><Relationship Id="rId191" Type="http://schemas.openxmlformats.org/officeDocument/2006/relationships/hyperlink" Target="https://cirugiarex.com.ar/producto/barbijo-quirurgico-x50-unidades-2/" TargetMode="External"/><Relationship Id="rId16" Type="http://schemas.openxmlformats.org/officeDocument/2006/relationships/hyperlink" Target="https://cirugiarex.com.ar/producto/aposito-hidrocoloide-10x10cm-33110/" TargetMode="External"/><Relationship Id="rId107" Type="http://schemas.openxmlformats.org/officeDocument/2006/relationships/hyperlink" Target="https://www.tiendasaludonline.com.ar/productos/especulo-vaginal-descartable-mediano-medisul/" TargetMode="External"/><Relationship Id="rId11" Type="http://schemas.openxmlformats.org/officeDocument/2006/relationships/hyperlink" Target="https://www.lilis.com.ar/algodon-1-2-k-doncella-igalte" TargetMode="External"/><Relationship Id="rId32" Type="http://schemas.openxmlformats.org/officeDocument/2006/relationships/hyperlink" Target="https://www.tiendasaludonline.com.ar/productos/botas-descartable-hemorepelente-con-tiras-blanca-30grs-p-cirugia-x-10-pares/" TargetMode="External"/><Relationship Id="rId37" Type="http://schemas.openxmlformats.org/officeDocument/2006/relationships/hyperlink" Target="https://www.lilis.com.ar/bolsa-convatec-cerrada-colostomia-opaca-38mm" TargetMode="External"/><Relationship Id="rId53" Type="http://schemas.openxmlformats.org/officeDocument/2006/relationships/hyperlink" Target="https://cirugiarex.com.ar/producto/cepillo-colector-citologico/" TargetMode="External"/><Relationship Id="rId58" Type="http://schemas.openxmlformats.org/officeDocument/2006/relationships/hyperlink" Target="https://www.tiendasaludonline.com.ar/productos/collar-tipo-filadelfia-s-m-l-body-care/" TargetMode="External"/><Relationship Id="rId74" Type="http://schemas.openxmlformats.org/officeDocument/2006/relationships/hyperlink" Target="https://www.lilis.com.ar/hojas-de-bisturi-printex-100-todos-los-tama-os" TargetMode="External"/><Relationship Id="rId79" Type="http://schemas.openxmlformats.org/officeDocument/2006/relationships/hyperlink" Target="https://www.lilis.com.ar/llave-de-3-vias" TargetMode="External"/><Relationship Id="rId102" Type="http://schemas.openxmlformats.org/officeDocument/2006/relationships/hyperlink" Target="https://www.lilis.com.ar/detergente-bienzimatico-1-litro" TargetMode="External"/><Relationship Id="rId123" Type="http://schemas.openxmlformats.org/officeDocument/2006/relationships/hyperlink" Target="https://www.tiendasaludonline.com.ar/productos/macrogotero-sin-aguja-v14-caja-x-25ps-a-ruedita-novamed/" TargetMode="External"/><Relationship Id="rId128" Type="http://schemas.openxmlformats.org/officeDocument/2006/relationships/hyperlink" Target="https://cirugiarex.com.ar/producto/jeringa-desechable-tomey-60ml-x25/" TargetMode="External"/><Relationship Id="rId144" Type="http://schemas.openxmlformats.org/officeDocument/2006/relationships/hyperlink" Target="https://www.lilis.com.ar/sutura-de-nylon-supralon-todos-los-tama-os" TargetMode="External"/><Relationship Id="rId149" Type="http://schemas.openxmlformats.org/officeDocument/2006/relationships/hyperlink" Target="https://www.tiendasaludonline.com.ar/productos/panales-adultos-recto-con-gel-grande-x-50-pads-x-2-paq/" TargetMode="External"/><Relationship Id="rId5" Type="http://schemas.openxmlformats.org/officeDocument/2006/relationships/hyperlink" Target="https://www.tiendasaludonline.com.ar/productos/agujas-hipodermicas-25-8-21gx1-caja-x-100u-bremen/" TargetMode="External"/><Relationship Id="rId90" Type="http://schemas.openxmlformats.org/officeDocument/2006/relationships/hyperlink" Target="https://www.lilis.com.ar/agujas-cateter-todos-los-tama-os" TargetMode="External"/><Relationship Id="rId95" Type="http://schemas.openxmlformats.org/officeDocument/2006/relationships/hyperlink" Target="https://www.lilis.com.ar/descartador-agujas-y-corto-punz-e-4" TargetMode="External"/><Relationship Id="rId160" Type="http://schemas.openxmlformats.org/officeDocument/2006/relationships/hyperlink" Target="https://www.tiendasaludonline.com.ar/productos/bobina-pouch-para-esterilizacion-sin-fuelle-300mm-x-200mts-caja-x-1-rollo-3m/" TargetMode="External"/><Relationship Id="rId165" Type="http://schemas.openxmlformats.org/officeDocument/2006/relationships/hyperlink" Target="https://cirugiarex.com.ar/producto/sonda-foley-n18-silicona-2-vias-kangyuan/" TargetMode="External"/><Relationship Id="rId181" Type="http://schemas.openxmlformats.org/officeDocument/2006/relationships/hyperlink" Target="https://cirugiarex.com.ar/producto/venda-cambric-7-cm-x3mm-antar/" TargetMode="External"/><Relationship Id="rId186" Type="http://schemas.openxmlformats.org/officeDocument/2006/relationships/hyperlink" Target="https://www.lilis.com.ar/venda-cambric-orillada-7-3-plus" TargetMode="External"/><Relationship Id="rId22" Type="http://schemas.openxmlformats.org/officeDocument/2006/relationships/hyperlink" Target="https://www.tiendasaludonline.com.ar/productos/aposito-iht-oper-easy-5-x-72-cm-caja-x-100-unidades/" TargetMode="External"/><Relationship Id="rId27" Type="http://schemas.openxmlformats.org/officeDocument/2006/relationships/hyperlink" Target="https://www.lilis.com.ar/bajalenguas-adulto-100" TargetMode="External"/><Relationship Id="rId43" Type="http://schemas.openxmlformats.org/officeDocument/2006/relationships/hyperlink" Target="https://www.tiendahospimed.com.ar/MLA-872162244-frasco-brocal-24hs-muestra-de-orina-completa-2-lts-_JM" TargetMode="External"/><Relationship Id="rId48" Type="http://schemas.openxmlformats.org/officeDocument/2006/relationships/hyperlink" Target="https://www.lilis.com.ar/agujas-cateter-todos-los-tama-os" TargetMode="External"/><Relationship Id="rId64" Type="http://schemas.openxmlformats.org/officeDocument/2006/relationships/hyperlink" Target="https://www.lilis.com.ar/gel-neutro-1-2-kg-con-dispenser" TargetMode="External"/><Relationship Id="rId69" Type="http://schemas.openxmlformats.org/officeDocument/2006/relationships/hyperlink" Target="https://cirugiarex.com.ar/producto/macrogotero-venosil-s-aguja-tipo-v14/" TargetMode="External"/><Relationship Id="rId113" Type="http://schemas.openxmlformats.org/officeDocument/2006/relationships/hyperlink" Target="https://www.tiendahospimed.com.ar/MLA-925074778-frasco-humidificador-de-oxigeno-a-burbuja-_JM?utm_source=google&amp;utm_medium=cpc&amp;utm_campaign=darwin_ss" TargetMode="External"/><Relationship Id="rId118" Type="http://schemas.openxmlformats.org/officeDocument/2006/relationships/hyperlink" Target="https://www.tiendahospimed.com.ar/MLA-866945877-guantes-de-nitrilo-negro-sin-polvo-x-100-unidades-_JM?searchVariation=59540783082" TargetMode="External"/><Relationship Id="rId134" Type="http://schemas.openxmlformats.org/officeDocument/2006/relationships/hyperlink" Target="https://www.tiendasaludonline.com.ar/productos/sonda-nasal-p-oxigeno-adulto-k27-cajon-x-250u-novamed/" TargetMode="External"/><Relationship Id="rId139" Type="http://schemas.openxmlformats.org/officeDocument/2006/relationships/hyperlink" Target="https://www.lilis.com.ar/bigotera-k27-pediatrica-koler" TargetMode="External"/><Relationship Id="rId80" Type="http://schemas.openxmlformats.org/officeDocument/2006/relationships/hyperlink" Target="https://cirugiarex.com.ar/producto/mascara-oxigeno-100/" TargetMode="External"/><Relationship Id="rId85" Type="http://schemas.openxmlformats.org/officeDocument/2006/relationships/hyperlink" Target="https://www.tiendasaludonline.com.ar/productos/sonda-foley-2-vias-100-silicona-pura-n-16-caja-x-10ps-star-kangyuang/" TargetMode="External"/><Relationship Id="rId150" Type="http://schemas.openxmlformats.org/officeDocument/2006/relationships/hyperlink" Target="https://cirugiarex.com.ar/producto/bano-facil-con-clorhexidina/" TargetMode="External"/><Relationship Id="rId155" Type="http://schemas.openxmlformats.org/officeDocument/2006/relationships/hyperlink" Target="https://www.lilis.com.ar/papel-para-video-printer-sony-negro-hd-ha" TargetMode="External"/><Relationship Id="rId171" Type="http://schemas.openxmlformats.org/officeDocument/2006/relationships/hyperlink" Target="https://cirugiarex.com.ar/producto/tela-transpore-5-00cm-x-6un-3m/" TargetMode="External"/><Relationship Id="rId176" Type="http://schemas.openxmlformats.org/officeDocument/2006/relationships/hyperlink" Target="https://www.tiendasaludonline.com.ar/productos/termometro-digital-exatherm-dt-k11b/" TargetMode="External"/><Relationship Id="rId192" Type="http://schemas.openxmlformats.org/officeDocument/2006/relationships/hyperlink" Target="https://www.lilis.com.ar/mascara-de-oxigeno-6-graduaciones-pediatrica-hg-113" TargetMode="External"/><Relationship Id="rId12" Type="http://schemas.openxmlformats.org/officeDocument/2006/relationships/hyperlink" Target="https://www.tiendahospimed.com.ar/MLA-677207028-venda-cambric-10cm-x-3mt-de-algodon-x-25-u-_JM?utm_source=google&amp;utm_medium=cpc&amp;utm_campaign=darwin_ss" TargetMode="External"/><Relationship Id="rId17" Type="http://schemas.openxmlformats.org/officeDocument/2006/relationships/hyperlink" Target="https://www.tiendasaludonline.com.ar/productos/apositos-hidrocoloide-hollister-restore-doble-dorso-espuma-10-x-10cm-9930/" TargetMode="External"/><Relationship Id="rId33" Type="http://schemas.openxmlformats.org/officeDocument/2006/relationships/hyperlink" Target="https://cirugiarex.com.ar/producto/bota-media-cana-descatable-x100-unidades/" TargetMode="External"/><Relationship Id="rId38" Type="http://schemas.openxmlformats.org/officeDocument/2006/relationships/hyperlink" Target="https://www.tiendahospimed.com.ar/MLA-643229833-bolsa-de-colostomia-cerrada-2-piezas-coloplast-10184-x30-uni-_JM" TargetMode="External"/><Relationship Id="rId59" Type="http://schemas.openxmlformats.org/officeDocument/2006/relationships/hyperlink" Target="https://www.lilis.com.ar/collar-de-filadelfia-coltex-mediano" TargetMode="External"/><Relationship Id="rId103" Type="http://schemas.openxmlformats.org/officeDocument/2006/relationships/hyperlink" Target="https://cirugiarex.com.ar/producto/electrodos-descartables/" TargetMode="External"/><Relationship Id="rId108" Type="http://schemas.openxmlformats.org/officeDocument/2006/relationships/hyperlink" Target="https://www.tiendasaludonline.com.ar/productos/especulo-vaginal-descartable-chico-packing-x-100u-bionpro/" TargetMode="External"/><Relationship Id="rId124" Type="http://schemas.openxmlformats.org/officeDocument/2006/relationships/hyperlink" Target="https://www.tiendahospimed.com.ar/MLA-839004562-jeringa-descartable-60-ml-pico-toomey-cateter-25-unida-_JM?searchVariation=50638615865" TargetMode="External"/><Relationship Id="rId129" Type="http://schemas.openxmlformats.org/officeDocument/2006/relationships/hyperlink" Target="https://www.tiendahospimed.com.ar/MLA-839003046-jeringa-descartable-5-ml-sin-aguja-100-unidades-_JM?searchVariation=50638209526" TargetMode="External"/><Relationship Id="rId54" Type="http://schemas.openxmlformats.org/officeDocument/2006/relationships/hyperlink" Target="https://cirugiarex.com.ar/producto/chata-plastica-orinal-reforzada-kasse/" TargetMode="External"/><Relationship Id="rId70" Type="http://schemas.openxmlformats.org/officeDocument/2006/relationships/hyperlink" Target="https://www.tiendasaludonline.com.ar/productos/venoclisis-macrogotero-s-aguj-c-filtro-con-venteo-20-gotas-caja-x-100u-rymco/" TargetMode="External"/><Relationship Id="rId75" Type="http://schemas.openxmlformats.org/officeDocument/2006/relationships/hyperlink" Target="https://www.tiendasaludonline.com.ar/productos/jeringas-5cc-sin-aguja-caja-x-100-novamed/" TargetMode="External"/><Relationship Id="rId91" Type="http://schemas.openxmlformats.org/officeDocument/2006/relationships/hyperlink" Target="https://www.lilis.com.ar/agujas-cateter-todos-los-tama-os" TargetMode="External"/><Relationship Id="rId96" Type="http://schemas.openxmlformats.org/officeDocument/2006/relationships/hyperlink" Target="https://www.lilis.com.ar/descartador-agujas-y-corto-punz-e-7" TargetMode="External"/><Relationship Id="rId140" Type="http://schemas.openxmlformats.org/officeDocument/2006/relationships/hyperlink" Target="https://www.tiendahospimed.com.ar/MLA-1111930436-mascara-de-oxigeno-c-reservorio-arnes-y-tubuladora-_JM" TargetMode="External"/><Relationship Id="rId145" Type="http://schemas.openxmlformats.org/officeDocument/2006/relationships/hyperlink" Target="https://www.lilis.com.ar/sutura-de-nylon-supralon-todos-los-tama-os" TargetMode="External"/><Relationship Id="rId161" Type="http://schemas.openxmlformats.org/officeDocument/2006/relationships/hyperlink" Target="https://www.lilis.com.ar/sonda-k-32-nasogastrica-s-33" TargetMode="External"/><Relationship Id="rId166" Type="http://schemas.openxmlformats.org/officeDocument/2006/relationships/hyperlink" Target="https://cirugiarex.com.ar/producto/sonda-foley-n18-silicona-2-vias-kangyuan/" TargetMode="External"/><Relationship Id="rId182" Type="http://schemas.openxmlformats.org/officeDocument/2006/relationships/hyperlink" Target="https://cirugiarex.com.ar/producto/venda-cambric-10-cm-x3mm-antar/" TargetMode="External"/><Relationship Id="rId187" Type="http://schemas.openxmlformats.org/officeDocument/2006/relationships/hyperlink" Target="https://www.lilis.com.ar/venda-cambric-orillada-10-3-plus" TargetMode="External"/><Relationship Id="rId1" Type="http://schemas.openxmlformats.org/officeDocument/2006/relationships/hyperlink" Target="https://www.tiendasaludonline.com.ar/productos/aguja-puncion-lumbar-25g-importada-aurinco/" TargetMode="External"/><Relationship Id="rId6" Type="http://schemas.openxmlformats.org/officeDocument/2006/relationships/hyperlink" Target="https://www.tiendasaludonline.com.ar/productos/agujas-hipodermicas-40-8-caja-x-100u-novamed/" TargetMode="External"/><Relationship Id="rId23" Type="http://schemas.openxmlformats.org/officeDocument/2006/relationships/hyperlink" Target="https://cirugiarex.com.ar/producto/tegaderm-1624-6x-7cm-3m/" TargetMode="External"/><Relationship Id="rId28" Type="http://schemas.openxmlformats.org/officeDocument/2006/relationships/hyperlink" Target="https://cirugiarex.com.ar/producto/baja-lengua-de-madera-pediatricos-x100-unidades/" TargetMode="External"/><Relationship Id="rId49" Type="http://schemas.openxmlformats.org/officeDocument/2006/relationships/hyperlink" Target="https://www.tiendasaludonline.com.ar/productos/cateter-intravenoso-18g-caja-x-100u-polywin-polymed/" TargetMode="External"/><Relationship Id="rId114" Type="http://schemas.openxmlformats.org/officeDocument/2006/relationships/hyperlink" Target="https://www.tiendasaludonline.com.ar/productos/gasa-doblada-simple-esteril-en-sobre-7x7cm-x-3u-caja-x-500u-insumos-xxi/" TargetMode="External"/><Relationship Id="rId119" Type="http://schemas.openxmlformats.org/officeDocument/2006/relationships/hyperlink" Target="https://www.tiendasaludonline.com.ar/productos/guantes-examen-latex-talla-m-medium-caja-x-100u-bremen/" TargetMode="External"/><Relationship Id="rId44" Type="http://schemas.openxmlformats.org/officeDocument/2006/relationships/hyperlink" Target="https://cirugiarex.com.ar/producto/brocal-descartable-vertice/" TargetMode="External"/><Relationship Id="rId60" Type="http://schemas.openxmlformats.org/officeDocument/2006/relationships/hyperlink" Target="https://www.tiendasaludonline.com.ar/productos/especulo-vaginal-descartable-mediano-packing-x-100u-bionpro/" TargetMode="External"/><Relationship Id="rId65" Type="http://schemas.openxmlformats.org/officeDocument/2006/relationships/hyperlink" Target="https://www.tiendasaludonline.com.ar/productos/guantes-examen-latex-m-mediano-caja-x-100ps-trux/" TargetMode="External"/><Relationship Id="rId81" Type="http://schemas.openxmlformats.org/officeDocument/2006/relationships/hyperlink" Target="https://www.lilis.com.ar/sutura-de-nylon-supralon-todos-los-tama-os" TargetMode="External"/><Relationship Id="rId86" Type="http://schemas.openxmlformats.org/officeDocument/2006/relationships/hyperlink" Target="https://www.tiendasaludonline.com.ar/productos/sonda-foley-2-vias-100-silicona-pura-n-16-caja-x-10ps-star-kangyuang/" TargetMode="External"/><Relationship Id="rId130" Type="http://schemas.openxmlformats.org/officeDocument/2006/relationships/hyperlink" Target="https://www.tiendasaludonline.com.ar/productos/llaves-de-3-vias-esteril-luer-lock-gst-360x-50u/" TargetMode="External"/><Relationship Id="rId135" Type="http://schemas.openxmlformats.org/officeDocument/2006/relationships/hyperlink" Target="https://www.tiendasaludonline.com.ar/productos/sonda-inhalacion-oxigeno-pediatrica-k27-bigotera-x-250ps-novamed/" TargetMode="External"/><Relationship Id="rId151" Type="http://schemas.openxmlformats.org/officeDocument/2006/relationships/hyperlink" Target="https://cirugiarex.com.ar/producto/papel-ecg-electrocardiografo-50mm-x30-mts/" TargetMode="External"/><Relationship Id="rId156" Type="http://schemas.openxmlformats.org/officeDocument/2006/relationships/hyperlink" Target="https://www.lilis.com.ar/pinza-maier-medisul-descartable-10-uni" TargetMode="External"/><Relationship Id="rId177" Type="http://schemas.openxmlformats.org/officeDocument/2006/relationships/hyperlink" Target="https://www.tiendahospimed.com.ar/MLA-854138982-termometro-digital-lectura-rapida-exatherm-_JM" TargetMode="External"/><Relationship Id="rId172" Type="http://schemas.openxmlformats.org/officeDocument/2006/relationships/hyperlink" Target="https://cirugiarex.com.ar/producto/cintas-adhesivas-coronet-5cm-x-9m-x6-unidades/" TargetMode="External"/><Relationship Id="rId193" Type="http://schemas.openxmlformats.org/officeDocument/2006/relationships/hyperlink" Target="https://www.tiendasaludonline.com.ar/productos/sonda-foley-2-vias-100-silicona-pura-n-22-caja-x-10ps-star-kangyuan/" TargetMode="External"/><Relationship Id="rId13" Type="http://schemas.openxmlformats.org/officeDocument/2006/relationships/hyperlink" Target="https://cirugiarex.com.ar/producto/venda-ovata-de-algodon-10cm-x-3m/" TargetMode="External"/><Relationship Id="rId18" Type="http://schemas.openxmlformats.org/officeDocument/2006/relationships/hyperlink" Target="https://www.tiendahospimed.com.ar/MLA-616305640-comfeel-aposito-parche-hidrocoloide-grueso-10x10-x-10-u-_JM" TargetMode="External"/><Relationship Id="rId39" Type="http://schemas.openxmlformats.org/officeDocument/2006/relationships/hyperlink" Target="https://www.lilis.com.ar/bolsa-orina-cama-forlano-2000a-4200" TargetMode="External"/><Relationship Id="rId109" Type="http://schemas.openxmlformats.org/officeDocument/2006/relationships/hyperlink" Target="https://www.tiendasaludonline.com.ar/productos/especulo-vaginal-descartable-grande-packing-x-100u-bionpro/" TargetMode="External"/><Relationship Id="rId34" Type="http://schemas.openxmlformats.org/officeDocument/2006/relationships/hyperlink" Target="https://www.tiendasaludonline.com.ar/productos/cofias-plizadas-hemoreplente-sms-pack-x-1000unidades/" TargetMode="External"/><Relationship Id="rId50" Type="http://schemas.openxmlformats.org/officeDocument/2006/relationships/hyperlink" Target="https://www.tiendasaludonline.com.ar/productos/cateter-intravenoso-20g-caja-x-100u-polywin-polymed/" TargetMode="External"/><Relationship Id="rId55" Type="http://schemas.openxmlformats.org/officeDocument/2006/relationships/hyperlink" Target="https://www.lilis.com.ar/chata-plastica" TargetMode="External"/><Relationship Id="rId76" Type="http://schemas.openxmlformats.org/officeDocument/2006/relationships/hyperlink" Target="https://www.tiendasaludonline.com.ar/productos/jeringas-3-elementos-10cc-s-aguja-medeco-caja-x-100u/" TargetMode="External"/><Relationship Id="rId97" Type="http://schemas.openxmlformats.org/officeDocument/2006/relationships/hyperlink" Target="https://www.lilis.com.ar/descartador-agujas-1-litros-e-1" TargetMode="External"/><Relationship Id="rId104" Type="http://schemas.openxmlformats.org/officeDocument/2006/relationships/hyperlink" Target="https://www.tiendasaludonline.com.ar/productos/electrodo-e-c-g-foam-pedatrico-40-mm-paq-x-50-libre-de-latex-swaromed/" TargetMode="External"/><Relationship Id="rId120" Type="http://schemas.openxmlformats.org/officeDocument/2006/relationships/hyperlink" Target="https://www.tiendasaludonline.com.ar/productos/guantes-de-cirugia-esteriles-n-7-0-caja-x-50-pares-kelmer/" TargetMode="External"/><Relationship Id="rId125" Type="http://schemas.openxmlformats.org/officeDocument/2006/relationships/hyperlink" Target="https://cirugiarex.com.ar/producto/jeringa-hipodermica-descartable-5ml-darling/" TargetMode="External"/><Relationship Id="rId141" Type="http://schemas.openxmlformats.org/officeDocument/2006/relationships/hyperlink" Target="https://www.lilis.com.ar/mascara-de-oxigeno-6-graduaciones-hg-adulta-59498" TargetMode="External"/><Relationship Id="rId146" Type="http://schemas.openxmlformats.org/officeDocument/2006/relationships/hyperlink" Target="https://www.lilis.com.ar/sutura-poliglyd-todos-los-tama-os" TargetMode="External"/><Relationship Id="rId167" Type="http://schemas.openxmlformats.org/officeDocument/2006/relationships/hyperlink" Target="https://cirugiarex.com.ar/producto/sonda-foley-n18-silicona-2-vias-kangyuan/" TargetMode="External"/><Relationship Id="rId188" Type="http://schemas.openxmlformats.org/officeDocument/2006/relationships/hyperlink" Target="https://www.tiendahospimed.com.ar/MLA-918606757-alcohol-medicinal-70-1-litro-sanicol-3-unidades-_JM" TargetMode="External"/><Relationship Id="rId7" Type="http://schemas.openxmlformats.org/officeDocument/2006/relationships/hyperlink" Target="https://www.tiendasaludonline.com.ar/productos/alcohol-etilico-70-x-500-ml-porta/" TargetMode="External"/><Relationship Id="rId71" Type="http://schemas.openxmlformats.org/officeDocument/2006/relationships/hyperlink" Target="https://cirugiarex.com.ar/producto/histerometro-maleable-sims-32-cm/" TargetMode="External"/><Relationship Id="rId92" Type="http://schemas.openxmlformats.org/officeDocument/2006/relationships/hyperlink" Target="https://www.tiendasaludonline.com.ar/productos/cateter-intravenoso-24g-caja-x-100u-polywin-polymed/" TargetMode="External"/><Relationship Id="rId162" Type="http://schemas.openxmlformats.org/officeDocument/2006/relationships/hyperlink" Target="https://www.lilis.com.ar/sonda-k-32-nasogastrica-s-33" TargetMode="External"/><Relationship Id="rId183" Type="http://schemas.openxmlformats.org/officeDocument/2006/relationships/hyperlink" Target="https://www.lilis.com.ar/venda-yeso-rapida-10-4-gypsofix-25" TargetMode="External"/><Relationship Id="rId2" Type="http://schemas.openxmlformats.org/officeDocument/2006/relationships/hyperlink" Target="https://www.tiendasaludonline.com.ar/productos/aguja-espinal-puncion-lumbar-25gx31-2-phoenix/" TargetMode="External"/><Relationship Id="rId29" Type="http://schemas.openxmlformats.org/officeDocument/2006/relationships/hyperlink" Target="https://www.tiendahospimed.com.ar/MLA-900811282-barbijo-quirurgico-triple-capa-con-elastico-50-unidades-_JM" TargetMode="External"/><Relationship Id="rId24" Type="http://schemas.openxmlformats.org/officeDocument/2006/relationships/hyperlink" Target="https://www.tiendahospimed.com.ar/MLA-768780653-bajalengua-de-madera-adulto-o-pediatrico-600-unidades-_JM" TargetMode="External"/><Relationship Id="rId40" Type="http://schemas.openxmlformats.org/officeDocument/2006/relationships/hyperlink" Target="https://www.tiendasaludonline.com.ar/productos/bolsa-orina-2lts-con-valvula-pull-on-k207-cajon-x-240u-kanginj/" TargetMode="External"/><Relationship Id="rId45" Type="http://schemas.openxmlformats.org/officeDocument/2006/relationships/hyperlink" Target="https://www.tiendahospimed.com.ar/MLA-1193292917-mango-para-electrobisturi-monopolar-descartable-_JM" TargetMode="External"/><Relationship Id="rId66" Type="http://schemas.openxmlformats.org/officeDocument/2006/relationships/hyperlink" Target="https://www.tiendasaludonline.com.ar/productos/guantes-esteriles-de-cirugia-nipro-nro-8-5-cja-x-50-pares/" TargetMode="External"/><Relationship Id="rId87" Type="http://schemas.openxmlformats.org/officeDocument/2006/relationships/hyperlink" Target="https://i-mek.com/producto/aguja-hipodermica-x-100-bremen/" TargetMode="External"/><Relationship Id="rId110" Type="http://schemas.openxmlformats.org/officeDocument/2006/relationships/hyperlink" Target="https://www.lilis.com.ar/especulo-medisul-grande-para-leep-100-rosa-2" TargetMode="External"/><Relationship Id="rId115" Type="http://schemas.openxmlformats.org/officeDocument/2006/relationships/hyperlink" Target="https://cirugiarex.com.ar/producto/pieza-de-gasa-1-kg/" TargetMode="External"/><Relationship Id="rId131" Type="http://schemas.openxmlformats.org/officeDocument/2006/relationships/hyperlink" Target="https://www.tiendasaludonline.com.ar/productos/aerocamara-adulto-aero-100/" TargetMode="External"/><Relationship Id="rId136" Type="http://schemas.openxmlformats.org/officeDocument/2006/relationships/hyperlink" Target="https://www.tiendahospimed.com.ar/MLA-1111932009-mascara-de-oxigeno-c-reguladores-arnes-y-tubuladora-_JM" TargetMode="External"/><Relationship Id="rId157" Type="http://schemas.openxmlformats.org/officeDocument/2006/relationships/hyperlink" Target="https://www.lilis.com.ar/pinza-umbilical-descartable-100-25453?gclid=Cj0KCQjwu-KiBhCsARIsAPztUF3OO_Zqxn8C8cGp92xDJUounaQKJsursL4121TSqyqZJGJ1bBHRd_4aAsQiEALw_wcB" TargetMode="External"/><Relationship Id="rId178" Type="http://schemas.openxmlformats.org/officeDocument/2006/relationships/hyperlink" Target="https://cirugiarex.com.ar/producto/venda-enseyada-fraguada-rapido-10cm-x-4m/" TargetMode="External"/><Relationship Id="rId61" Type="http://schemas.openxmlformats.org/officeDocument/2006/relationships/hyperlink" Target="https://www.tiendasaludonline.com.ar/productos/gasa-hidrof-tubular-doble-hilado-24-1-pieza-x-1-kilo-insumos-xxi/" TargetMode="External"/><Relationship Id="rId82" Type="http://schemas.openxmlformats.org/officeDocument/2006/relationships/hyperlink" Target="https://www.tiendasaludonline.com.ar/productos/sonda-foley-2-vias-100-silicona-pura-n-16-caja-x-10ps-star-kangyuang/" TargetMode="External"/><Relationship Id="rId152" Type="http://schemas.openxmlformats.org/officeDocument/2006/relationships/hyperlink" Target="https://cirugiarex.com.ar/producto/papel-videprinter-ecografico-upp-110s-sony/" TargetMode="External"/><Relationship Id="rId173" Type="http://schemas.openxmlformats.org/officeDocument/2006/relationships/hyperlink" Target="https://cirugiarex.com.ar/producto/cinta-hipoalergenica-micropore-3m-1530-2/" TargetMode="External"/><Relationship Id="rId194" Type="http://schemas.openxmlformats.org/officeDocument/2006/relationships/printerSettings" Target="../printerSettings/printerSettings1.bin"/><Relationship Id="rId19" Type="http://schemas.openxmlformats.org/officeDocument/2006/relationships/hyperlink" Target="https://www.tiendasaludonline.com.ar/productos/apositos-a-granel-10x20cm-x-200u-insumos-xxi/" TargetMode="External"/><Relationship Id="rId14" Type="http://schemas.openxmlformats.org/officeDocument/2006/relationships/hyperlink" Target="https://cirugiarex.com.ar/producto/tegaderm-1626-10x12cm-3m/" TargetMode="External"/><Relationship Id="rId30" Type="http://schemas.openxmlformats.org/officeDocument/2006/relationships/hyperlink" Target="https://www.tiendasaludonline.com.ar/productos/camisolin-descartabe-azul-hemorrepelente-puno-elastico-sms-30-gr-x-10unidades/" TargetMode="External"/><Relationship Id="rId35" Type="http://schemas.openxmlformats.org/officeDocument/2006/relationships/hyperlink" Target="https://cirugiarex.com.ar/producto/cofia-descartable-x100-unidades-lyncmed/" TargetMode="External"/><Relationship Id="rId56" Type="http://schemas.openxmlformats.org/officeDocument/2006/relationships/hyperlink" Target="https://www.tiendasaludonline.com.ar/productos/cinta-indicadora-autoadhesiva-para-procesos-de-esterilizacion-ct30-dry-terragene/" TargetMode="External"/><Relationship Id="rId77" Type="http://schemas.openxmlformats.org/officeDocument/2006/relationships/hyperlink" Target="https://www.tiendasaludonline.com.ar/productos/jeringas-3-elementos-sin-aguja-20cc-medeco-caja-x-50u/" TargetMode="External"/><Relationship Id="rId100" Type="http://schemas.openxmlformats.org/officeDocument/2006/relationships/hyperlink" Target="https://www.tiendahospimed.com.ar/MLA-862992543-descartador-agujas-cortopunzantes-negro-1-litro-2-unidades-_JM" TargetMode="External"/><Relationship Id="rId105" Type="http://schemas.openxmlformats.org/officeDocument/2006/relationships/hyperlink" Target="https://www.tiendasaludonline.com.ar/productos/especulo-vaginal-descartable-chico-greyton/" TargetMode="External"/><Relationship Id="rId126" Type="http://schemas.openxmlformats.org/officeDocument/2006/relationships/hyperlink" Target="https://www.tiendahospimed.com.ar/MLA-839003144-jeringa-descartable-10-ml-sin-aguja-100-unidades-_JM?searchVariation=50638348833" TargetMode="External"/><Relationship Id="rId147" Type="http://schemas.openxmlformats.org/officeDocument/2006/relationships/hyperlink" Target="https://www.lilis.com.ar/papagayo-plastico-masculino" TargetMode="External"/><Relationship Id="rId168" Type="http://schemas.openxmlformats.org/officeDocument/2006/relationships/hyperlink" Target="https://cirugiarex.com.ar/producto/sonda-nelaton-k93-dc/" TargetMode="External"/><Relationship Id="rId8" Type="http://schemas.openxmlformats.org/officeDocument/2006/relationships/hyperlink" Target="https://www.tiendasaludonline.com.ar/productos/alcohol-etilico-96-x-1-lt-porta/" TargetMode="External"/><Relationship Id="rId51" Type="http://schemas.openxmlformats.org/officeDocument/2006/relationships/hyperlink" Target="https://www.tiendahospimed.com.ar/MLA-1169851871-cateter-intravenoso-angiocath-x-10-unidades-varias-medidas-_JM?attributes=TWVkaWRh%3ATsKwMjI%3D&amp;quantity=1" TargetMode="External"/><Relationship Id="rId72" Type="http://schemas.openxmlformats.org/officeDocument/2006/relationships/hyperlink" Target="https://www.tiendahospimed.com.ar/MLA-756022976-histerometro-sims-32-cm-instrumental-quirurgico-_JM" TargetMode="External"/><Relationship Id="rId93" Type="http://schemas.openxmlformats.org/officeDocument/2006/relationships/hyperlink" Target="https://www.tiendasaludonline.com.ar/productos/cateter-de-succion-cerrado-p-asp-traqueal-14-fr-adulto-aurinco-libre-de-latex-x-34-cm/" TargetMode="External"/><Relationship Id="rId98" Type="http://schemas.openxmlformats.org/officeDocument/2006/relationships/hyperlink" Target="https://www.tiendahospimed.com.ar/MLA-915340507-descartador-agujas-y-cortopunzantes-negro-4-litros-_JM" TargetMode="External"/><Relationship Id="rId121" Type="http://schemas.openxmlformats.org/officeDocument/2006/relationships/hyperlink" Target="https://www.tiendasaludonline.com.ar/productos/venoclisis-fotosensible-macro-sin-aguja-c-filtro-caja-x-100u-rymco/" TargetMode="External"/><Relationship Id="rId142" Type="http://schemas.openxmlformats.org/officeDocument/2006/relationships/hyperlink" Target="https://www.lilis.com.ar/mascara-de-oxigeno-6-graduaciones-pediatrica-hg-113" TargetMode="External"/><Relationship Id="rId163" Type="http://schemas.openxmlformats.org/officeDocument/2006/relationships/hyperlink" Target="https://www.tiendasaludonline.com.ar/productos/sonda-foley-3-vias-n-20-silicona-pura-100-caja-x-10ps-star/" TargetMode="External"/><Relationship Id="rId184" Type="http://schemas.openxmlformats.org/officeDocument/2006/relationships/hyperlink" Target="https://cirugiarex.com.ar/producto/venda-enseyada-fraguada-rapido-15cm-x-4m/" TargetMode="External"/><Relationship Id="rId189" Type="http://schemas.openxmlformats.org/officeDocument/2006/relationships/hyperlink" Target="https://www.tiendahospimed.com.ar/MLA-918604306-alcohol-etilico-96-1-litro-x-3-unidades-sanicol-_JM" TargetMode="External"/><Relationship Id="rId3" Type="http://schemas.openxmlformats.org/officeDocument/2006/relationships/hyperlink" Target="https://www.tiendasaludonline.com.ar/productos/aguja-hipodermica-15-5-25g5-8-caja-x-100u-greetmed/" TargetMode="External"/><Relationship Id="rId25" Type="http://schemas.openxmlformats.org/officeDocument/2006/relationships/hyperlink" Target="https://www.lilis.com.ar/bajalenguas-adulto-100" TargetMode="External"/><Relationship Id="rId46" Type="http://schemas.openxmlformats.org/officeDocument/2006/relationships/hyperlink" Target="https://www.lilis.com.ar/agujas-cateter-todos-los-tama-os" TargetMode="External"/><Relationship Id="rId67" Type="http://schemas.openxmlformats.org/officeDocument/2006/relationships/hyperlink" Target="https://www.tiendasaludonline.com.ar/productos/guante-examen-nitrilo-azul-medium-sin-polvo-aurinco-caja-x100u/" TargetMode="External"/><Relationship Id="rId116" Type="http://schemas.openxmlformats.org/officeDocument/2006/relationships/hyperlink" Target="https://cirugiarex.com.ar/producto/gel-neutro-1000-ml-delva/" TargetMode="External"/><Relationship Id="rId137" Type="http://schemas.openxmlformats.org/officeDocument/2006/relationships/hyperlink" Target="https://cirugiarex.com.ar/producto/mascara-oxigeno-con-reservorio-adulto-y-pediatrico/" TargetMode="External"/><Relationship Id="rId158" Type="http://schemas.openxmlformats.org/officeDocument/2006/relationships/hyperlink" Target="https://cirugiarex.com.ar/producto/pinza-maier-un-solo-uso-25-cm-recta/" TargetMode="External"/><Relationship Id="rId20" Type="http://schemas.openxmlformats.org/officeDocument/2006/relationships/hyperlink" Target="https://www.lilis.com.ar/aposito-10-20-10-unidades-esteril" TargetMode="External"/><Relationship Id="rId41" Type="http://schemas.openxmlformats.org/officeDocument/2006/relationships/hyperlink" Target="https://www.tiendahospimed.com.ar/MLA-738015672-boquilla-para-espirometria-31-mm-20-unidades-_JM" TargetMode="External"/><Relationship Id="rId62" Type="http://schemas.openxmlformats.org/officeDocument/2006/relationships/hyperlink" Target="https://cirugiarex.com.ar/producto/pieza-de-gasa-1-kg/" TargetMode="External"/><Relationship Id="rId83" Type="http://schemas.openxmlformats.org/officeDocument/2006/relationships/hyperlink" Target="https://www.tiendasaludonline.com.ar/productos/tubo-endotraqueal-con-balon-reforzado-8-0-kangyuan/" TargetMode="External"/><Relationship Id="rId88" Type="http://schemas.openxmlformats.org/officeDocument/2006/relationships/hyperlink" Target="https://www.lilis.com.ar/aguja-40-8-100-bremen?gclid=Cj0KCQiA_P6dBhD1ARIsAAGI7HC-vxJNP2G1CdmLxDEy3skfs1Ytlc13yHW1_TXvog3XzZAczMUsGZMaAuhDEALw_wcB" TargetMode="External"/><Relationship Id="rId111" Type="http://schemas.openxmlformats.org/officeDocument/2006/relationships/hyperlink" Target="https://www.lilis.com.ar/especulo-medisul-grande-para-leep-100-rosa-2" TargetMode="External"/><Relationship Id="rId132" Type="http://schemas.openxmlformats.org/officeDocument/2006/relationships/hyperlink" Target="https://www.tiendasaludonline.com.ar/productos/aerocamara-neonatal-aero-100/" TargetMode="External"/><Relationship Id="rId153" Type="http://schemas.openxmlformats.org/officeDocument/2006/relationships/hyperlink" Target="https://www.tiendahospimed.com.ar/MLA-1103683562-papel-kraff-medicinal-bobina-60-cm-12-kg-_JM" TargetMode="External"/><Relationship Id="rId174" Type="http://schemas.openxmlformats.org/officeDocument/2006/relationships/hyperlink" Target="https://www.lilis.com.ar/tela-adhesiva-transpore-2-5-9-un-42212-120" TargetMode="External"/><Relationship Id="rId179" Type="http://schemas.openxmlformats.org/officeDocument/2006/relationships/hyperlink" Target="https://www.lilis.com.ar/venda-yeso-rapida-15-4-gypsofix-25" TargetMode="External"/><Relationship Id="rId190" Type="http://schemas.openxmlformats.org/officeDocument/2006/relationships/hyperlink" Target="https://www.tiendahospimed.com.ar/MLA-768780653-bajalengua-de-madera-adulto-o-pediatrico-600-unidades-_JM" TargetMode="External"/><Relationship Id="rId15" Type="http://schemas.openxmlformats.org/officeDocument/2006/relationships/hyperlink" Target="https://www.tiendahospimed.com.ar/MLA-607569932-aposito-impermeable-tegaderm-3m-10x12-10-unidades-_JM" TargetMode="External"/><Relationship Id="rId36" Type="http://schemas.openxmlformats.org/officeDocument/2006/relationships/hyperlink" Target="https://www.tiendasaludonline.com.ar/productos/bolsas-colostomia-cerrada-con-filtro-38mm-402522-convatec/" TargetMode="External"/><Relationship Id="rId57" Type="http://schemas.openxmlformats.org/officeDocument/2006/relationships/hyperlink" Target="https://www.tiendasaludonline.com.ar/productos/cinta-indicadora-autoadhesiva-para-procesos-de-esterilizacion-ct40-vh2o2-terragene/" TargetMode="External"/><Relationship Id="rId106" Type="http://schemas.openxmlformats.org/officeDocument/2006/relationships/hyperlink" Target="https://www.tiendasaludonline.com.ar/productos/especulo-vaginal-descartable-grande-packing-x-100u-greyton/" TargetMode="External"/><Relationship Id="rId127" Type="http://schemas.openxmlformats.org/officeDocument/2006/relationships/hyperlink" Target="https://www.tiendahospimed.com.ar/MLA-839005963-jeringa-descartable-20-ml-sin-aguja-50-unidades-_JM?searchVariation=50639296659" TargetMode="External"/><Relationship Id="rId10" Type="http://schemas.openxmlformats.org/officeDocument/2006/relationships/hyperlink" Target="https://www.tiendasaludonline.com.ar/productos/algodon-hidrofilo-x-500grs-x-10-paq-insumos-xxi/" TargetMode="External"/><Relationship Id="rId31" Type="http://schemas.openxmlformats.org/officeDocument/2006/relationships/hyperlink" Target="https://www.lilis.com.ar/camisolin-esteril" TargetMode="External"/><Relationship Id="rId52" Type="http://schemas.openxmlformats.org/officeDocument/2006/relationships/hyperlink" Target="https://www.tiendasaludonline.com.ar/productos/cepillo-p-citologia-endocervical-cj-x-100-unidades-esteril-c-envase-individual-importado/" TargetMode="External"/><Relationship Id="rId73" Type="http://schemas.openxmlformats.org/officeDocument/2006/relationships/hyperlink" Target="https://www.lilis.com.ar/hojas-de-bisturi-ribbel-todos-los-tama-os" TargetMode="External"/><Relationship Id="rId78" Type="http://schemas.openxmlformats.org/officeDocument/2006/relationships/hyperlink" Target="https://www.tiendasaludonline.com.ar/productos/jeringas-3cc-sin-aguja-novamed-caja-x-100u/" TargetMode="External"/><Relationship Id="rId94" Type="http://schemas.openxmlformats.org/officeDocument/2006/relationships/hyperlink" Target="https://www.tiendasaludonline.com.ar/productos/indicador-biologico-bt91-vh2o2-x-100u-terragene/" TargetMode="External"/><Relationship Id="rId99" Type="http://schemas.openxmlformats.org/officeDocument/2006/relationships/hyperlink" Target="https://www.tiendahospimed.com.ar/MLA-805901351-descartador-agujas-y-cortopunzantes-rojo-7-litros-_JM" TargetMode="External"/><Relationship Id="rId101" Type="http://schemas.openxmlformats.org/officeDocument/2006/relationships/hyperlink" Target="https://www.tiendasaludonline.com.ar/productos/detergente-tri-enzimatico-o3-x-1-lt-surgizime/" TargetMode="External"/><Relationship Id="rId122" Type="http://schemas.openxmlformats.org/officeDocument/2006/relationships/hyperlink" Target="https://cirugiarex.com.ar/producto/equipo-para-terapia-parental-con-microgotero-sin-aguja-tipo-v17/" TargetMode="External"/><Relationship Id="rId143" Type="http://schemas.openxmlformats.org/officeDocument/2006/relationships/hyperlink" Target="https://www.tiendahospimed.com.ar/MLA-1111930436-mascara-de-oxigeno-c-reservorio-arnes-y-tubuladora-_JM" TargetMode="External"/><Relationship Id="rId148" Type="http://schemas.openxmlformats.org/officeDocument/2006/relationships/hyperlink" Target="https://www.tiendasaludonline.com.ar/productos/nonisec-panales-adultos-recto-con-gel-extragrande-x-10pads-x-8-paq/" TargetMode="External"/><Relationship Id="rId164" Type="http://schemas.openxmlformats.org/officeDocument/2006/relationships/hyperlink" Target="https://www.tiendasaludonline.com.ar/productos/sonda-nelaton-uretral-pvc-k93-n12-caja-x-50-ps-novamed/" TargetMode="External"/><Relationship Id="rId169" Type="http://schemas.openxmlformats.org/officeDocument/2006/relationships/hyperlink" Target="https://www.lilis.com.ar/tela-adhesiva-adhesur-5-uni-4-5-metros" TargetMode="External"/><Relationship Id="rId185" Type="http://schemas.openxmlformats.org/officeDocument/2006/relationships/hyperlink" Target="https://cirugiarex.com.ar/producto/venda-enseyada-fraguada-rapido-20cm-x-4m/" TargetMode="External"/><Relationship Id="rId4" Type="http://schemas.openxmlformats.org/officeDocument/2006/relationships/hyperlink" Target="https://www.tiendasaludonline.com.ar/productos/agujas-hipodermicas-25-8-x-100ps-novamed/" TargetMode="External"/><Relationship Id="rId9" Type="http://schemas.openxmlformats.org/officeDocument/2006/relationships/hyperlink" Target="https://www.tiendasaludonline.com.ar/productos/algodon-hidrofilo-x-500grs-doncella-x-10u/" TargetMode="External"/><Relationship Id="rId180" Type="http://schemas.openxmlformats.org/officeDocument/2006/relationships/hyperlink" Target="https://www.lilis.com.ar/venda-yeso-rapida-20-4-fave-gypsofix-25" TargetMode="External"/><Relationship Id="rId26" Type="http://schemas.openxmlformats.org/officeDocument/2006/relationships/hyperlink" Target="https://cirugiarex.com.ar/producto/baja-lengua-de-madera-adultos-x100-unidades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cirugiarex.com.ar/producto/baja-lengua-de-madera-pediatricos-x100-unidades/" TargetMode="External"/><Relationship Id="rId117" Type="http://schemas.openxmlformats.org/officeDocument/2006/relationships/hyperlink" Target="https://www.tiendasaludonline.com.ar/productos/aerocamara-adulto-aero-100/" TargetMode="External"/><Relationship Id="rId21" Type="http://schemas.openxmlformats.org/officeDocument/2006/relationships/hyperlink" Target="https://www.tiendasaludonline.com.ar/productos/aposito-iht-oper-easy-5-x-72-cm-caja-x-100-unidades/" TargetMode="External"/><Relationship Id="rId42" Type="http://schemas.openxmlformats.org/officeDocument/2006/relationships/hyperlink" Target="https://cirugiarex.com.ar/producto/brocal-descartable-vertice/" TargetMode="External"/><Relationship Id="rId47" Type="http://schemas.openxmlformats.org/officeDocument/2006/relationships/hyperlink" Target="https://www.tiendasaludonline.com.ar/productos/cateter-intravenoso-18g-caja-x-100u-polywin-polymed/" TargetMode="External"/><Relationship Id="rId63" Type="http://schemas.openxmlformats.org/officeDocument/2006/relationships/hyperlink" Target="https://www.tiendasaludonline.com.ar/productos/venoclisis-macrogotero-s-aguj-c-filtro-con-venteo-20-gotas-caja-x-100u-rymco/" TargetMode="External"/><Relationship Id="rId68" Type="http://schemas.openxmlformats.org/officeDocument/2006/relationships/hyperlink" Target="https://www.tiendasaludonline.com.ar/productos/jeringas-5cc-sin-aguja-caja-x-100-novamed/" TargetMode="External"/><Relationship Id="rId84" Type="http://schemas.openxmlformats.org/officeDocument/2006/relationships/hyperlink" Target="https://www.tiendasaludonline.com.ar/productos/indicador-biologico-bt91-vh2o2-x-100u-terragene/" TargetMode="External"/><Relationship Id="rId89" Type="http://schemas.openxmlformats.org/officeDocument/2006/relationships/hyperlink" Target="https://www.tiendahospimed.com.ar/MLA-805901351-descartador-agujas-y-cortopunzantes-rojo-7-litros-_JM" TargetMode="External"/><Relationship Id="rId112" Type="http://schemas.openxmlformats.org/officeDocument/2006/relationships/hyperlink" Target="https://cirugiarex.com.ar/producto/jeringa-hipodermica-descartable-5ml-darling/" TargetMode="External"/><Relationship Id="rId133" Type="http://schemas.openxmlformats.org/officeDocument/2006/relationships/hyperlink" Target="https://www.tiendasaludonline.com.ar/productos/panales-adultos-recto-con-gel-grande-x-50-pads-x-2-paq/" TargetMode="External"/><Relationship Id="rId138" Type="http://schemas.openxmlformats.org/officeDocument/2006/relationships/hyperlink" Target="https://www.lilis.com.ar/papel-para-video-printer-sony-negro-hd-ha" TargetMode="External"/><Relationship Id="rId154" Type="http://schemas.openxmlformats.org/officeDocument/2006/relationships/hyperlink" Target="https://www.tiendasaludonline.com.ar/productos/termometro-digital-exatherm-dt-k11b/" TargetMode="External"/><Relationship Id="rId159" Type="http://schemas.openxmlformats.org/officeDocument/2006/relationships/hyperlink" Target="https://cirugiarex.com.ar/producto/venda-cambric-7-cm-x3mm-antar/" TargetMode="External"/><Relationship Id="rId175" Type="http://schemas.openxmlformats.org/officeDocument/2006/relationships/hyperlink" Target="https://cirugiarex.com.ar/producto/llave-de-3-vias-esteril-360o/" TargetMode="External"/><Relationship Id="rId170" Type="http://schemas.openxmlformats.org/officeDocument/2006/relationships/hyperlink" Target="https://www.lilis.com.ar/mascara-de-oxigeno-6-graduaciones-pediatrica-hg-113" TargetMode="External"/><Relationship Id="rId16" Type="http://schemas.openxmlformats.org/officeDocument/2006/relationships/hyperlink" Target="https://www.tiendasaludonline.com.ar/productos/apositos-hidrocoloide-hollister-restore-doble-dorso-espuma-10-x-10cm-9930/" TargetMode="External"/><Relationship Id="rId107" Type="http://schemas.openxmlformats.org/officeDocument/2006/relationships/hyperlink" Target="https://www.tiendasaludonline.com.ar/productos/guantes-examen-latex-talla-m-medium-caja-x-100u-bremen/" TargetMode="External"/><Relationship Id="rId11" Type="http://schemas.openxmlformats.org/officeDocument/2006/relationships/hyperlink" Target="https://www.lilis.com.ar/algodon-1-2-k-doncella-igalte" TargetMode="External"/><Relationship Id="rId32" Type="http://schemas.openxmlformats.org/officeDocument/2006/relationships/hyperlink" Target="https://www.tiendasaludonline.com.ar/productos/cofias-plizadas-hemoreplente-sms-pack-x-1000unidades/" TargetMode="External"/><Relationship Id="rId37" Type="http://schemas.openxmlformats.org/officeDocument/2006/relationships/hyperlink" Target="https://www.lilis.com.ar/bolsa-orina-cama-forlano-2000a-4200" TargetMode="External"/><Relationship Id="rId53" Type="http://schemas.openxmlformats.org/officeDocument/2006/relationships/hyperlink" Target="https://www.tiendasaludonline.com.ar/productos/cinta-indicadora-autoadhesiva-para-procesos-de-esterilizacion-ct40-vh2o2-terragene/" TargetMode="External"/><Relationship Id="rId58" Type="http://schemas.openxmlformats.org/officeDocument/2006/relationships/hyperlink" Target="https://cirugiarex.com.ar/producto/pieza-de-gasa-1-kg/" TargetMode="External"/><Relationship Id="rId74" Type="http://schemas.openxmlformats.org/officeDocument/2006/relationships/hyperlink" Target="https://www.tiendasaludonline.com.ar/productos/sonda-foley-2-vias-100-silicona-pura-n-16-caja-x-10ps-star-kangyuang/" TargetMode="External"/><Relationship Id="rId79" Type="http://schemas.openxmlformats.org/officeDocument/2006/relationships/hyperlink" Target="https://www.lilis.com.ar/agujas-cateter-todos-los-tama-os" TargetMode="External"/><Relationship Id="rId102" Type="http://schemas.openxmlformats.org/officeDocument/2006/relationships/hyperlink" Target="https://www.tiendahospimed.com.ar/MLA-925074778-frasco-humidificador-de-oxigeno-a-burbuja-_JM?utm_source=google&amp;utm_medium=cpc&amp;utm_campaign=darwin_ss" TargetMode="External"/><Relationship Id="rId123" Type="http://schemas.openxmlformats.org/officeDocument/2006/relationships/hyperlink" Target="https://www.lilis.com.ar/bigotera-k27-pediatrica-koler" TargetMode="External"/><Relationship Id="rId128" Type="http://schemas.openxmlformats.org/officeDocument/2006/relationships/hyperlink" Target="https://www.lilis.com.ar/sutura-de-nylon-supralon-todos-los-tama-os" TargetMode="External"/><Relationship Id="rId144" Type="http://schemas.openxmlformats.org/officeDocument/2006/relationships/hyperlink" Target="https://www.lilis.com.ar/sonda-k-32-nasogastrica-s-33" TargetMode="External"/><Relationship Id="rId149" Type="http://schemas.openxmlformats.org/officeDocument/2006/relationships/hyperlink" Target="https://cirugiarex.com.ar/producto/tela-transpore-5-00cm-x-6un-3m/" TargetMode="External"/><Relationship Id="rId5" Type="http://schemas.openxmlformats.org/officeDocument/2006/relationships/hyperlink" Target="https://www.tiendasaludonline.com.ar/productos/agujas-hipodermicas-25-8-21gx1-caja-x-100u-bremen/" TargetMode="External"/><Relationship Id="rId90" Type="http://schemas.openxmlformats.org/officeDocument/2006/relationships/hyperlink" Target="https://www.tiendahospimed.com.ar/MLA-862992543-descartador-agujas-cortopunzantes-negro-1-litro-2-unidades-_JM" TargetMode="External"/><Relationship Id="rId95" Type="http://schemas.openxmlformats.org/officeDocument/2006/relationships/hyperlink" Target="https://www.tiendasaludonline.com.ar/productos/especulo-vaginal-descartable-grande-packing-x-100u-greyton/" TargetMode="External"/><Relationship Id="rId160" Type="http://schemas.openxmlformats.org/officeDocument/2006/relationships/hyperlink" Target="https://cirugiarex.com.ar/producto/venda-cambric-10-cm-x3mm-antar/" TargetMode="External"/><Relationship Id="rId165" Type="http://schemas.openxmlformats.org/officeDocument/2006/relationships/hyperlink" Target="https://www.lilis.com.ar/venda-cambric-orillada-10-3-plus" TargetMode="External"/><Relationship Id="rId181" Type="http://schemas.openxmlformats.org/officeDocument/2006/relationships/hyperlink" Target="https://www.lilis.com.ar/aguja-50-8-100-euromix" TargetMode="External"/><Relationship Id="rId22" Type="http://schemas.openxmlformats.org/officeDocument/2006/relationships/hyperlink" Target="https://www.tiendahospimed.com.ar/MLA-768780653-bajalengua-de-madera-adulto-o-pediatrico-600-unidades-_JM" TargetMode="External"/><Relationship Id="rId27" Type="http://schemas.openxmlformats.org/officeDocument/2006/relationships/hyperlink" Target="https://www.tiendahospimed.com.ar/MLA-900811282-barbijo-quirurgico-triple-capa-con-elastico-50-unidades-_JM" TargetMode="External"/><Relationship Id="rId43" Type="http://schemas.openxmlformats.org/officeDocument/2006/relationships/hyperlink" Target="https://www.tiendahospimed.com.ar/MLA-1193292917-mango-para-electrobisturi-monopolar-descartable-_JM" TargetMode="External"/><Relationship Id="rId48" Type="http://schemas.openxmlformats.org/officeDocument/2006/relationships/hyperlink" Target="https://www.tiendahospimed.com.ar/MLA-1169851871-cateter-intravenoso-angiocath-x-10-unidades-varias-medidas-_JM?attributes=TWVkaWRh%3ATsKwMjI%3D&amp;quantity=1" TargetMode="External"/><Relationship Id="rId64" Type="http://schemas.openxmlformats.org/officeDocument/2006/relationships/hyperlink" Target="https://cirugiarex.com.ar/producto/histerometro-maleable-sims-32-cm/" TargetMode="External"/><Relationship Id="rId69" Type="http://schemas.openxmlformats.org/officeDocument/2006/relationships/hyperlink" Target="https://www.tiendasaludonline.com.ar/productos/jeringas-3-elementos-10cc-s-aguja-medeco-caja-x-100u/" TargetMode="External"/><Relationship Id="rId113" Type="http://schemas.openxmlformats.org/officeDocument/2006/relationships/hyperlink" Target="https://www.tiendahospimed.com.ar/MLA-839003144-jeringa-descartable-10-ml-sin-aguja-100-unidades-_JM?searchVariation=50638348833" TargetMode="External"/><Relationship Id="rId118" Type="http://schemas.openxmlformats.org/officeDocument/2006/relationships/hyperlink" Target="https://www.tiendasaludonline.com.ar/productos/aerocamara-neonatal-aero-100/" TargetMode="External"/><Relationship Id="rId134" Type="http://schemas.openxmlformats.org/officeDocument/2006/relationships/hyperlink" Target="https://cirugiarex.com.ar/producto/papel-ecg-electrocardiografo-50mm-x30-mts/" TargetMode="External"/><Relationship Id="rId139" Type="http://schemas.openxmlformats.org/officeDocument/2006/relationships/hyperlink" Target="https://www.lilis.com.ar/pinza-maier-medisul-descartable-10-uni" TargetMode="External"/><Relationship Id="rId80" Type="http://schemas.openxmlformats.org/officeDocument/2006/relationships/hyperlink" Target="https://www.lilis.com.ar/agujas-cateter-todos-los-tama-os" TargetMode="External"/><Relationship Id="rId85" Type="http://schemas.openxmlformats.org/officeDocument/2006/relationships/hyperlink" Target="https://www.lilis.com.ar/descartador-agujas-y-corto-punz-e-4" TargetMode="External"/><Relationship Id="rId150" Type="http://schemas.openxmlformats.org/officeDocument/2006/relationships/hyperlink" Target="https://cirugiarex.com.ar/producto/cintas-adhesivas-coronet-5cm-x-9m-x6-unidades/" TargetMode="External"/><Relationship Id="rId155" Type="http://schemas.openxmlformats.org/officeDocument/2006/relationships/hyperlink" Target="https://www.tiendahospimed.com.ar/MLA-854138982-termometro-digital-lectura-rapida-exatherm-_JM" TargetMode="External"/><Relationship Id="rId171" Type="http://schemas.openxmlformats.org/officeDocument/2006/relationships/hyperlink" Target="https://www.tiendasaludonline.com.ar/productos/sonda-foley-2-vias-100-silicona-pura-n-22-caja-x-10ps-star-kangyuan/" TargetMode="External"/><Relationship Id="rId176" Type="http://schemas.openxmlformats.org/officeDocument/2006/relationships/hyperlink" Target="https://www.tiendahospimed.com.ar/MLA-1123310076-filtro-con-puerto-oxigeno-kangyuan-x-3-unidades-_JM" TargetMode="External"/><Relationship Id="rId12" Type="http://schemas.openxmlformats.org/officeDocument/2006/relationships/hyperlink" Target="https://www.tiendahospimed.com.ar/MLA-677207028-venda-cambric-10cm-x-3mt-de-algodon-x-25-u-_JM?utm_source=google&amp;utm_medium=cpc&amp;utm_campaign=darwin_ss" TargetMode="External"/><Relationship Id="rId17" Type="http://schemas.openxmlformats.org/officeDocument/2006/relationships/hyperlink" Target="https://www.tiendahospimed.com.ar/MLA-616305640-comfeel-aposito-parche-hidrocoloide-grueso-10x10-x-10-u-_JM" TargetMode="External"/><Relationship Id="rId33" Type="http://schemas.openxmlformats.org/officeDocument/2006/relationships/hyperlink" Target="https://cirugiarex.com.ar/producto/cofia-descartable-x100-unidades-lyncmed/" TargetMode="External"/><Relationship Id="rId38" Type="http://schemas.openxmlformats.org/officeDocument/2006/relationships/hyperlink" Target="https://www.tiendasaludonline.com.ar/productos/bolsa-orina-2lts-con-valvula-pull-on-k207-cajon-x-240u-kanginj/" TargetMode="External"/><Relationship Id="rId59" Type="http://schemas.openxmlformats.org/officeDocument/2006/relationships/hyperlink" Target="https://www.tiendasaludonline.com.ar/productos/gasa-hidrof-tubular-doble-hilado-24-1-pieza-x-1-kilo-insumos-xxi/" TargetMode="External"/><Relationship Id="rId103" Type="http://schemas.openxmlformats.org/officeDocument/2006/relationships/hyperlink" Target="https://www.tiendasaludonline.com.ar/productos/gasa-doblada-simple-esteril-en-sobre-7x7cm-x-3u-caja-x-500u-insumos-xxi/" TargetMode="External"/><Relationship Id="rId108" Type="http://schemas.openxmlformats.org/officeDocument/2006/relationships/hyperlink" Target="https://www.tiendasaludonline.com.ar/productos/guantes-de-cirugia-esteriles-n-7-0-caja-x-50-pares-kelmer/" TargetMode="External"/><Relationship Id="rId124" Type="http://schemas.openxmlformats.org/officeDocument/2006/relationships/hyperlink" Target="https://www.tiendahospimed.com.ar/MLA-1111930436-mascara-de-oxigeno-c-reservorio-arnes-y-tubuladora-_JM" TargetMode="External"/><Relationship Id="rId129" Type="http://schemas.openxmlformats.org/officeDocument/2006/relationships/hyperlink" Target="https://www.lilis.com.ar/sutura-de-nylon-supralon-todos-los-tama-os" TargetMode="External"/><Relationship Id="rId54" Type="http://schemas.openxmlformats.org/officeDocument/2006/relationships/hyperlink" Target="https://www.tiendasaludonline.com.ar/productos/collar-tipo-filadelfia-s-m-l-body-care/" TargetMode="External"/><Relationship Id="rId70" Type="http://schemas.openxmlformats.org/officeDocument/2006/relationships/hyperlink" Target="https://www.tiendasaludonline.com.ar/productos/jeringas-3-elementos-sin-aguja-20cc-medeco-caja-x-50u/" TargetMode="External"/><Relationship Id="rId75" Type="http://schemas.openxmlformats.org/officeDocument/2006/relationships/hyperlink" Target="https://www.tiendasaludonline.com.ar/productos/tubo-endotraqueal-con-balon-reforzado-8-0-kangyuan/" TargetMode="External"/><Relationship Id="rId91" Type="http://schemas.openxmlformats.org/officeDocument/2006/relationships/hyperlink" Target="https://www.tiendasaludonline.com.ar/productos/detergente-tri-enzimatico-o3-x-1-lt-surgizime/" TargetMode="External"/><Relationship Id="rId96" Type="http://schemas.openxmlformats.org/officeDocument/2006/relationships/hyperlink" Target="https://www.tiendasaludonline.com.ar/productos/especulo-vaginal-descartable-mediano-medisul/" TargetMode="External"/><Relationship Id="rId140" Type="http://schemas.openxmlformats.org/officeDocument/2006/relationships/hyperlink" Target="https://www.lilis.com.ar/pinza-umbilical-descartable-100-25453?gclid=Cj0KCQjwu-KiBhCsARIsAPztUF3OO_Zqxn8C8cGp92xDJUounaQKJsursL4121TSqyqZJGJ1bBHRd_4aAsQiEALw_wcB" TargetMode="External"/><Relationship Id="rId145" Type="http://schemas.openxmlformats.org/officeDocument/2006/relationships/hyperlink" Target="https://www.tiendasaludonline.com.ar/productos/sonda-foley-3-vias-n-20-silicona-pura-100-caja-x-10ps-star/" TargetMode="External"/><Relationship Id="rId161" Type="http://schemas.openxmlformats.org/officeDocument/2006/relationships/hyperlink" Target="https://www.lilis.com.ar/venda-yeso-rapida-10-4-gypsofix-25" TargetMode="External"/><Relationship Id="rId166" Type="http://schemas.openxmlformats.org/officeDocument/2006/relationships/hyperlink" Target="https://www.tiendahospimed.com.ar/MLA-918606757-alcohol-medicinal-70-1-litro-sanicol-3-unidades-_JM" TargetMode="External"/><Relationship Id="rId182" Type="http://schemas.openxmlformats.org/officeDocument/2006/relationships/hyperlink" Target="https://www.lilis.com.ar/aguja-40-8-100-bremen?gclid=Cj0KCQiA_P6dBhD1ARIsAAGI7HC-vxJNP2G1CdmLxDEy3skfs1Ytlc13yHW1_TXvog3XzZAczMUsGZMaAuhDEALw_wcB" TargetMode="External"/><Relationship Id="rId1" Type="http://schemas.openxmlformats.org/officeDocument/2006/relationships/hyperlink" Target="https://www.tiendasaludonline.com.ar/productos/aguja-puncion-lumbar-25g-importada-aurinco/" TargetMode="External"/><Relationship Id="rId6" Type="http://schemas.openxmlformats.org/officeDocument/2006/relationships/hyperlink" Target="https://www.tiendasaludonline.com.ar/productos/agujas-hipodermicas-40-8-caja-x-100u-novamed/" TargetMode="External"/><Relationship Id="rId23" Type="http://schemas.openxmlformats.org/officeDocument/2006/relationships/hyperlink" Target="https://www.lilis.com.ar/bajalenguas-adulto-100" TargetMode="External"/><Relationship Id="rId28" Type="http://schemas.openxmlformats.org/officeDocument/2006/relationships/hyperlink" Target="https://www.tiendasaludonline.com.ar/productos/camisolin-descartabe-azul-hemorrepelente-puno-elastico-sms-30-gr-x-10unidades/" TargetMode="External"/><Relationship Id="rId49" Type="http://schemas.openxmlformats.org/officeDocument/2006/relationships/hyperlink" Target="https://www.tiendasaludonline.com.ar/productos/cepillo-p-citologia-endocervical-cj-x-100-unidades-esteril-c-envase-individual-importado/" TargetMode="External"/><Relationship Id="rId114" Type="http://schemas.openxmlformats.org/officeDocument/2006/relationships/hyperlink" Target="https://www.tiendahospimed.com.ar/MLA-839005963-jeringa-descartable-20-ml-sin-aguja-50-unidades-_JM?searchVariation=50639296659" TargetMode="External"/><Relationship Id="rId119" Type="http://schemas.openxmlformats.org/officeDocument/2006/relationships/hyperlink" Target="https://www.tiendasaludonline.com.ar/productos/aerocamara-pediatrica-aero-100/" TargetMode="External"/><Relationship Id="rId44" Type="http://schemas.openxmlformats.org/officeDocument/2006/relationships/hyperlink" Target="https://www.lilis.com.ar/agujas-cateter-todos-los-tama-os" TargetMode="External"/><Relationship Id="rId60" Type="http://schemas.openxmlformats.org/officeDocument/2006/relationships/hyperlink" Target="https://www.tiendasaludonline.com.ar/productos/guantes-examen-latex-m-mediano-caja-x-100ps-trux/" TargetMode="External"/><Relationship Id="rId65" Type="http://schemas.openxmlformats.org/officeDocument/2006/relationships/hyperlink" Target="https://www.tiendahospimed.com.ar/MLA-756022976-histerometro-sims-32-cm-instrumental-quirurgico-_JM" TargetMode="External"/><Relationship Id="rId81" Type="http://schemas.openxmlformats.org/officeDocument/2006/relationships/hyperlink" Target="https://www.lilis.com.ar/agujas-cateter-todos-los-tama-os" TargetMode="External"/><Relationship Id="rId86" Type="http://schemas.openxmlformats.org/officeDocument/2006/relationships/hyperlink" Target="https://www.lilis.com.ar/descartador-agujas-y-corto-punz-e-7" TargetMode="External"/><Relationship Id="rId130" Type="http://schemas.openxmlformats.org/officeDocument/2006/relationships/hyperlink" Target="https://www.lilis.com.ar/sutura-poliglyd-todos-los-tama-os" TargetMode="External"/><Relationship Id="rId135" Type="http://schemas.openxmlformats.org/officeDocument/2006/relationships/hyperlink" Target="https://cirugiarex.com.ar/producto/papel-videprinter-ecografico-upp-110s-sony/" TargetMode="External"/><Relationship Id="rId151" Type="http://schemas.openxmlformats.org/officeDocument/2006/relationships/hyperlink" Target="https://cirugiarex.com.ar/producto/cinta-hipoalergenica-micropore-3m-1530-2/" TargetMode="External"/><Relationship Id="rId156" Type="http://schemas.openxmlformats.org/officeDocument/2006/relationships/hyperlink" Target="https://cirugiarex.com.ar/producto/venda-enseyada-fraguada-rapido-10cm-x-4m/" TargetMode="External"/><Relationship Id="rId177" Type="http://schemas.openxmlformats.org/officeDocument/2006/relationships/hyperlink" Target="https://www.tiendahospimed.com.ar/MLA-1119006063-filtro-para-espirometro-3030-microgard-ii-_JM" TargetMode="External"/><Relationship Id="rId4" Type="http://schemas.openxmlformats.org/officeDocument/2006/relationships/hyperlink" Target="https://www.tiendasaludonline.com.ar/productos/agujas-hipodermicas-25-8-x-100ps-novamed/" TargetMode="External"/><Relationship Id="rId9" Type="http://schemas.openxmlformats.org/officeDocument/2006/relationships/hyperlink" Target="https://www.tiendasaludonline.com.ar/productos/algodon-hidrofilo-x-500grs-doncella-x-10u/" TargetMode="External"/><Relationship Id="rId172" Type="http://schemas.openxmlformats.org/officeDocument/2006/relationships/hyperlink" Target="https://www.lilis.com.ar/agujas-terumo-todos-los-tama-os" TargetMode="External"/><Relationship Id="rId180" Type="http://schemas.openxmlformats.org/officeDocument/2006/relationships/hyperlink" Target="https://www.tiendasaludonline.com.ar/productos/aguja-hipodermica-descart-25-6-23g1-caja-x-100u-greetmed/" TargetMode="External"/><Relationship Id="rId13" Type="http://schemas.openxmlformats.org/officeDocument/2006/relationships/hyperlink" Target="https://cirugiarex.com.ar/producto/venda-ovata-de-algodon-10cm-x-3m/" TargetMode="External"/><Relationship Id="rId18" Type="http://schemas.openxmlformats.org/officeDocument/2006/relationships/hyperlink" Target="https://www.tiendasaludonline.com.ar/productos/apositos-a-granel-10x20cm-x-200u-insumos-xxi/" TargetMode="External"/><Relationship Id="rId39" Type="http://schemas.openxmlformats.org/officeDocument/2006/relationships/hyperlink" Target="https://www.tiendahospimed.com.ar/MLA-738015672-boquilla-para-espirometria-31-mm-20-unidades-_JM" TargetMode="External"/><Relationship Id="rId109" Type="http://schemas.openxmlformats.org/officeDocument/2006/relationships/hyperlink" Target="https://www.tiendasaludonline.com.ar/productos/venoclisis-fotosensible-macro-sin-aguja-c-filtro-caja-x-100u-rymco/" TargetMode="External"/><Relationship Id="rId34" Type="http://schemas.openxmlformats.org/officeDocument/2006/relationships/hyperlink" Target="https://www.tiendasaludonline.com.ar/productos/bolsas-colostomia-cerrada-con-filtro-38mm-402522-convatec/" TargetMode="External"/><Relationship Id="rId50" Type="http://schemas.openxmlformats.org/officeDocument/2006/relationships/hyperlink" Target="https://cirugiarex.com.ar/producto/chata-plastica-orinal-reforzada-kasse/" TargetMode="External"/><Relationship Id="rId55" Type="http://schemas.openxmlformats.org/officeDocument/2006/relationships/hyperlink" Target="https://www.lilis.com.ar/collar-de-filadelfia-coltex-mediano" TargetMode="External"/><Relationship Id="rId76" Type="http://schemas.openxmlformats.org/officeDocument/2006/relationships/hyperlink" Target="https://www.lilis.com.ar/barbijo-triple-con-elastico-50-negro" TargetMode="External"/><Relationship Id="rId97" Type="http://schemas.openxmlformats.org/officeDocument/2006/relationships/hyperlink" Target="https://www.tiendasaludonline.com.ar/productos/especulo-vaginal-descartable-chico-packing-x-100u-bionpro/" TargetMode="External"/><Relationship Id="rId104" Type="http://schemas.openxmlformats.org/officeDocument/2006/relationships/hyperlink" Target="https://cirugiarex.com.ar/producto/pieza-de-gasa-1-kg/" TargetMode="External"/><Relationship Id="rId120" Type="http://schemas.openxmlformats.org/officeDocument/2006/relationships/hyperlink" Target="https://www.tiendasaludonline.com.ar/productos/sonda-inhalacion-oxigeno-pediatrica-k27-bigotera-x-250ps-novamed/" TargetMode="External"/><Relationship Id="rId125" Type="http://schemas.openxmlformats.org/officeDocument/2006/relationships/hyperlink" Target="https://www.lilis.com.ar/mascara-de-oxigeno-6-graduaciones-hg-adulta-59498" TargetMode="External"/><Relationship Id="rId141" Type="http://schemas.openxmlformats.org/officeDocument/2006/relationships/hyperlink" Target="https://www.tiendahospimed.com.ar/MLA-817034684-pinza-maier-ginecologica-descartable-por-5-unidades-_JM" TargetMode="External"/><Relationship Id="rId146" Type="http://schemas.openxmlformats.org/officeDocument/2006/relationships/hyperlink" Target="https://www.tiendasaludonline.com.ar/productos/sonda-nelaton-uretral-pvc-k93-n12-caja-x-50-ps-novamed/" TargetMode="External"/><Relationship Id="rId167" Type="http://schemas.openxmlformats.org/officeDocument/2006/relationships/hyperlink" Target="https://www.tiendahospimed.com.ar/MLA-918604306-alcohol-etilico-96-1-litro-x-3-unidades-sanicol-_JM" TargetMode="External"/><Relationship Id="rId7" Type="http://schemas.openxmlformats.org/officeDocument/2006/relationships/hyperlink" Target="https://www.tiendasaludonline.com.ar/productos/alcohol-etilico-70-x-500-ml-porta/" TargetMode="External"/><Relationship Id="rId71" Type="http://schemas.openxmlformats.org/officeDocument/2006/relationships/hyperlink" Target="https://www.tiendasaludonline.com.ar/productos/jeringas-3cc-sin-aguja-novamed-caja-x-100u/" TargetMode="External"/><Relationship Id="rId92" Type="http://schemas.openxmlformats.org/officeDocument/2006/relationships/hyperlink" Target="https://www.lilis.com.ar/detergente-bienzimatico-1-litro" TargetMode="External"/><Relationship Id="rId162" Type="http://schemas.openxmlformats.org/officeDocument/2006/relationships/hyperlink" Target="https://cirugiarex.com.ar/producto/venda-enseyada-fraguada-rapido-15cm-x-4m/" TargetMode="External"/><Relationship Id="rId183" Type="http://schemas.openxmlformats.org/officeDocument/2006/relationships/hyperlink" Target="https://www.tiendahospimed.com.ar/MLA-1291850372-guia-suero-macrogotero-cchapa-v-14-x-10-unidades-sin-aguja-_JM" TargetMode="External"/><Relationship Id="rId2" Type="http://schemas.openxmlformats.org/officeDocument/2006/relationships/hyperlink" Target="https://www.tiendasaludonline.com.ar/productos/aguja-espinal-puncion-lumbar-25gx31-2-phoenix/" TargetMode="External"/><Relationship Id="rId29" Type="http://schemas.openxmlformats.org/officeDocument/2006/relationships/hyperlink" Target="https://www.lilis.com.ar/camisolin-esteril" TargetMode="External"/><Relationship Id="rId24" Type="http://schemas.openxmlformats.org/officeDocument/2006/relationships/hyperlink" Target="https://cirugiarex.com.ar/producto/baja-lengua-de-madera-adultos-x100-unidades/" TargetMode="External"/><Relationship Id="rId40" Type="http://schemas.openxmlformats.org/officeDocument/2006/relationships/hyperlink" Target="https://www.tiendasaludonline.com.ar/productos/frasco-brocal-desc-c-tapa-no-esteril-x-2500cc/" TargetMode="External"/><Relationship Id="rId45" Type="http://schemas.openxmlformats.org/officeDocument/2006/relationships/hyperlink" Target="https://www.tiendasaludonline.com.ar/productos/cateter-intravenoso-16g-caja-x-100u-polywin-polymed/" TargetMode="External"/><Relationship Id="rId66" Type="http://schemas.openxmlformats.org/officeDocument/2006/relationships/hyperlink" Target="https://www.lilis.com.ar/hojas-de-bisturi-ribbel-todos-los-tama-os" TargetMode="External"/><Relationship Id="rId87" Type="http://schemas.openxmlformats.org/officeDocument/2006/relationships/hyperlink" Target="https://www.lilis.com.ar/descartador-agujas-1-litros-e-1" TargetMode="External"/><Relationship Id="rId110" Type="http://schemas.openxmlformats.org/officeDocument/2006/relationships/hyperlink" Target="https://www.tiendasaludonline.com.ar/productos/macrogotero-sin-aguja-v14-caja-x-200-unidades-a-ruedita-novamed/" TargetMode="External"/><Relationship Id="rId115" Type="http://schemas.openxmlformats.org/officeDocument/2006/relationships/hyperlink" Target="https://www.tiendahospimed.com.ar/MLA-839003046-jeringa-descartable-5-ml-sin-aguja-100-unidades-_JM?searchVariation=50638209526" TargetMode="External"/><Relationship Id="rId131" Type="http://schemas.openxmlformats.org/officeDocument/2006/relationships/hyperlink" Target="https://www.lilis.com.ar/papagayo-plastico-masculino" TargetMode="External"/><Relationship Id="rId136" Type="http://schemas.openxmlformats.org/officeDocument/2006/relationships/hyperlink" Target="https://www.tiendahospimed.com.ar/MLA-1103683562-papel-kraff-medicinal-bobina-60-cm-12-kg-_JM" TargetMode="External"/><Relationship Id="rId157" Type="http://schemas.openxmlformats.org/officeDocument/2006/relationships/hyperlink" Target="https://www.lilis.com.ar/venda-yeso-rapida-15-4-gypsofix-25" TargetMode="External"/><Relationship Id="rId178" Type="http://schemas.openxmlformats.org/officeDocument/2006/relationships/hyperlink" Target="https://www.lilis.com.ar/filtro-antibacterial-para-espirometro-mir" TargetMode="External"/><Relationship Id="rId61" Type="http://schemas.openxmlformats.org/officeDocument/2006/relationships/hyperlink" Target="https://www.tiendasaludonline.com.ar/productos/guantes-esteriles-de-cirugia-nipro-nro-8-5-cja-x-50-pares/" TargetMode="External"/><Relationship Id="rId82" Type="http://schemas.openxmlformats.org/officeDocument/2006/relationships/hyperlink" Target="https://www.tiendasaludonline.com.ar/productos/cateter-intravenoso-24g-caja-x-100u-polywin-polymed/" TargetMode="External"/><Relationship Id="rId152" Type="http://schemas.openxmlformats.org/officeDocument/2006/relationships/hyperlink" Target="https://www.lilis.com.ar/tela-adhesiva-transpore-2-5-9-un-42212-120" TargetMode="External"/><Relationship Id="rId173" Type="http://schemas.openxmlformats.org/officeDocument/2006/relationships/hyperlink" Target="https://www.tiendasaludonline.com.ar/productos/agujas-hipodermicas-50-8-x-100ps-novamed/" TargetMode="External"/><Relationship Id="rId19" Type="http://schemas.openxmlformats.org/officeDocument/2006/relationships/hyperlink" Target="https://www.lilis.com.ar/aposito-10-20-10-unidades-esteril" TargetMode="External"/><Relationship Id="rId14" Type="http://schemas.openxmlformats.org/officeDocument/2006/relationships/hyperlink" Target="https://www.tiendahospimed.com.ar/MLA-607569932-aposito-impermeable-tegaderm-3m-10x12-10-unidades-_JM" TargetMode="External"/><Relationship Id="rId30" Type="http://schemas.openxmlformats.org/officeDocument/2006/relationships/hyperlink" Target="https://www.tiendasaludonline.com.ar/productos/botas-descartable-hemorepelente-con-tiras-blanca-30grs-p-cirugia-x-10-pares/" TargetMode="External"/><Relationship Id="rId35" Type="http://schemas.openxmlformats.org/officeDocument/2006/relationships/hyperlink" Target="https://www.lilis.com.ar/bolsa-convatec-cerrada-colostomia-opaca-38mm" TargetMode="External"/><Relationship Id="rId56" Type="http://schemas.openxmlformats.org/officeDocument/2006/relationships/hyperlink" Target="https://www.tiendasaludonline.com.ar/productos/especulo-vaginal-descartable-mediano-packing-x-100u-bionpro/" TargetMode="External"/><Relationship Id="rId77" Type="http://schemas.openxmlformats.org/officeDocument/2006/relationships/hyperlink" Target="https://www.tiendasaludonline.com.ar/productos/sonda-foley-2-vias-100-silicona-pura-n-16-caja-x-10ps-star-kangyuang/" TargetMode="External"/><Relationship Id="rId100" Type="http://schemas.openxmlformats.org/officeDocument/2006/relationships/hyperlink" Target="https://www.lilis.com.ar/especulo-medisul-grande-para-leep-100-rosa-2" TargetMode="External"/><Relationship Id="rId105" Type="http://schemas.openxmlformats.org/officeDocument/2006/relationships/hyperlink" Target="https://www.tiendahospimed.com.ar/MLA-808478889-gel-neutro-1-kg-x-2-unidades-_JM" TargetMode="External"/><Relationship Id="rId126" Type="http://schemas.openxmlformats.org/officeDocument/2006/relationships/hyperlink" Target="https://www.lilis.com.ar/mascara-de-oxigeno-6-graduaciones-pediatrica-hg-113" TargetMode="External"/><Relationship Id="rId147" Type="http://schemas.openxmlformats.org/officeDocument/2006/relationships/hyperlink" Target="https://www.lilis.com.ar/tela-adhesiva-adhesur-5-uni-4-5-metros" TargetMode="External"/><Relationship Id="rId168" Type="http://schemas.openxmlformats.org/officeDocument/2006/relationships/hyperlink" Target="https://www.tiendahospimed.com.ar/MLA-768780653-bajalengua-de-madera-adulto-o-pediatrico-600-unidades-_JM" TargetMode="External"/><Relationship Id="rId8" Type="http://schemas.openxmlformats.org/officeDocument/2006/relationships/hyperlink" Target="https://www.tiendasaludonline.com.ar/productos/alcohol-etilico-96-x-1-lt-porta/" TargetMode="External"/><Relationship Id="rId51" Type="http://schemas.openxmlformats.org/officeDocument/2006/relationships/hyperlink" Target="https://www.lilis.com.ar/chata-plastica" TargetMode="External"/><Relationship Id="rId72" Type="http://schemas.openxmlformats.org/officeDocument/2006/relationships/hyperlink" Target="https://www.lilis.com.ar/llave-de-3-vias" TargetMode="External"/><Relationship Id="rId93" Type="http://schemas.openxmlformats.org/officeDocument/2006/relationships/hyperlink" Target="https://www.tiendasaludonline.com.ar/productos/electrodo-e-c-g-foam-pedatrico-40-mm-paq-x-50-libre-de-latex-swaromed/" TargetMode="External"/><Relationship Id="rId98" Type="http://schemas.openxmlformats.org/officeDocument/2006/relationships/hyperlink" Target="https://www.tiendasaludonline.com.ar/productos/especulo-vaginal-descartable-grande-packing-x-100u-bionpro/" TargetMode="External"/><Relationship Id="rId121" Type="http://schemas.openxmlformats.org/officeDocument/2006/relationships/hyperlink" Target="https://www.tiendahospimed.com.ar/MLA-1111932009-mascara-de-oxigeno-c-reguladores-arnes-y-tubuladora-_JM" TargetMode="External"/><Relationship Id="rId142" Type="http://schemas.openxmlformats.org/officeDocument/2006/relationships/hyperlink" Target="https://www.tiendasaludonline.com.ar/productos/bobina-pouch-para-esterilizacion-sin-fuelle-300mm-x-200mts-caja-x-1-rollo-3m/" TargetMode="External"/><Relationship Id="rId163" Type="http://schemas.openxmlformats.org/officeDocument/2006/relationships/hyperlink" Target="https://cirugiarex.com.ar/producto/venda-enseyada-fraguada-rapido-20cm-x-4m/" TargetMode="External"/><Relationship Id="rId184" Type="http://schemas.openxmlformats.org/officeDocument/2006/relationships/printerSettings" Target="../printerSettings/printerSettings2.bin"/><Relationship Id="rId3" Type="http://schemas.openxmlformats.org/officeDocument/2006/relationships/hyperlink" Target="https://www.tiendasaludonline.com.ar/productos/aguja-hipodermica-15-5-25g5-8-caja-x-100u-greetmed/" TargetMode="External"/><Relationship Id="rId25" Type="http://schemas.openxmlformats.org/officeDocument/2006/relationships/hyperlink" Target="https://www.lilis.com.ar/bajalenguas-adulto-100" TargetMode="External"/><Relationship Id="rId46" Type="http://schemas.openxmlformats.org/officeDocument/2006/relationships/hyperlink" Target="https://www.lilis.com.ar/agujas-cateter-todos-los-tama-os" TargetMode="External"/><Relationship Id="rId67" Type="http://schemas.openxmlformats.org/officeDocument/2006/relationships/hyperlink" Target="https://www.lilis.com.ar/hojas-de-bisturi-printex-100-todos-los-tama-os" TargetMode="External"/><Relationship Id="rId116" Type="http://schemas.openxmlformats.org/officeDocument/2006/relationships/hyperlink" Target="https://www.tiendasaludonline.com.ar/productos/llaves-de-3-vias-esteril-luer-lock-gst-360x-50u/" TargetMode="External"/><Relationship Id="rId137" Type="http://schemas.openxmlformats.org/officeDocument/2006/relationships/hyperlink" Target="https://www.lilis.com.ar/papel-50-30-electrocardiografo-t-fukuda-x-10-un" TargetMode="External"/><Relationship Id="rId158" Type="http://schemas.openxmlformats.org/officeDocument/2006/relationships/hyperlink" Target="https://www.lilis.com.ar/venda-yeso-rapida-20-4-fave-gypsofix-25" TargetMode="External"/><Relationship Id="rId20" Type="http://schemas.openxmlformats.org/officeDocument/2006/relationships/hyperlink" Target="https://www.tiendahospimed.com.ar/MLA-1120422069-aposito-esteril-gasa-algodon-kraft-10x20-20-unidades-_JM" TargetMode="External"/><Relationship Id="rId41" Type="http://schemas.openxmlformats.org/officeDocument/2006/relationships/hyperlink" Target="https://www.tiendahospimed.com.ar/MLA-872162244-frasco-brocal-24hs-muestra-de-orina-completa-2-lts-_JM" TargetMode="External"/><Relationship Id="rId62" Type="http://schemas.openxmlformats.org/officeDocument/2006/relationships/hyperlink" Target="https://www.tiendasaludonline.com.ar/productos/guante-examen-nitrilo-azul-medium-sin-polvo-aurinco-caja-x100u/" TargetMode="External"/><Relationship Id="rId83" Type="http://schemas.openxmlformats.org/officeDocument/2006/relationships/hyperlink" Target="https://www.tiendasaludonline.com.ar/productos/cateter-de-succion-cerrado-p-asp-traqueal-14-fr-adulto-aurinco-libre-de-latex-x-34-cm/" TargetMode="External"/><Relationship Id="rId88" Type="http://schemas.openxmlformats.org/officeDocument/2006/relationships/hyperlink" Target="https://www.tiendahospimed.com.ar/MLA-915340507-descartador-agujas-y-cortopunzantes-negro-4-litros-_JM" TargetMode="External"/><Relationship Id="rId111" Type="http://schemas.openxmlformats.org/officeDocument/2006/relationships/hyperlink" Target="https://www.tiendahospimed.com.ar/MLA-839004562-jeringa-descartable-60-ml-pico-toomey-cateter-25-unida-_JM?searchVariation=50638615865" TargetMode="External"/><Relationship Id="rId132" Type="http://schemas.openxmlformats.org/officeDocument/2006/relationships/hyperlink" Target="https://www.tiendasaludonline.com.ar/productos/nonisec-panales-adultos-recto-con-gel-extragrande-x-10pads-x-8-paq/" TargetMode="External"/><Relationship Id="rId153" Type="http://schemas.openxmlformats.org/officeDocument/2006/relationships/hyperlink" Target="https://www.lilis.com.ar/termometro-digital-citizen" TargetMode="External"/><Relationship Id="rId174" Type="http://schemas.openxmlformats.org/officeDocument/2006/relationships/hyperlink" Target="https://www.farmaplus.com.ar/novofine-agujas-30g-x-8-mm-para-pen-caja-100-unidades/p?gclid=EAIaIQobChMIitjau-by_wIVLWtMCh3KOgiMEAMYAyAAEgL1YvD_BwE%20NOVOFINE" TargetMode="External"/><Relationship Id="rId179" Type="http://schemas.openxmlformats.org/officeDocument/2006/relationships/hyperlink" Target="https://www.lilis.com.ar/llave-de-3-vias" TargetMode="External"/><Relationship Id="rId15" Type="http://schemas.openxmlformats.org/officeDocument/2006/relationships/hyperlink" Target="https://cirugiarex.com.ar/producto/aposito-hidrocoloide-10x10cm-33110/" TargetMode="External"/><Relationship Id="rId36" Type="http://schemas.openxmlformats.org/officeDocument/2006/relationships/hyperlink" Target="https://www.tiendahospimed.com.ar/MLA-643229833-bolsa-de-colostomia-cerrada-2-piezas-coloplast-10184-x30-uni-_JM" TargetMode="External"/><Relationship Id="rId57" Type="http://schemas.openxmlformats.org/officeDocument/2006/relationships/hyperlink" Target="https://www.tiendasaludonline.com.ar/productos/gasa-hidrof-tubular-doble-hilado-24-1-pieza-x-1-kilo-insumos-xxi/" TargetMode="External"/><Relationship Id="rId106" Type="http://schemas.openxmlformats.org/officeDocument/2006/relationships/hyperlink" Target="https://www.tiendahospimed.com.ar/MLA-866945877-guantes-de-nitrilo-negro-sin-polvo-x-100-unidades-_JM?searchVariation=59540783082" TargetMode="External"/><Relationship Id="rId127" Type="http://schemas.openxmlformats.org/officeDocument/2006/relationships/hyperlink" Target="https://www.tiendahospimed.com.ar/MLA-1111930436-mascara-de-oxigeno-c-reservorio-arnes-y-tubuladora-_JM" TargetMode="External"/><Relationship Id="rId10" Type="http://schemas.openxmlformats.org/officeDocument/2006/relationships/hyperlink" Target="https://www.tiendasaludonline.com.ar/productos/algodon-hidrofilo-x-500grs-x-10-paq-insumos-xxi/" TargetMode="External"/><Relationship Id="rId31" Type="http://schemas.openxmlformats.org/officeDocument/2006/relationships/hyperlink" Target="https://cirugiarex.com.ar/producto/bota-media-cana-descatable-x100-unidades/" TargetMode="External"/><Relationship Id="rId52" Type="http://schemas.openxmlformats.org/officeDocument/2006/relationships/hyperlink" Target="https://www.tiendasaludonline.com.ar/productos/cinta-indicadora-autoadhesiva-para-procesos-de-esterilizacion-ct30-dry-terragene/" TargetMode="External"/><Relationship Id="rId73" Type="http://schemas.openxmlformats.org/officeDocument/2006/relationships/hyperlink" Target="https://www.lilis.com.ar/sutura-de-nylon-supralon-todos-los-tama-os" TargetMode="External"/><Relationship Id="rId78" Type="http://schemas.openxmlformats.org/officeDocument/2006/relationships/hyperlink" Target="https://www.tiendasaludonline.com.ar/productos/sonda-foley-2-vias-100-silicona-pura-n-16-caja-x-10ps-star-kangyuang/" TargetMode="External"/><Relationship Id="rId94" Type="http://schemas.openxmlformats.org/officeDocument/2006/relationships/hyperlink" Target="https://www.tiendasaludonline.com.ar/productos/especulo-vaginal-descartable-chico-greyton/" TargetMode="External"/><Relationship Id="rId99" Type="http://schemas.openxmlformats.org/officeDocument/2006/relationships/hyperlink" Target="https://www.lilis.com.ar/especulo-medisul-grande-para-leep-100-rosa-2" TargetMode="External"/><Relationship Id="rId101" Type="http://schemas.openxmlformats.org/officeDocument/2006/relationships/hyperlink" Target="https://www.lilis.com.ar/especulo-medisul-grande-para-leep-100-rosa-2" TargetMode="External"/><Relationship Id="rId122" Type="http://schemas.openxmlformats.org/officeDocument/2006/relationships/hyperlink" Target="https://www.lilis.com.ar/bigotera-k27-adulto-nasal-kol-78433" TargetMode="External"/><Relationship Id="rId143" Type="http://schemas.openxmlformats.org/officeDocument/2006/relationships/hyperlink" Target="https://www.lilis.com.ar/sonda-k-32-nasogastrica-s-33" TargetMode="External"/><Relationship Id="rId148" Type="http://schemas.openxmlformats.org/officeDocument/2006/relationships/hyperlink" Target="https://www.lilis.com.ar/tela-adhesiva-micropore-5-sin-carretel-16558" TargetMode="External"/><Relationship Id="rId164" Type="http://schemas.openxmlformats.org/officeDocument/2006/relationships/hyperlink" Target="https://www.lilis.com.ar/venda-cambric-orillada-7-3-plus" TargetMode="External"/><Relationship Id="rId169" Type="http://schemas.openxmlformats.org/officeDocument/2006/relationships/hyperlink" Target="https://cirugiarex.com.ar/producto/barbijo-quirurgico-x50-unidade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67"/>
  <sheetViews>
    <sheetView showGridLines="0" workbookViewId="0">
      <selection activeCell="H11" sqref="H11"/>
    </sheetView>
  </sheetViews>
  <sheetFormatPr baseColWidth="10" defaultColWidth="14.42578125" defaultRowHeight="15" customHeight="1"/>
  <cols>
    <col min="1" max="1" width="6" customWidth="1"/>
    <col min="2" max="2" width="13.7109375" customWidth="1"/>
    <col min="3" max="3" width="45" customWidth="1"/>
    <col min="4" max="4" width="21.5703125" customWidth="1"/>
    <col min="5" max="5" width="3.5703125" customWidth="1"/>
    <col min="6" max="30" width="10.7109375" customWidth="1"/>
  </cols>
  <sheetData>
    <row r="2" spans="1:29" ht="15.75">
      <c r="A2" s="588" t="s">
        <v>0</v>
      </c>
      <c r="B2" s="582"/>
      <c r="C2" s="583"/>
      <c r="F2" s="1"/>
      <c r="G2" s="1"/>
      <c r="H2" s="2"/>
      <c r="K2" s="3"/>
      <c r="N2" s="3"/>
      <c r="O2" s="3"/>
      <c r="Q2" s="3"/>
      <c r="T2" s="3"/>
      <c r="U2" s="4"/>
      <c r="V2" s="4"/>
      <c r="W2" s="4"/>
      <c r="X2" s="4"/>
      <c r="Y2" s="4"/>
    </row>
    <row r="3" spans="1:29">
      <c r="F3" s="1"/>
      <c r="G3" s="1"/>
      <c r="H3" s="2"/>
      <c r="K3" s="3"/>
      <c r="N3" s="3"/>
      <c r="O3" s="3"/>
      <c r="Q3" s="3"/>
      <c r="T3" s="3"/>
      <c r="U3" s="4"/>
      <c r="V3" s="4"/>
      <c r="W3" s="4"/>
      <c r="X3" s="4"/>
      <c r="Y3" s="4"/>
    </row>
    <row r="4" spans="1:29">
      <c r="F4" s="581" t="s">
        <v>1</v>
      </c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  <c r="Z4" s="582"/>
      <c r="AA4" s="582"/>
      <c r="AB4" s="582"/>
      <c r="AC4" s="583"/>
    </row>
    <row r="5" spans="1:29"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/>
      <c r="V5" s="5"/>
      <c r="W5" s="5"/>
      <c r="X5" s="5"/>
      <c r="Y5" s="5"/>
      <c r="Z5" s="3"/>
      <c r="AA5" s="3"/>
      <c r="AB5" s="3"/>
      <c r="AC5" s="3"/>
    </row>
    <row r="6" spans="1:29">
      <c r="B6" s="6" t="s">
        <v>2</v>
      </c>
      <c r="C6" s="7" t="s">
        <v>3</v>
      </c>
      <c r="D6" s="8" t="s">
        <v>4</v>
      </c>
      <c r="F6" s="585" t="s">
        <v>5</v>
      </c>
      <c r="G6" s="582"/>
      <c r="H6" s="583"/>
      <c r="I6" s="585" t="s">
        <v>6</v>
      </c>
      <c r="J6" s="582"/>
      <c r="K6" s="583"/>
      <c r="L6" s="585" t="s">
        <v>7</v>
      </c>
      <c r="M6" s="582"/>
      <c r="N6" s="583"/>
      <c r="O6" s="585" t="s">
        <v>8</v>
      </c>
      <c r="P6" s="582"/>
      <c r="Q6" s="583"/>
      <c r="R6" s="585" t="s">
        <v>9</v>
      </c>
      <c r="S6" s="582"/>
      <c r="T6" s="583"/>
      <c r="U6" s="586" t="s">
        <v>10</v>
      </c>
      <c r="V6" s="582"/>
      <c r="W6" s="583"/>
      <c r="X6" s="586" t="s">
        <v>11</v>
      </c>
      <c r="Y6" s="582"/>
      <c r="Z6" s="587"/>
      <c r="AA6" s="584" t="s">
        <v>12</v>
      </c>
      <c r="AB6" s="582"/>
      <c r="AC6" s="583"/>
    </row>
    <row r="7" spans="1:29">
      <c r="B7" s="589"/>
      <c r="C7" s="590"/>
      <c r="D7" s="590"/>
      <c r="F7" s="10">
        <v>44562</v>
      </c>
      <c r="G7" s="10">
        <v>44593</v>
      </c>
      <c r="H7" s="11">
        <v>44621</v>
      </c>
      <c r="I7" s="10">
        <v>44562</v>
      </c>
      <c r="J7" s="10">
        <v>44593</v>
      </c>
      <c r="K7" s="10">
        <v>44621</v>
      </c>
      <c r="L7" s="10">
        <v>44562</v>
      </c>
      <c r="M7" s="10">
        <v>44593</v>
      </c>
      <c r="N7" s="11">
        <v>44621</v>
      </c>
      <c r="O7" s="10">
        <v>44562</v>
      </c>
      <c r="P7" s="10">
        <v>44593</v>
      </c>
      <c r="Q7" s="10">
        <v>44621</v>
      </c>
      <c r="R7" s="10">
        <v>44562</v>
      </c>
      <c r="S7" s="10">
        <v>44593</v>
      </c>
      <c r="T7" s="11">
        <v>44621</v>
      </c>
      <c r="U7" s="12">
        <v>44562</v>
      </c>
      <c r="V7" s="12">
        <v>44593</v>
      </c>
      <c r="W7" s="10">
        <v>44621</v>
      </c>
      <c r="X7" s="12">
        <v>44562</v>
      </c>
      <c r="Y7" s="12">
        <v>44593</v>
      </c>
      <c r="Z7" s="10">
        <v>44621</v>
      </c>
      <c r="AA7" s="12">
        <v>44562</v>
      </c>
      <c r="AB7" s="12">
        <v>44593</v>
      </c>
      <c r="AC7" s="12">
        <v>44621</v>
      </c>
    </row>
    <row r="8" spans="1:29">
      <c r="B8" s="575" t="s">
        <v>13</v>
      </c>
      <c r="C8" s="569"/>
      <c r="D8" s="570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5"/>
      <c r="W8" s="5"/>
      <c r="X8" s="5"/>
      <c r="Y8" s="5"/>
      <c r="Z8" s="3"/>
      <c r="AA8" s="3"/>
      <c r="AB8" s="3"/>
      <c r="AC8" s="3"/>
    </row>
    <row r="9" spans="1:29">
      <c r="B9" s="13">
        <v>321200019</v>
      </c>
      <c r="C9" s="14" t="s">
        <v>14</v>
      </c>
      <c r="D9" s="15" t="s">
        <v>15</v>
      </c>
      <c r="F9" s="16"/>
      <c r="G9" s="16"/>
      <c r="H9" s="16"/>
      <c r="I9" s="16"/>
      <c r="J9" s="16"/>
      <c r="K9" s="16"/>
      <c r="L9" s="16"/>
      <c r="M9" s="16"/>
      <c r="N9" s="17">
        <v>171.5</v>
      </c>
      <c r="O9" s="16"/>
      <c r="P9" s="16"/>
      <c r="Q9" s="16"/>
      <c r="R9" s="16"/>
      <c r="S9" s="16"/>
      <c r="T9" s="16"/>
      <c r="U9" s="18"/>
      <c r="V9" s="18"/>
      <c r="W9" s="18"/>
      <c r="X9" s="18"/>
      <c r="Y9" s="18"/>
      <c r="Z9" s="18"/>
      <c r="AA9" s="18"/>
      <c r="AB9" s="18"/>
      <c r="AC9" s="18"/>
    </row>
    <row r="10" spans="1:29">
      <c r="B10" s="576">
        <v>320700022</v>
      </c>
      <c r="C10" s="19" t="s">
        <v>16</v>
      </c>
      <c r="D10" s="20" t="s">
        <v>17</v>
      </c>
      <c r="F10" s="568"/>
      <c r="G10" s="569"/>
      <c r="H10" s="569"/>
      <c r="I10" s="569"/>
      <c r="J10" s="569"/>
      <c r="K10" s="569"/>
      <c r="L10" s="569"/>
      <c r="M10" s="569"/>
      <c r="N10" s="569"/>
      <c r="O10" s="569"/>
      <c r="P10" s="569"/>
      <c r="Q10" s="569"/>
      <c r="R10" s="569"/>
      <c r="S10" s="569"/>
      <c r="T10" s="569"/>
      <c r="U10" s="569"/>
      <c r="V10" s="569"/>
      <c r="W10" s="569"/>
      <c r="X10" s="569"/>
      <c r="Y10" s="569"/>
      <c r="Z10" s="569"/>
      <c r="AA10" s="569"/>
      <c r="AB10" s="569"/>
      <c r="AC10" s="570"/>
    </row>
    <row r="11" spans="1:29">
      <c r="B11" s="572"/>
      <c r="C11" s="21" t="s">
        <v>18</v>
      </c>
      <c r="D11" s="22" t="s">
        <v>15</v>
      </c>
      <c r="F11" s="16"/>
      <c r="G11" s="16">
        <v>1.69</v>
      </c>
      <c r="H11" s="16"/>
      <c r="I11" s="16"/>
      <c r="J11" s="23"/>
      <c r="K11" s="23"/>
      <c r="L11" s="16"/>
      <c r="M11" s="16"/>
      <c r="N11" s="16"/>
      <c r="O11" s="16"/>
      <c r="P11" s="16"/>
      <c r="Q11" s="17">
        <v>1.86</v>
      </c>
      <c r="R11" s="16"/>
      <c r="S11" s="16"/>
      <c r="T11" s="17">
        <v>1.52</v>
      </c>
      <c r="U11" s="18"/>
      <c r="V11" s="18"/>
      <c r="W11" s="18"/>
      <c r="X11" s="18"/>
      <c r="Y11" s="18"/>
      <c r="Z11" s="18"/>
      <c r="AA11" s="18"/>
      <c r="AB11" s="18"/>
      <c r="AC11" s="18"/>
    </row>
    <row r="12" spans="1:29">
      <c r="B12" s="572"/>
      <c r="C12" s="21" t="s">
        <v>19</v>
      </c>
      <c r="D12" s="22" t="s">
        <v>15</v>
      </c>
      <c r="F12" s="16"/>
      <c r="G12" s="16"/>
      <c r="H12" s="16"/>
      <c r="I12" s="16"/>
      <c r="J12" s="23"/>
      <c r="K12" s="23"/>
      <c r="L12" s="16"/>
      <c r="M12" s="16"/>
      <c r="N12" s="17">
        <v>1.69</v>
      </c>
      <c r="O12" s="16"/>
      <c r="P12" s="16"/>
      <c r="Q12" s="16"/>
      <c r="R12" s="16"/>
      <c r="S12" s="16"/>
      <c r="T12" s="16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>
      <c r="B13" s="572"/>
      <c r="C13" s="21" t="s">
        <v>20</v>
      </c>
      <c r="D13" s="22" t="s">
        <v>15</v>
      </c>
      <c r="F13" s="16"/>
      <c r="G13" s="16">
        <v>1.72</v>
      </c>
      <c r="H13" s="16"/>
      <c r="I13" s="16"/>
      <c r="J13" s="23">
        <v>18.95</v>
      </c>
      <c r="K13" s="23"/>
      <c r="L13" s="16"/>
      <c r="M13" s="16"/>
      <c r="N13" s="17">
        <v>19.89</v>
      </c>
      <c r="O13" s="16"/>
      <c r="P13" s="16">
        <v>1.83</v>
      </c>
      <c r="Q13" s="16"/>
      <c r="R13" s="16">
        <v>1.75</v>
      </c>
      <c r="S13" s="16">
        <v>1.41</v>
      </c>
      <c r="T13" s="16"/>
      <c r="U13" s="18">
        <v>1.76</v>
      </c>
      <c r="V13" s="18"/>
      <c r="W13" s="18"/>
      <c r="X13" s="18"/>
      <c r="Y13" s="18">
        <v>1.8</v>
      </c>
      <c r="Z13" s="18"/>
      <c r="AA13" s="18"/>
      <c r="AB13" s="18"/>
      <c r="AC13" s="18"/>
    </row>
    <row r="14" spans="1:29">
      <c r="B14" s="572"/>
      <c r="C14" s="24" t="s">
        <v>21</v>
      </c>
      <c r="D14" s="25" t="s">
        <v>15</v>
      </c>
      <c r="F14" s="16"/>
      <c r="G14" s="16"/>
      <c r="H14" s="16"/>
      <c r="I14" s="16"/>
      <c r="J14" s="23"/>
      <c r="K14" s="23"/>
      <c r="L14" s="16"/>
      <c r="M14" s="16"/>
      <c r="N14" s="17">
        <v>1.74</v>
      </c>
      <c r="O14" s="16"/>
      <c r="P14" s="16"/>
      <c r="Q14" s="16"/>
      <c r="R14" s="16"/>
      <c r="S14" s="16"/>
      <c r="T14" s="16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>
      <c r="B15" s="572"/>
      <c r="C15" s="21" t="s">
        <v>22</v>
      </c>
      <c r="D15" s="22" t="s">
        <v>15</v>
      </c>
      <c r="F15" s="16"/>
      <c r="G15" s="16"/>
      <c r="H15" s="16"/>
      <c r="I15" s="16"/>
      <c r="J15" s="23"/>
      <c r="K15" s="23"/>
      <c r="L15" s="16"/>
      <c r="M15" s="16"/>
      <c r="N15" s="17">
        <v>1.64</v>
      </c>
      <c r="O15" s="16"/>
      <c r="P15" s="16"/>
      <c r="Q15" s="16"/>
      <c r="R15" s="16"/>
      <c r="S15" s="16"/>
      <c r="T15" s="17">
        <v>1.64</v>
      </c>
      <c r="U15" s="18"/>
      <c r="V15" s="18"/>
      <c r="W15" s="18"/>
      <c r="X15" s="18"/>
      <c r="Y15" s="18"/>
      <c r="Z15" s="18"/>
      <c r="AA15" s="18"/>
      <c r="AB15" s="18"/>
      <c r="AC15" s="18"/>
    </row>
    <row r="16" spans="1:29">
      <c r="B16" s="573"/>
      <c r="C16" s="21" t="s">
        <v>23</v>
      </c>
      <c r="D16" s="22" t="s">
        <v>15</v>
      </c>
      <c r="F16" s="16"/>
      <c r="G16" s="16"/>
      <c r="H16" s="16"/>
      <c r="I16" s="16"/>
      <c r="J16" s="23"/>
      <c r="K16" s="23"/>
      <c r="L16" s="16"/>
      <c r="M16" s="16"/>
      <c r="N16" s="16"/>
      <c r="O16" s="16"/>
      <c r="P16" s="16"/>
      <c r="Q16" s="17">
        <v>2.0299999999999998</v>
      </c>
      <c r="R16" s="16"/>
      <c r="S16" s="16"/>
      <c r="T16" s="17">
        <v>2.09</v>
      </c>
      <c r="U16" s="18"/>
      <c r="V16" s="18"/>
      <c r="W16" s="18"/>
      <c r="X16" s="18"/>
      <c r="Y16" s="18"/>
      <c r="Z16" s="18"/>
      <c r="AA16" s="18"/>
      <c r="AB16" s="18"/>
      <c r="AC16" s="18"/>
    </row>
    <row r="17" spans="2:29">
      <c r="B17" s="575" t="s">
        <v>24</v>
      </c>
      <c r="C17" s="569"/>
      <c r="D17" s="570"/>
      <c r="F17" s="568"/>
      <c r="G17" s="569"/>
      <c r="H17" s="569"/>
      <c r="I17" s="569"/>
      <c r="J17" s="569"/>
      <c r="K17" s="569"/>
      <c r="L17" s="569"/>
      <c r="M17" s="569"/>
      <c r="N17" s="569"/>
      <c r="O17" s="569"/>
      <c r="P17" s="569"/>
      <c r="Q17" s="569"/>
      <c r="R17" s="569"/>
      <c r="S17" s="569"/>
      <c r="T17" s="569"/>
      <c r="U17" s="569"/>
      <c r="V17" s="569"/>
      <c r="W17" s="569"/>
      <c r="X17" s="569"/>
      <c r="Y17" s="569"/>
      <c r="Z17" s="569"/>
      <c r="AA17" s="569"/>
      <c r="AB17" s="569"/>
      <c r="AC17" s="570"/>
    </row>
    <row r="18" spans="2:29">
      <c r="B18" s="571">
        <v>31290027</v>
      </c>
      <c r="C18" s="26" t="s">
        <v>25</v>
      </c>
      <c r="D18" s="27" t="s">
        <v>26</v>
      </c>
      <c r="F18" s="16"/>
      <c r="G18" s="16">
        <v>164.43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8"/>
      <c r="V18" s="18"/>
      <c r="W18" s="18"/>
      <c r="X18" s="18"/>
      <c r="Y18" s="18"/>
      <c r="Z18" s="18"/>
      <c r="AA18" s="18"/>
      <c r="AB18" s="18"/>
      <c r="AC18" s="18"/>
    </row>
    <row r="19" spans="2:29">
      <c r="B19" s="573"/>
      <c r="C19" s="26" t="s">
        <v>27</v>
      </c>
      <c r="D19" s="27" t="s">
        <v>28</v>
      </c>
      <c r="F19" s="16"/>
      <c r="G19" s="16">
        <v>186</v>
      </c>
      <c r="H19" s="16"/>
      <c r="I19" s="16"/>
      <c r="J19" s="16"/>
      <c r="K19" s="16"/>
      <c r="L19" s="16">
        <v>198.6</v>
      </c>
      <c r="M19" s="16"/>
      <c r="N19" s="16"/>
      <c r="O19" s="16"/>
      <c r="P19" s="16"/>
      <c r="Q19" s="16"/>
      <c r="R19" s="16"/>
      <c r="S19" s="16"/>
      <c r="T19" s="16"/>
      <c r="U19" s="18">
        <v>188.18</v>
      </c>
      <c r="V19" s="18"/>
      <c r="W19" s="18"/>
      <c r="X19" s="18">
        <v>189.72</v>
      </c>
      <c r="Y19" s="18">
        <v>186.61</v>
      </c>
      <c r="Z19" s="18"/>
      <c r="AA19" s="18"/>
      <c r="AB19" s="18"/>
      <c r="AC19" s="18"/>
    </row>
    <row r="20" spans="2:29">
      <c r="B20" s="575" t="s">
        <v>29</v>
      </c>
      <c r="C20" s="569"/>
      <c r="D20" s="570"/>
      <c r="F20" s="568"/>
      <c r="G20" s="569"/>
      <c r="H20" s="569"/>
      <c r="I20" s="569"/>
      <c r="J20" s="569"/>
      <c r="K20" s="569"/>
      <c r="L20" s="569"/>
      <c r="M20" s="569"/>
      <c r="N20" s="569"/>
      <c r="O20" s="569"/>
      <c r="P20" s="569"/>
      <c r="Q20" s="569"/>
      <c r="R20" s="569"/>
      <c r="S20" s="569"/>
      <c r="T20" s="569"/>
      <c r="U20" s="569"/>
      <c r="V20" s="569"/>
      <c r="W20" s="569"/>
      <c r="X20" s="569"/>
      <c r="Y20" s="569"/>
      <c r="Z20" s="569"/>
      <c r="AA20" s="569"/>
      <c r="AB20" s="569"/>
      <c r="AC20" s="570"/>
    </row>
    <row r="21" spans="2:29" ht="15.75" customHeight="1">
      <c r="B21" s="577">
        <v>32020001</v>
      </c>
      <c r="C21" s="14" t="s">
        <v>30</v>
      </c>
      <c r="D21" s="15" t="s">
        <v>31</v>
      </c>
      <c r="F21" s="16"/>
      <c r="G21" s="16">
        <v>249.89</v>
      </c>
      <c r="H21" s="16"/>
      <c r="I21" s="16"/>
      <c r="J21" s="16">
        <v>238</v>
      </c>
      <c r="K21" s="16"/>
      <c r="L21" s="16"/>
      <c r="M21" s="16"/>
      <c r="N21" s="17">
        <v>279.22000000000003</v>
      </c>
      <c r="O21" s="16"/>
      <c r="P21" s="16"/>
      <c r="Q21" s="16"/>
      <c r="R21" s="16">
        <v>239.76</v>
      </c>
      <c r="S21" s="16">
        <v>305.89</v>
      </c>
      <c r="T21" s="16"/>
      <c r="U21" s="18">
        <v>264.92</v>
      </c>
      <c r="V21" s="18"/>
      <c r="W21" s="18"/>
      <c r="X21" s="18">
        <v>248.96</v>
      </c>
      <c r="Y21" s="18">
        <v>296.3</v>
      </c>
      <c r="Z21" s="18"/>
      <c r="AA21" s="18"/>
      <c r="AB21" s="18"/>
      <c r="AC21" s="18"/>
    </row>
    <row r="22" spans="2:29" ht="15.75" customHeight="1">
      <c r="B22" s="573"/>
      <c r="C22" s="19" t="s">
        <v>32</v>
      </c>
      <c r="D22" s="20" t="s">
        <v>33</v>
      </c>
      <c r="F22" s="16"/>
      <c r="G22" s="16"/>
      <c r="H22" s="17">
        <v>45.49</v>
      </c>
      <c r="I22" s="16"/>
      <c r="J22" s="16"/>
      <c r="K22" s="16"/>
      <c r="L22" s="16"/>
      <c r="M22" s="16"/>
      <c r="N22" s="17">
        <v>52.1</v>
      </c>
      <c r="O22" s="16"/>
      <c r="P22" s="16">
        <v>45.86</v>
      </c>
      <c r="Q22" s="16"/>
      <c r="R22" s="16">
        <v>42.55</v>
      </c>
      <c r="S22" s="16"/>
      <c r="T22" s="16"/>
      <c r="U22" s="18"/>
      <c r="V22" s="18"/>
      <c r="W22" s="18"/>
      <c r="X22" s="18"/>
      <c r="Y22" s="18"/>
      <c r="Z22" s="18"/>
      <c r="AA22" s="18"/>
      <c r="AB22" s="18"/>
      <c r="AC22" s="18"/>
    </row>
    <row r="23" spans="2:29" ht="15.75" customHeight="1">
      <c r="B23" s="575" t="s">
        <v>34</v>
      </c>
      <c r="C23" s="569"/>
      <c r="D23" s="570"/>
      <c r="F23" s="568"/>
      <c r="G23" s="569"/>
      <c r="H23" s="569"/>
      <c r="I23" s="569"/>
      <c r="J23" s="569"/>
      <c r="K23" s="569"/>
      <c r="L23" s="569"/>
      <c r="M23" s="569"/>
      <c r="N23" s="569"/>
      <c r="O23" s="569"/>
      <c r="P23" s="569"/>
      <c r="Q23" s="569"/>
      <c r="R23" s="569"/>
      <c r="S23" s="569"/>
      <c r="T23" s="569"/>
      <c r="U23" s="569"/>
      <c r="V23" s="569"/>
      <c r="W23" s="569"/>
      <c r="X23" s="569"/>
      <c r="Y23" s="569"/>
      <c r="Z23" s="569"/>
      <c r="AA23" s="569"/>
      <c r="AB23" s="569"/>
      <c r="AC23" s="570"/>
    </row>
    <row r="24" spans="2:29" ht="15.75" customHeight="1">
      <c r="B24" s="571">
        <v>321000014</v>
      </c>
      <c r="C24" s="26" t="s">
        <v>35</v>
      </c>
      <c r="D24" s="27" t="s">
        <v>17</v>
      </c>
      <c r="F24" s="16">
        <v>39.1</v>
      </c>
      <c r="G24" s="16">
        <v>39.1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>
        <v>173.99</v>
      </c>
      <c r="T24" s="16"/>
      <c r="U24" s="18"/>
      <c r="V24" s="18"/>
      <c r="W24" s="18"/>
      <c r="X24" s="18"/>
      <c r="Y24" s="18"/>
      <c r="Z24" s="18"/>
      <c r="AA24" s="18"/>
      <c r="AB24" s="18"/>
      <c r="AC24" s="18"/>
    </row>
    <row r="25" spans="2:29" ht="15.75" customHeight="1">
      <c r="B25" s="573"/>
      <c r="C25" s="26" t="s">
        <v>36</v>
      </c>
      <c r="D25" s="27" t="s">
        <v>15</v>
      </c>
      <c r="F25" s="16"/>
      <c r="G25" s="16"/>
      <c r="H25" s="17">
        <v>340.29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8"/>
      <c r="V25" s="18"/>
      <c r="W25" s="18"/>
      <c r="X25" s="18"/>
      <c r="Y25" s="18"/>
      <c r="Z25" s="18"/>
      <c r="AA25" s="18"/>
      <c r="AB25" s="18"/>
      <c r="AC25" s="18"/>
    </row>
    <row r="26" spans="2:29" ht="15.75" customHeight="1">
      <c r="B26" s="571">
        <v>32020007</v>
      </c>
      <c r="C26" s="26" t="s">
        <v>37</v>
      </c>
      <c r="D26" s="27" t="s">
        <v>17</v>
      </c>
      <c r="F26" s="16"/>
      <c r="G26" s="16"/>
      <c r="H26" s="16"/>
      <c r="I26" s="16"/>
      <c r="J26" s="16">
        <v>20.41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8"/>
      <c r="V26" s="18"/>
      <c r="W26" s="18"/>
      <c r="X26" s="18"/>
      <c r="Y26" s="18"/>
      <c r="Z26" s="18"/>
      <c r="AA26" s="18"/>
      <c r="AB26" s="18"/>
      <c r="AC26" s="18"/>
    </row>
    <row r="27" spans="2:29" ht="15.75" customHeight="1">
      <c r="B27" s="573"/>
      <c r="C27" s="14" t="s">
        <v>38</v>
      </c>
      <c r="D27" s="15" t="s">
        <v>15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>
        <v>81.41</v>
      </c>
      <c r="Q27" s="16"/>
      <c r="R27" s="16"/>
      <c r="S27" s="16"/>
      <c r="T27" s="16"/>
      <c r="U27" s="18"/>
      <c r="V27" s="18"/>
      <c r="W27" s="18"/>
      <c r="X27" s="18"/>
      <c r="Y27" s="18"/>
      <c r="Z27" s="18"/>
      <c r="AA27" s="18"/>
      <c r="AB27" s="18"/>
      <c r="AC27" s="18"/>
    </row>
    <row r="28" spans="2:29" ht="15.75" customHeight="1">
      <c r="B28" s="575" t="s">
        <v>39</v>
      </c>
      <c r="C28" s="569"/>
      <c r="D28" s="570"/>
      <c r="F28" s="568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69"/>
      <c r="AB28" s="569"/>
      <c r="AC28" s="570"/>
    </row>
    <row r="29" spans="2:29" ht="15.75" customHeight="1">
      <c r="B29" s="571">
        <v>32090001</v>
      </c>
      <c r="C29" s="26" t="s">
        <v>40</v>
      </c>
      <c r="D29" s="27" t="s">
        <v>41</v>
      </c>
      <c r="F29" s="28"/>
      <c r="G29" s="16"/>
      <c r="H29" s="16"/>
      <c r="I29" s="16"/>
      <c r="J29" s="28"/>
      <c r="K29" s="28"/>
      <c r="L29" s="16"/>
      <c r="M29" s="16"/>
      <c r="N29" s="16"/>
      <c r="O29" s="16"/>
      <c r="P29" s="16"/>
      <c r="Q29" s="16"/>
      <c r="R29" s="16"/>
      <c r="S29" s="16"/>
      <c r="T29" s="16"/>
      <c r="U29" s="18"/>
      <c r="V29" s="18"/>
      <c r="W29" s="18"/>
      <c r="X29" s="18"/>
      <c r="Y29" s="18"/>
      <c r="Z29" s="18"/>
      <c r="AA29" s="18">
        <v>103.86</v>
      </c>
      <c r="AB29" s="18"/>
      <c r="AC29" s="18"/>
    </row>
    <row r="30" spans="2:29" ht="15.75" customHeight="1">
      <c r="B30" s="573"/>
      <c r="C30" s="26" t="s">
        <v>42</v>
      </c>
      <c r="D30" s="27" t="s">
        <v>41</v>
      </c>
      <c r="F30" s="28"/>
      <c r="G30" s="16"/>
      <c r="H30" s="16"/>
      <c r="I30" s="16"/>
      <c r="J30" s="28"/>
      <c r="K30" s="28"/>
      <c r="L30" s="16"/>
      <c r="M30" s="16"/>
      <c r="N30" s="16"/>
      <c r="O30" s="16"/>
      <c r="P30" s="16"/>
      <c r="Q30" s="16"/>
      <c r="R30" s="16"/>
      <c r="S30" s="16"/>
      <c r="T30" s="16"/>
      <c r="U30" s="18"/>
      <c r="V30" s="18"/>
      <c r="W30" s="18"/>
      <c r="X30" s="18"/>
      <c r="Y30" s="18"/>
      <c r="Z30" s="18"/>
      <c r="AA30" s="18">
        <v>134</v>
      </c>
      <c r="AB30" s="18"/>
      <c r="AC30" s="18"/>
    </row>
    <row r="31" spans="2:29" ht="15.75" customHeight="1">
      <c r="B31" s="575" t="s">
        <v>43</v>
      </c>
      <c r="C31" s="569"/>
      <c r="D31" s="570"/>
      <c r="F31" s="568"/>
      <c r="G31" s="569"/>
      <c r="H31" s="569"/>
      <c r="I31" s="569"/>
      <c r="J31" s="569"/>
      <c r="K31" s="569"/>
      <c r="L31" s="569"/>
      <c r="M31" s="569"/>
      <c r="N31" s="569"/>
      <c r="O31" s="569"/>
      <c r="P31" s="569"/>
      <c r="Q31" s="569"/>
      <c r="R31" s="569"/>
      <c r="S31" s="569"/>
      <c r="T31" s="569"/>
      <c r="U31" s="569"/>
      <c r="V31" s="569"/>
      <c r="W31" s="569"/>
      <c r="X31" s="569"/>
      <c r="Y31" s="569"/>
      <c r="Z31" s="569"/>
      <c r="AA31" s="569"/>
      <c r="AB31" s="569"/>
      <c r="AC31" s="570"/>
    </row>
    <row r="32" spans="2:29" ht="15.75" customHeight="1">
      <c r="B32" s="29">
        <v>32010001</v>
      </c>
      <c r="C32" s="26" t="s">
        <v>44</v>
      </c>
      <c r="D32" s="27" t="s">
        <v>17</v>
      </c>
      <c r="F32" s="16"/>
      <c r="G32" s="16"/>
      <c r="H32" s="16"/>
      <c r="I32" s="16"/>
      <c r="J32" s="16"/>
      <c r="K32" s="16"/>
      <c r="L32" s="16">
        <v>6.16</v>
      </c>
      <c r="M32" s="16"/>
      <c r="N32" s="16"/>
      <c r="O32" s="16"/>
      <c r="P32" s="16">
        <v>6.42</v>
      </c>
      <c r="Q32" s="16"/>
      <c r="R32" s="16"/>
      <c r="S32" s="16"/>
      <c r="T32" s="16"/>
      <c r="U32" s="18">
        <v>4.82</v>
      </c>
      <c r="V32" s="18"/>
      <c r="W32" s="18"/>
      <c r="X32" s="18">
        <v>5.29</v>
      </c>
      <c r="Y32" s="18">
        <v>5.39</v>
      </c>
      <c r="Z32" s="18"/>
      <c r="AA32" s="18"/>
      <c r="AB32" s="18"/>
      <c r="AC32" s="18"/>
    </row>
    <row r="33" spans="2:29" ht="15.75" customHeight="1">
      <c r="B33" s="575" t="s">
        <v>45</v>
      </c>
      <c r="C33" s="569"/>
      <c r="D33" s="570"/>
      <c r="F33" s="568"/>
      <c r="G33" s="569"/>
      <c r="H33" s="569"/>
      <c r="I33" s="569"/>
      <c r="J33" s="569"/>
      <c r="K33" s="569"/>
      <c r="L33" s="569"/>
      <c r="M33" s="569"/>
      <c r="N33" s="569"/>
      <c r="O33" s="569"/>
      <c r="P33" s="569"/>
      <c r="Q33" s="569"/>
      <c r="R33" s="569"/>
      <c r="S33" s="569"/>
      <c r="T33" s="569"/>
      <c r="U33" s="569"/>
      <c r="V33" s="569"/>
      <c r="W33" s="569"/>
      <c r="X33" s="569"/>
      <c r="Y33" s="569"/>
      <c r="Z33" s="569"/>
      <c r="AA33" s="569"/>
      <c r="AB33" s="569"/>
      <c r="AC33" s="570"/>
    </row>
    <row r="34" spans="2:29" ht="15.75" customHeight="1">
      <c r="B34" s="29">
        <v>320100049</v>
      </c>
      <c r="C34" s="26" t="s">
        <v>46</v>
      </c>
      <c r="D34" s="27" t="s">
        <v>17</v>
      </c>
      <c r="F34" s="16"/>
      <c r="G34" s="16"/>
      <c r="H34" s="16"/>
      <c r="I34" s="16"/>
      <c r="J34" s="16"/>
      <c r="K34" s="16"/>
      <c r="L34" s="16"/>
      <c r="M34" s="16">
        <v>116.69</v>
      </c>
      <c r="N34" s="16"/>
      <c r="O34" s="16"/>
      <c r="P34" s="16"/>
      <c r="Q34" s="16"/>
      <c r="R34" s="16"/>
      <c r="S34" s="16"/>
      <c r="T34" s="16"/>
      <c r="U34" s="18"/>
      <c r="V34" s="18"/>
      <c r="W34" s="18"/>
      <c r="X34" s="18"/>
      <c r="Y34" s="18"/>
      <c r="Z34" s="18"/>
      <c r="AA34" s="18"/>
      <c r="AB34" s="18"/>
      <c r="AC34" s="18"/>
    </row>
    <row r="35" spans="2:29" ht="15.75" customHeight="1">
      <c r="B35" s="29">
        <v>320100053</v>
      </c>
      <c r="C35" s="30" t="s">
        <v>47</v>
      </c>
      <c r="D35" s="27" t="s">
        <v>48</v>
      </c>
      <c r="F35" s="16"/>
      <c r="G35" s="16"/>
      <c r="H35" s="16"/>
      <c r="I35" s="16"/>
      <c r="J35" s="16"/>
      <c r="K35" s="16"/>
      <c r="L35" s="16"/>
      <c r="M35" s="16">
        <v>14.62</v>
      </c>
      <c r="N35" s="17">
        <v>15</v>
      </c>
      <c r="O35" s="16"/>
      <c r="P35" s="16"/>
      <c r="Q35" s="16"/>
      <c r="R35" s="16"/>
      <c r="S35" s="16"/>
      <c r="T35" s="16"/>
      <c r="U35" s="18"/>
      <c r="V35" s="18"/>
      <c r="W35" s="18"/>
      <c r="X35" s="18">
        <v>13.22</v>
      </c>
      <c r="Y35" s="18"/>
      <c r="Z35" s="18"/>
      <c r="AA35" s="18"/>
      <c r="AB35" s="18"/>
      <c r="AC35" s="18"/>
    </row>
    <row r="36" spans="2:29" ht="15.75" customHeight="1">
      <c r="B36" s="29">
        <v>320100073</v>
      </c>
      <c r="C36" s="26" t="s">
        <v>49</v>
      </c>
      <c r="D36" s="27" t="s">
        <v>17</v>
      </c>
      <c r="F36" s="16"/>
      <c r="G36" s="16"/>
      <c r="H36" s="16"/>
      <c r="I36" s="16"/>
      <c r="J36" s="16"/>
      <c r="K36" s="16"/>
      <c r="L36" s="16"/>
      <c r="M36" s="16">
        <v>4.29</v>
      </c>
      <c r="N36" s="17">
        <v>4.4000000000000004</v>
      </c>
      <c r="O36" s="16"/>
      <c r="P36" s="16"/>
      <c r="Q36" s="16"/>
      <c r="R36" s="16"/>
      <c r="S36" s="16"/>
      <c r="T36" s="16"/>
      <c r="U36" s="18"/>
      <c r="V36" s="18"/>
      <c r="W36" s="18"/>
      <c r="X36" s="18">
        <v>3.35</v>
      </c>
      <c r="Y36" s="18"/>
      <c r="Z36" s="18"/>
      <c r="AA36" s="18"/>
      <c r="AB36" s="18"/>
      <c r="AC36" s="18"/>
    </row>
    <row r="37" spans="2:29" ht="15.75" customHeight="1">
      <c r="B37" s="575"/>
      <c r="C37" s="569"/>
      <c r="D37" s="570"/>
      <c r="F37" s="568"/>
      <c r="G37" s="569"/>
      <c r="H37" s="569"/>
      <c r="I37" s="569"/>
      <c r="J37" s="569"/>
      <c r="K37" s="569"/>
      <c r="L37" s="569"/>
      <c r="M37" s="569"/>
      <c r="N37" s="569"/>
      <c r="O37" s="569"/>
      <c r="P37" s="569"/>
      <c r="Q37" s="569"/>
      <c r="R37" s="569"/>
      <c r="S37" s="569"/>
      <c r="T37" s="569"/>
      <c r="U37" s="569"/>
      <c r="V37" s="569"/>
      <c r="W37" s="569"/>
      <c r="X37" s="569"/>
      <c r="Y37" s="569"/>
      <c r="Z37" s="569"/>
      <c r="AA37" s="569"/>
      <c r="AB37" s="569"/>
      <c r="AC37" s="570"/>
    </row>
    <row r="38" spans="2:29" ht="15.75" customHeight="1">
      <c r="B38" s="571">
        <v>32130001</v>
      </c>
      <c r="C38" s="26" t="s">
        <v>50</v>
      </c>
      <c r="D38" s="27" t="s">
        <v>17</v>
      </c>
      <c r="F38" s="16"/>
      <c r="G38" s="16"/>
      <c r="H38" s="16"/>
      <c r="I38" s="16">
        <v>121.27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8">
        <v>142</v>
      </c>
      <c r="V38" s="18"/>
      <c r="W38" s="18"/>
      <c r="X38" s="18"/>
      <c r="Y38" s="18"/>
      <c r="Z38" s="18"/>
      <c r="AA38" s="18">
        <v>143.68</v>
      </c>
      <c r="AB38" s="18"/>
      <c r="AC38" s="18"/>
    </row>
    <row r="39" spans="2:29" ht="15.75" customHeight="1">
      <c r="B39" s="573"/>
      <c r="C39" s="19" t="s">
        <v>51</v>
      </c>
      <c r="D39" s="20" t="s">
        <v>17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31">
        <v>28.25</v>
      </c>
      <c r="X39" s="18"/>
      <c r="Y39" s="18"/>
      <c r="Z39" s="18"/>
      <c r="AA39" s="18"/>
      <c r="AB39" s="18"/>
      <c r="AC39" s="18"/>
    </row>
    <row r="40" spans="2:29" ht="15.75" customHeight="1">
      <c r="B40" s="29">
        <v>322300022</v>
      </c>
      <c r="C40" s="26" t="s">
        <v>52</v>
      </c>
      <c r="D40" s="27" t="s">
        <v>17</v>
      </c>
      <c r="F40" s="16"/>
      <c r="G40" s="16">
        <v>47.04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8">
        <v>44.16</v>
      </c>
      <c r="V40" s="18"/>
      <c r="W40" s="18"/>
      <c r="X40" s="18">
        <v>48</v>
      </c>
      <c r="Y40" s="18"/>
      <c r="Z40" s="18"/>
      <c r="AA40" s="18"/>
      <c r="AB40" s="18"/>
      <c r="AC40" s="18"/>
    </row>
    <row r="41" spans="2:29" ht="15.75" customHeight="1">
      <c r="B41" s="32">
        <v>321500181</v>
      </c>
      <c r="C41" s="25" t="s">
        <v>53</v>
      </c>
      <c r="D41" s="27" t="s">
        <v>17</v>
      </c>
      <c r="F41" s="16"/>
      <c r="G41" s="16"/>
      <c r="H41" s="16"/>
      <c r="I41" s="16"/>
      <c r="J41" s="16">
        <v>5336.9</v>
      </c>
      <c r="K41" s="16"/>
      <c r="L41" s="16"/>
      <c r="M41" s="16"/>
      <c r="N41" s="17">
        <v>6050</v>
      </c>
      <c r="O41" s="16"/>
      <c r="P41" s="16"/>
      <c r="Q41" s="16"/>
      <c r="R41" s="16"/>
      <c r="S41" s="16"/>
      <c r="T41" s="16"/>
      <c r="U41" s="18"/>
      <c r="V41" s="18"/>
      <c r="W41" s="18"/>
      <c r="X41" s="18"/>
      <c r="Y41" s="18"/>
      <c r="Z41" s="18"/>
      <c r="AA41" s="18"/>
      <c r="AB41" s="18"/>
      <c r="AC41" s="18"/>
    </row>
    <row r="42" spans="2:29" ht="15.75" customHeight="1">
      <c r="B42" s="575" t="s">
        <v>54</v>
      </c>
      <c r="C42" s="569"/>
      <c r="D42" s="570"/>
      <c r="F42" s="568"/>
      <c r="G42" s="569"/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  <c r="AB42" s="569"/>
      <c r="AC42" s="570"/>
    </row>
    <row r="43" spans="2:29" ht="15.75" customHeight="1">
      <c r="B43" s="29">
        <v>321220013</v>
      </c>
      <c r="C43" s="33" t="s">
        <v>55</v>
      </c>
      <c r="D43" s="34" t="s">
        <v>15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2:29" ht="15.75" customHeight="1">
      <c r="B44" s="579"/>
      <c r="C44" s="569"/>
      <c r="D44" s="570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2:29" ht="15.75" customHeight="1">
      <c r="B45" s="29">
        <v>322300061</v>
      </c>
      <c r="C45" s="26" t="s">
        <v>56</v>
      </c>
      <c r="D45" s="27" t="s">
        <v>17</v>
      </c>
      <c r="F45" s="16"/>
      <c r="G45" s="16">
        <v>187.08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8"/>
      <c r="V45" s="18"/>
      <c r="W45" s="18"/>
      <c r="X45" s="18"/>
      <c r="Y45" s="18"/>
      <c r="Z45" s="18"/>
      <c r="AA45" s="18"/>
      <c r="AB45" s="18"/>
      <c r="AC45" s="18"/>
    </row>
    <row r="46" spans="2:29" ht="15.75" customHeight="1">
      <c r="B46" s="578"/>
      <c r="C46" s="569"/>
      <c r="D46" s="570"/>
      <c r="F46" s="568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69"/>
      <c r="X46" s="569"/>
      <c r="Y46" s="569"/>
      <c r="Z46" s="569"/>
      <c r="AA46" s="569"/>
      <c r="AB46" s="569"/>
      <c r="AC46" s="570"/>
    </row>
    <row r="47" spans="2:29" ht="15.75" customHeight="1">
      <c r="B47" s="32">
        <v>320300033</v>
      </c>
      <c r="C47" s="19" t="s">
        <v>57</v>
      </c>
      <c r="D47" s="20" t="s">
        <v>15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>
        <v>349.92</v>
      </c>
      <c r="S47" s="16"/>
      <c r="T47" s="16"/>
      <c r="U47" s="18"/>
      <c r="V47" s="18"/>
      <c r="W47" s="18"/>
      <c r="X47" s="18"/>
      <c r="Y47" s="18"/>
      <c r="Z47" s="18"/>
      <c r="AA47" s="18"/>
      <c r="AB47" s="18"/>
      <c r="AC47" s="18"/>
    </row>
    <row r="48" spans="2:29" ht="15.75" customHeight="1">
      <c r="B48" s="578"/>
      <c r="C48" s="569"/>
      <c r="D48" s="570"/>
      <c r="F48" s="568"/>
      <c r="G48" s="569"/>
      <c r="H48" s="569"/>
      <c r="I48" s="569"/>
      <c r="J48" s="569"/>
      <c r="K48" s="569"/>
      <c r="L48" s="569"/>
      <c r="M48" s="569"/>
      <c r="N48" s="569"/>
      <c r="O48" s="569"/>
      <c r="P48" s="569"/>
      <c r="Q48" s="569"/>
      <c r="R48" s="569"/>
      <c r="S48" s="569"/>
      <c r="T48" s="569"/>
      <c r="U48" s="569"/>
      <c r="V48" s="569"/>
      <c r="W48" s="569"/>
      <c r="X48" s="569"/>
      <c r="Y48" s="569"/>
      <c r="Z48" s="569"/>
      <c r="AA48" s="569"/>
      <c r="AB48" s="569"/>
      <c r="AC48" s="570"/>
    </row>
    <row r="49" spans="2:29" ht="15.75" customHeight="1">
      <c r="B49" s="13">
        <v>3207000511</v>
      </c>
      <c r="C49" s="14" t="s">
        <v>58</v>
      </c>
      <c r="D49" s="15" t="s">
        <v>17</v>
      </c>
      <c r="F49" s="16"/>
      <c r="G49" s="16"/>
      <c r="H49" s="17">
        <v>59.88</v>
      </c>
      <c r="I49" s="16"/>
      <c r="J49" s="16"/>
      <c r="K49" s="16"/>
      <c r="L49" s="16"/>
      <c r="M49" s="16"/>
      <c r="N49" s="16"/>
      <c r="O49" s="16"/>
      <c r="P49" s="16"/>
      <c r="Q49" s="16"/>
      <c r="R49" s="16">
        <v>16.18</v>
      </c>
      <c r="S49" s="16"/>
      <c r="T49" s="16"/>
      <c r="U49" s="18">
        <v>55.99</v>
      </c>
      <c r="V49" s="18"/>
      <c r="W49" s="18"/>
      <c r="X49" s="18"/>
      <c r="Y49" s="18"/>
      <c r="Z49" s="18"/>
      <c r="AA49" s="18"/>
      <c r="AB49" s="18"/>
      <c r="AC49" s="18"/>
    </row>
    <row r="50" spans="2:29" ht="15.75" customHeight="1">
      <c r="B50" s="578"/>
      <c r="C50" s="569"/>
      <c r="D50" s="570"/>
      <c r="F50" s="568"/>
      <c r="G50" s="569"/>
      <c r="H50" s="569"/>
      <c r="I50" s="569"/>
      <c r="J50" s="569"/>
      <c r="K50" s="569"/>
      <c r="L50" s="569"/>
      <c r="M50" s="569"/>
      <c r="N50" s="569"/>
      <c r="O50" s="569"/>
      <c r="P50" s="569"/>
      <c r="Q50" s="569"/>
      <c r="R50" s="569"/>
      <c r="S50" s="569"/>
      <c r="T50" s="569"/>
      <c r="U50" s="569"/>
      <c r="V50" s="569"/>
      <c r="W50" s="569"/>
      <c r="X50" s="569"/>
      <c r="Y50" s="569"/>
      <c r="Z50" s="569"/>
      <c r="AA50" s="569"/>
      <c r="AB50" s="569"/>
      <c r="AC50" s="570"/>
    </row>
    <row r="51" spans="2:29" ht="15.75" customHeight="1">
      <c r="B51" s="29">
        <v>321600012</v>
      </c>
      <c r="C51" s="26" t="s">
        <v>59</v>
      </c>
      <c r="D51" s="27" t="s">
        <v>17</v>
      </c>
      <c r="F51" s="16"/>
      <c r="G51" s="16"/>
      <c r="H51" s="16"/>
      <c r="I51" s="16"/>
      <c r="J51" s="16"/>
      <c r="K51" s="16"/>
      <c r="L51" s="16"/>
      <c r="M51" s="16"/>
      <c r="N51" s="17">
        <v>15.93</v>
      </c>
      <c r="O51" s="16"/>
      <c r="P51" s="16"/>
      <c r="Q51" s="16"/>
      <c r="R51" s="16"/>
      <c r="S51" s="16"/>
      <c r="T51" s="16"/>
      <c r="U51" s="18"/>
      <c r="V51" s="18"/>
      <c r="W51" s="18"/>
      <c r="X51" s="18"/>
      <c r="Y51" s="18"/>
      <c r="Z51" s="18"/>
      <c r="AA51" s="18">
        <v>16.75</v>
      </c>
      <c r="AB51" s="18"/>
      <c r="AC51" s="18"/>
    </row>
    <row r="52" spans="2:29" ht="15.75" customHeight="1">
      <c r="B52" s="578"/>
      <c r="C52" s="569"/>
      <c r="D52" s="570"/>
      <c r="F52" s="568"/>
      <c r="G52" s="569"/>
      <c r="H52" s="569"/>
      <c r="I52" s="569"/>
      <c r="J52" s="569"/>
      <c r="K52" s="569"/>
      <c r="L52" s="569"/>
      <c r="M52" s="569"/>
      <c r="N52" s="569"/>
      <c r="O52" s="569"/>
      <c r="P52" s="569"/>
      <c r="Q52" s="569"/>
      <c r="R52" s="569"/>
      <c r="S52" s="569"/>
      <c r="T52" s="569"/>
      <c r="U52" s="569"/>
      <c r="V52" s="569"/>
      <c r="W52" s="569"/>
      <c r="X52" s="569"/>
      <c r="Y52" s="569"/>
      <c r="Z52" s="569"/>
      <c r="AA52" s="569"/>
      <c r="AB52" s="569"/>
      <c r="AC52" s="570"/>
    </row>
    <row r="53" spans="2:29" ht="15.75" customHeight="1">
      <c r="B53" s="29">
        <v>320900071</v>
      </c>
      <c r="C53" s="26" t="s">
        <v>60</v>
      </c>
      <c r="D53" s="27" t="s">
        <v>15</v>
      </c>
      <c r="F53" s="16"/>
      <c r="G53" s="16"/>
      <c r="H53" s="16"/>
      <c r="I53" s="16"/>
      <c r="J53" s="16"/>
      <c r="K53" s="16"/>
      <c r="L53" s="16"/>
      <c r="M53" s="16"/>
      <c r="N53" s="17">
        <v>335</v>
      </c>
      <c r="O53" s="16"/>
      <c r="P53" s="16"/>
      <c r="Q53" s="16"/>
      <c r="R53" s="16"/>
      <c r="S53" s="16"/>
      <c r="T53" s="16"/>
      <c r="U53" s="18"/>
      <c r="V53" s="18"/>
      <c r="W53" s="18"/>
      <c r="X53" s="18"/>
      <c r="Y53" s="18"/>
      <c r="Z53" s="18"/>
      <c r="AA53" s="18"/>
      <c r="AB53" s="18"/>
      <c r="AC53" s="18"/>
    </row>
    <row r="54" spans="2:29" ht="15.75" customHeight="1">
      <c r="B54" s="575" t="s">
        <v>61</v>
      </c>
      <c r="C54" s="569"/>
      <c r="D54" s="570"/>
      <c r="F54" s="568"/>
      <c r="G54" s="569"/>
      <c r="H54" s="569"/>
      <c r="I54" s="569"/>
      <c r="J54" s="569"/>
      <c r="K54" s="569"/>
      <c r="L54" s="569"/>
      <c r="M54" s="569"/>
      <c r="N54" s="569"/>
      <c r="O54" s="569"/>
      <c r="P54" s="569"/>
      <c r="Q54" s="569"/>
      <c r="R54" s="569"/>
      <c r="S54" s="569"/>
      <c r="T54" s="569"/>
      <c r="U54" s="569"/>
      <c r="V54" s="569"/>
      <c r="W54" s="569"/>
      <c r="X54" s="569"/>
      <c r="Y54" s="569"/>
      <c r="Z54" s="569"/>
      <c r="AA54" s="569"/>
      <c r="AB54" s="569"/>
      <c r="AC54" s="570"/>
    </row>
    <row r="55" spans="2:29" ht="15.75" customHeight="1">
      <c r="B55" s="571">
        <v>32150002</v>
      </c>
      <c r="C55" s="26" t="s">
        <v>62</v>
      </c>
      <c r="D55" s="27" t="s">
        <v>63</v>
      </c>
      <c r="F55" s="16"/>
      <c r="G55" s="16"/>
      <c r="H55" s="16"/>
      <c r="I55" s="16"/>
      <c r="J55" s="16">
        <v>340.68</v>
      </c>
      <c r="K55" s="16"/>
      <c r="L55" s="16"/>
      <c r="M55" s="16"/>
      <c r="N55" s="17">
        <v>470</v>
      </c>
      <c r="O55" s="16"/>
      <c r="P55" s="16"/>
      <c r="Q55" s="16"/>
      <c r="R55" s="16"/>
      <c r="S55" s="16"/>
      <c r="T55" s="16"/>
      <c r="U55" s="18"/>
      <c r="V55" s="18"/>
      <c r="W55" s="18"/>
      <c r="X55" s="18"/>
      <c r="Y55" s="18"/>
      <c r="Z55" s="18"/>
      <c r="AA55" s="18"/>
      <c r="AB55" s="18"/>
      <c r="AC55" s="18"/>
    </row>
    <row r="56" spans="2:29" ht="15.75" customHeight="1">
      <c r="B56" s="573"/>
      <c r="C56" s="26" t="s">
        <v>64</v>
      </c>
      <c r="D56" s="27" t="s">
        <v>33</v>
      </c>
      <c r="F56" s="16"/>
      <c r="G56" s="16"/>
      <c r="H56" s="16"/>
      <c r="I56" s="16"/>
      <c r="J56" s="16">
        <v>316.77999999999997</v>
      </c>
      <c r="K56" s="16"/>
      <c r="L56" s="16"/>
      <c r="M56" s="16"/>
      <c r="N56" s="17">
        <v>415.36</v>
      </c>
      <c r="O56" s="16"/>
      <c r="P56" s="16"/>
      <c r="Q56" s="16"/>
      <c r="R56" s="16"/>
      <c r="S56" s="16"/>
      <c r="T56" s="16"/>
      <c r="U56" s="18"/>
      <c r="V56" s="18"/>
      <c r="W56" s="18"/>
      <c r="X56" s="18"/>
      <c r="Y56" s="18"/>
      <c r="Z56" s="18"/>
      <c r="AA56" s="18"/>
      <c r="AB56" s="18"/>
      <c r="AC56" s="18"/>
    </row>
    <row r="57" spans="2:29" ht="15.75" customHeight="1">
      <c r="B57" s="578"/>
      <c r="C57" s="569"/>
      <c r="D57" s="570"/>
      <c r="F57" s="568"/>
      <c r="G57" s="569"/>
      <c r="H57" s="569"/>
      <c r="I57" s="569"/>
      <c r="J57" s="569"/>
      <c r="K57" s="569"/>
      <c r="L57" s="569"/>
      <c r="M57" s="569"/>
      <c r="N57" s="569"/>
      <c r="O57" s="569"/>
      <c r="P57" s="569"/>
      <c r="Q57" s="569"/>
      <c r="R57" s="569"/>
      <c r="S57" s="569"/>
      <c r="T57" s="569"/>
      <c r="U57" s="569"/>
      <c r="V57" s="569"/>
      <c r="W57" s="569"/>
      <c r="X57" s="569"/>
      <c r="Y57" s="569"/>
      <c r="Z57" s="569"/>
      <c r="AA57" s="569"/>
      <c r="AB57" s="569"/>
      <c r="AC57" s="570"/>
    </row>
    <row r="58" spans="2:29" ht="15.75" customHeight="1">
      <c r="B58" s="29">
        <v>3212002017</v>
      </c>
      <c r="C58" s="30" t="s">
        <v>65</v>
      </c>
      <c r="D58" s="27" t="s">
        <v>15</v>
      </c>
      <c r="F58" s="16"/>
      <c r="G58" s="16"/>
      <c r="H58" s="16"/>
      <c r="I58" s="16"/>
      <c r="J58" s="16"/>
      <c r="K58" s="16"/>
      <c r="L58" s="16"/>
      <c r="M58" s="16"/>
      <c r="N58" s="17">
        <v>1501.22</v>
      </c>
      <c r="O58" s="16"/>
      <c r="P58" s="16"/>
      <c r="Q58" s="16"/>
      <c r="R58" s="16"/>
      <c r="S58" s="16"/>
      <c r="T58" s="16"/>
      <c r="U58" s="18"/>
      <c r="V58" s="18"/>
      <c r="W58" s="18"/>
      <c r="X58" s="18"/>
      <c r="Y58" s="18"/>
      <c r="Z58" s="18"/>
      <c r="AA58" s="18"/>
      <c r="AB58" s="18"/>
      <c r="AC58" s="18"/>
    </row>
    <row r="59" spans="2:29" ht="15.75" customHeight="1">
      <c r="B59" s="575" t="s">
        <v>66</v>
      </c>
      <c r="C59" s="569"/>
      <c r="D59" s="570"/>
      <c r="F59" s="568"/>
      <c r="G59" s="569"/>
      <c r="H59" s="569"/>
      <c r="I59" s="569"/>
      <c r="J59" s="569"/>
      <c r="K59" s="569"/>
      <c r="L59" s="569"/>
      <c r="M59" s="569"/>
      <c r="N59" s="569"/>
      <c r="O59" s="569"/>
      <c r="P59" s="569"/>
      <c r="Q59" s="569"/>
      <c r="R59" s="569"/>
      <c r="S59" s="569"/>
      <c r="T59" s="569"/>
      <c r="U59" s="569"/>
      <c r="V59" s="569"/>
      <c r="W59" s="569"/>
      <c r="X59" s="569"/>
      <c r="Y59" s="569"/>
      <c r="Z59" s="569"/>
      <c r="AA59" s="569"/>
      <c r="AB59" s="569"/>
      <c r="AC59" s="570"/>
    </row>
    <row r="60" spans="2:29" ht="15.75" customHeight="1">
      <c r="B60" s="13">
        <v>32220001</v>
      </c>
      <c r="C60" s="30" t="s">
        <v>67</v>
      </c>
      <c r="D60" s="15" t="s">
        <v>17</v>
      </c>
      <c r="F60" s="16">
        <v>1092</v>
      </c>
      <c r="G60" s="16">
        <v>1092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8"/>
      <c r="V60" s="18"/>
      <c r="W60" s="18"/>
      <c r="X60" s="18"/>
      <c r="Y60" s="18"/>
      <c r="Z60" s="18"/>
      <c r="AA60" s="18">
        <v>1108.18</v>
      </c>
      <c r="AB60" s="18"/>
      <c r="AC60" s="18"/>
    </row>
    <row r="61" spans="2:29" ht="15.75" customHeight="1">
      <c r="B61" s="578"/>
      <c r="C61" s="569"/>
      <c r="D61" s="570"/>
      <c r="F61" s="568"/>
      <c r="G61" s="569"/>
      <c r="H61" s="569"/>
      <c r="I61" s="569"/>
      <c r="J61" s="569"/>
      <c r="K61" s="569"/>
      <c r="L61" s="569"/>
      <c r="M61" s="569"/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69"/>
      <c r="Z61" s="569"/>
      <c r="AA61" s="569"/>
      <c r="AB61" s="569"/>
      <c r="AC61" s="570"/>
    </row>
    <row r="62" spans="2:29" ht="15.75" customHeight="1">
      <c r="B62" s="29">
        <v>321500041</v>
      </c>
      <c r="C62" s="26" t="s">
        <v>68</v>
      </c>
      <c r="D62" s="27" t="s">
        <v>15</v>
      </c>
      <c r="F62" s="16"/>
      <c r="G62" s="16"/>
      <c r="H62" s="16"/>
      <c r="I62" s="16"/>
      <c r="J62" s="16">
        <v>370.65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8"/>
      <c r="V62" s="18"/>
      <c r="W62" s="18"/>
      <c r="X62" s="18"/>
      <c r="Y62" s="18"/>
      <c r="Z62" s="18"/>
      <c r="AA62" s="18"/>
      <c r="AB62" s="18"/>
      <c r="AC62" s="18"/>
    </row>
    <row r="63" spans="2:29" ht="15.75" customHeight="1">
      <c r="B63" s="578"/>
      <c r="C63" s="569"/>
      <c r="D63" s="570"/>
      <c r="F63" s="568"/>
      <c r="G63" s="569"/>
      <c r="H63" s="569"/>
      <c r="I63" s="569"/>
      <c r="J63" s="569"/>
      <c r="K63" s="569"/>
      <c r="L63" s="569"/>
      <c r="M63" s="569"/>
      <c r="N63" s="569"/>
      <c r="O63" s="569"/>
      <c r="P63" s="569"/>
      <c r="Q63" s="569"/>
      <c r="R63" s="569"/>
      <c r="S63" s="569"/>
      <c r="T63" s="569"/>
      <c r="U63" s="569"/>
      <c r="V63" s="569"/>
      <c r="W63" s="569"/>
      <c r="X63" s="569"/>
      <c r="Y63" s="569"/>
      <c r="Z63" s="569"/>
      <c r="AA63" s="569"/>
      <c r="AB63" s="569"/>
      <c r="AC63" s="570"/>
    </row>
    <row r="64" spans="2:29" ht="15.75" customHeight="1">
      <c r="B64" s="35"/>
      <c r="C64" s="19" t="s">
        <v>69</v>
      </c>
      <c r="D64" s="19" t="s">
        <v>17</v>
      </c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>
        <v>202.65</v>
      </c>
      <c r="S64" s="36">
        <v>174.22</v>
      </c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spans="2:29" ht="15.75" customHeight="1">
      <c r="B65" s="35"/>
      <c r="C65" s="19" t="s">
        <v>70</v>
      </c>
      <c r="D65" s="19" t="s">
        <v>17</v>
      </c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>
        <v>211.98</v>
      </c>
      <c r="T65" s="37">
        <v>196.63</v>
      </c>
      <c r="U65" s="36"/>
      <c r="V65" s="36"/>
      <c r="W65" s="36"/>
      <c r="X65" s="36"/>
      <c r="Y65" s="36"/>
      <c r="Z65" s="37">
        <v>291.2</v>
      </c>
      <c r="AA65" s="36"/>
      <c r="AB65" s="36"/>
      <c r="AC65" s="36"/>
    </row>
    <row r="66" spans="2:29" ht="15.75" customHeight="1">
      <c r="B66" s="29">
        <v>3201000612</v>
      </c>
      <c r="C66" s="26" t="s">
        <v>71</v>
      </c>
      <c r="D66" s="27" t="s">
        <v>17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>
        <v>92.15</v>
      </c>
      <c r="S66" s="16"/>
      <c r="T66" s="16"/>
      <c r="U66" s="18"/>
      <c r="V66" s="18"/>
      <c r="W66" s="18"/>
      <c r="X66" s="18">
        <v>90.45</v>
      </c>
      <c r="Y66" s="18"/>
      <c r="Z66" s="18"/>
      <c r="AA66" s="18"/>
      <c r="AB66" s="18"/>
      <c r="AC66" s="18"/>
    </row>
    <row r="67" spans="2:29" ht="15.75" customHeight="1">
      <c r="B67" s="578"/>
      <c r="C67" s="569"/>
      <c r="D67" s="570"/>
      <c r="F67" s="568"/>
      <c r="G67" s="569"/>
      <c r="H67" s="569"/>
      <c r="I67" s="569"/>
      <c r="J67" s="569"/>
      <c r="K67" s="569"/>
      <c r="L67" s="569"/>
      <c r="M67" s="569"/>
      <c r="N67" s="569"/>
      <c r="O67" s="569"/>
      <c r="P67" s="569"/>
      <c r="Q67" s="569"/>
      <c r="R67" s="569"/>
      <c r="S67" s="569"/>
      <c r="T67" s="569"/>
      <c r="U67" s="569"/>
      <c r="V67" s="569"/>
      <c r="W67" s="569"/>
      <c r="X67" s="569"/>
      <c r="Y67" s="569"/>
      <c r="Z67" s="569"/>
      <c r="AA67" s="569"/>
      <c r="AB67" s="569"/>
      <c r="AC67" s="570"/>
    </row>
    <row r="68" spans="2:29" ht="15.75" customHeight="1">
      <c r="B68" s="29">
        <v>321500036</v>
      </c>
      <c r="C68" s="26" t="s">
        <v>72</v>
      </c>
      <c r="D68" s="27" t="s">
        <v>73</v>
      </c>
      <c r="F68" s="16"/>
      <c r="G68" s="16"/>
      <c r="H68" s="16"/>
      <c r="I68" s="16"/>
      <c r="J68" s="16">
        <v>1250</v>
      </c>
      <c r="K68" s="16"/>
      <c r="L68" s="16"/>
      <c r="M68" s="16"/>
      <c r="N68" s="17">
        <v>595.20000000000005</v>
      </c>
      <c r="O68" s="16"/>
      <c r="P68" s="16"/>
      <c r="Q68" s="16"/>
      <c r="R68" s="16"/>
      <c r="S68" s="16"/>
      <c r="T68" s="16"/>
      <c r="U68" s="18"/>
      <c r="V68" s="18"/>
      <c r="W68" s="18"/>
      <c r="X68" s="18"/>
      <c r="Y68" s="18"/>
      <c r="Z68" s="18"/>
      <c r="AA68" s="18">
        <v>671.17</v>
      </c>
      <c r="AB68" s="18"/>
      <c r="AC68" s="18"/>
    </row>
    <row r="69" spans="2:29" ht="15.75" customHeight="1">
      <c r="B69" s="575" t="s">
        <v>74</v>
      </c>
      <c r="C69" s="569"/>
      <c r="D69" s="570"/>
      <c r="F69" s="568"/>
      <c r="G69" s="569"/>
      <c r="H69" s="569"/>
      <c r="I69" s="569"/>
      <c r="J69" s="569"/>
      <c r="K69" s="569"/>
      <c r="L69" s="569"/>
      <c r="M69" s="569"/>
      <c r="N69" s="569"/>
      <c r="O69" s="569"/>
      <c r="P69" s="569"/>
      <c r="Q69" s="569"/>
      <c r="R69" s="569"/>
      <c r="S69" s="569"/>
      <c r="T69" s="569"/>
      <c r="U69" s="569"/>
      <c r="V69" s="569"/>
      <c r="W69" s="569"/>
      <c r="X69" s="569"/>
      <c r="Y69" s="569"/>
      <c r="Z69" s="569"/>
      <c r="AA69" s="569"/>
      <c r="AB69" s="569"/>
      <c r="AC69" s="570"/>
    </row>
    <row r="70" spans="2:29" ht="15.75" customHeight="1">
      <c r="B70" s="29">
        <v>32050001</v>
      </c>
      <c r="C70" s="26" t="s">
        <v>75</v>
      </c>
      <c r="D70" s="27" t="s">
        <v>17</v>
      </c>
      <c r="F70" s="16"/>
      <c r="G70" s="16"/>
      <c r="H70" s="17">
        <v>9.9600000000000009</v>
      </c>
      <c r="I70" s="16"/>
      <c r="J70" s="16"/>
      <c r="K70" s="16"/>
      <c r="L70" s="16"/>
      <c r="M70" s="16"/>
      <c r="N70" s="17">
        <v>8.6</v>
      </c>
      <c r="O70" s="16"/>
      <c r="P70" s="16"/>
      <c r="Q70" s="16"/>
      <c r="R70" s="16"/>
      <c r="S70" s="16">
        <v>8.5</v>
      </c>
      <c r="T70" s="16"/>
      <c r="U70" s="18"/>
      <c r="V70" s="18"/>
      <c r="W70" s="18"/>
      <c r="X70" s="18"/>
      <c r="Y70" s="18">
        <v>11.86</v>
      </c>
      <c r="Z70" s="18"/>
      <c r="AA70" s="18"/>
      <c r="AB70" s="18"/>
      <c r="AC70" s="18"/>
    </row>
    <row r="71" spans="2:29" ht="15.75" customHeight="1">
      <c r="B71" s="578"/>
      <c r="C71" s="569"/>
      <c r="D71" s="570"/>
      <c r="F71" s="568"/>
      <c r="G71" s="569"/>
      <c r="H71" s="569"/>
      <c r="I71" s="569"/>
      <c r="J71" s="569"/>
      <c r="K71" s="569"/>
      <c r="L71" s="569"/>
      <c r="M71" s="569"/>
      <c r="N71" s="569"/>
      <c r="O71" s="569"/>
      <c r="P71" s="569"/>
      <c r="Q71" s="569"/>
      <c r="R71" s="569"/>
      <c r="S71" s="569"/>
      <c r="T71" s="569"/>
      <c r="U71" s="569"/>
      <c r="V71" s="569"/>
      <c r="W71" s="569"/>
      <c r="X71" s="569"/>
      <c r="Y71" s="569"/>
      <c r="Z71" s="569"/>
      <c r="AA71" s="569"/>
      <c r="AB71" s="569"/>
      <c r="AC71" s="570"/>
    </row>
    <row r="72" spans="2:29" ht="15.75" customHeight="1">
      <c r="B72" s="13">
        <v>320700121</v>
      </c>
      <c r="C72" s="14" t="s">
        <v>76</v>
      </c>
      <c r="D72" s="15" t="s">
        <v>17</v>
      </c>
      <c r="F72" s="16">
        <v>114.56</v>
      </c>
      <c r="G72" s="16"/>
      <c r="H72" s="36"/>
      <c r="I72" s="16"/>
      <c r="J72" s="16"/>
      <c r="K72" s="16"/>
      <c r="L72" s="18"/>
      <c r="M72" s="16"/>
      <c r="N72" s="17">
        <v>99.8</v>
      </c>
      <c r="O72" s="16"/>
      <c r="P72" s="16"/>
      <c r="Q72" s="16"/>
      <c r="R72" s="16"/>
      <c r="S72" s="16"/>
      <c r="T72" s="16"/>
      <c r="U72" s="18"/>
      <c r="V72" s="18"/>
      <c r="W72" s="18"/>
      <c r="X72" s="18"/>
      <c r="Y72" s="18"/>
      <c r="Z72" s="18"/>
      <c r="AA72" s="18"/>
      <c r="AB72" s="18"/>
      <c r="AC72" s="18"/>
    </row>
    <row r="73" spans="2:29" ht="15.75" customHeight="1">
      <c r="B73" s="575" t="s">
        <v>77</v>
      </c>
      <c r="C73" s="569"/>
      <c r="D73" s="570"/>
      <c r="F73" s="568"/>
      <c r="G73" s="569"/>
      <c r="H73" s="569"/>
      <c r="I73" s="569"/>
      <c r="J73" s="569"/>
      <c r="K73" s="569"/>
      <c r="L73" s="569"/>
      <c r="M73" s="569"/>
      <c r="N73" s="569"/>
      <c r="O73" s="569"/>
      <c r="P73" s="569"/>
      <c r="Q73" s="569"/>
      <c r="R73" s="569"/>
      <c r="S73" s="569"/>
      <c r="T73" s="569"/>
      <c r="U73" s="569"/>
      <c r="V73" s="569"/>
      <c r="W73" s="569"/>
      <c r="X73" s="569"/>
      <c r="Y73" s="569"/>
      <c r="Z73" s="569"/>
      <c r="AA73" s="569"/>
      <c r="AB73" s="569"/>
      <c r="AC73" s="570"/>
    </row>
    <row r="74" spans="2:29" ht="15.75" customHeight="1">
      <c r="B74" s="571">
        <v>32160002</v>
      </c>
      <c r="C74" s="26" t="s">
        <v>78</v>
      </c>
      <c r="D74" s="27" t="s">
        <v>17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8"/>
      <c r="V74" s="18"/>
      <c r="W74" s="18"/>
      <c r="X74" s="18"/>
      <c r="Y74" s="18"/>
      <c r="Z74" s="18"/>
      <c r="AA74" s="18">
        <v>60.89</v>
      </c>
      <c r="AB74" s="18"/>
      <c r="AC74" s="18"/>
    </row>
    <row r="75" spans="2:29" ht="15.75" customHeight="1">
      <c r="B75" s="572"/>
      <c r="C75" s="26" t="s">
        <v>79</v>
      </c>
      <c r="D75" s="27" t="s">
        <v>17</v>
      </c>
      <c r="F75" s="16"/>
      <c r="G75" s="16">
        <v>84.61</v>
      </c>
      <c r="H75" s="16"/>
      <c r="I75" s="16"/>
      <c r="J75" s="16"/>
      <c r="K75" s="16"/>
      <c r="L75" s="16"/>
      <c r="M75" s="16"/>
      <c r="N75" s="17">
        <v>81</v>
      </c>
      <c r="O75" s="16"/>
      <c r="P75" s="16"/>
      <c r="Q75" s="16"/>
      <c r="R75" s="16"/>
      <c r="S75" s="16"/>
      <c r="T75" s="16"/>
      <c r="U75" s="18"/>
      <c r="V75" s="18"/>
      <c r="W75" s="18"/>
      <c r="X75" s="18"/>
      <c r="Y75" s="18"/>
      <c r="Z75" s="18"/>
      <c r="AA75" s="18">
        <v>68.19</v>
      </c>
      <c r="AB75" s="18"/>
      <c r="AC75" s="18"/>
    </row>
    <row r="76" spans="2:29" ht="15.75" customHeight="1">
      <c r="B76" s="573"/>
      <c r="C76" s="26" t="s">
        <v>80</v>
      </c>
      <c r="D76" s="27" t="s">
        <v>17</v>
      </c>
      <c r="F76" s="16"/>
      <c r="G76" s="16"/>
      <c r="H76" s="16"/>
      <c r="I76" s="16"/>
      <c r="J76" s="16"/>
      <c r="K76" s="16"/>
      <c r="L76" s="16"/>
      <c r="M76" s="16"/>
      <c r="N76" s="17">
        <v>74</v>
      </c>
      <c r="O76" s="16"/>
      <c r="P76" s="16"/>
      <c r="Q76" s="16"/>
      <c r="R76" s="16"/>
      <c r="S76" s="16">
        <v>74.099999999999994</v>
      </c>
      <c r="T76" s="16"/>
      <c r="U76" s="18"/>
      <c r="V76" s="18"/>
      <c r="W76" s="18"/>
      <c r="X76" s="18">
        <v>51.49</v>
      </c>
      <c r="Y76" s="18"/>
      <c r="Z76" s="18"/>
      <c r="AA76" s="18">
        <v>62.29</v>
      </c>
      <c r="AB76" s="18"/>
      <c r="AC76" s="18"/>
    </row>
    <row r="77" spans="2:29" ht="15.75" customHeight="1">
      <c r="B77" s="575"/>
      <c r="C77" s="569"/>
      <c r="D77" s="570"/>
      <c r="F77" s="568"/>
      <c r="G77" s="569"/>
      <c r="H77" s="569"/>
      <c r="I77" s="569"/>
      <c r="J77" s="569"/>
      <c r="K77" s="569"/>
      <c r="L77" s="569"/>
      <c r="M77" s="569"/>
      <c r="N77" s="569"/>
      <c r="O77" s="569"/>
      <c r="P77" s="569"/>
      <c r="Q77" s="569"/>
      <c r="R77" s="569"/>
      <c r="S77" s="569"/>
      <c r="T77" s="569"/>
      <c r="U77" s="569"/>
      <c r="V77" s="569"/>
      <c r="W77" s="569"/>
      <c r="X77" s="569"/>
      <c r="Y77" s="569"/>
      <c r="Z77" s="569"/>
      <c r="AA77" s="569"/>
      <c r="AB77" s="569"/>
      <c r="AC77" s="570"/>
    </row>
    <row r="78" spans="2:29" ht="15.75" customHeight="1">
      <c r="B78" s="32">
        <v>321200161</v>
      </c>
      <c r="C78" s="14" t="s">
        <v>81</v>
      </c>
      <c r="D78" s="15" t="s">
        <v>15</v>
      </c>
      <c r="F78" s="16"/>
      <c r="G78" s="16"/>
      <c r="H78" s="16"/>
      <c r="I78" s="16"/>
      <c r="J78" s="16"/>
      <c r="K78" s="16"/>
      <c r="L78" s="16"/>
      <c r="M78" s="16"/>
      <c r="N78" s="17">
        <v>180</v>
      </c>
      <c r="O78" s="16"/>
      <c r="P78" s="16"/>
      <c r="Q78" s="16"/>
      <c r="R78" s="16"/>
      <c r="S78" s="16">
        <v>176.09</v>
      </c>
      <c r="T78" s="16"/>
      <c r="U78" s="18"/>
      <c r="V78" s="18"/>
      <c r="W78" s="18"/>
      <c r="X78" s="18"/>
      <c r="Y78" s="18"/>
      <c r="Z78" s="18"/>
      <c r="AA78" s="18"/>
      <c r="AB78" s="18"/>
      <c r="AC78" s="18"/>
    </row>
    <row r="79" spans="2:29" ht="15.75" customHeight="1">
      <c r="B79" s="32">
        <v>321200172</v>
      </c>
      <c r="C79" s="14" t="s">
        <v>82</v>
      </c>
      <c r="D79" s="15" t="s">
        <v>15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31">
        <v>191.5</v>
      </c>
      <c r="X79" s="18"/>
      <c r="Y79" s="18"/>
      <c r="Z79" s="18"/>
      <c r="AA79" s="18"/>
      <c r="AB79" s="18"/>
      <c r="AC79" s="18"/>
    </row>
    <row r="80" spans="2:29" ht="15.75" customHeight="1">
      <c r="B80" s="575"/>
      <c r="C80" s="569"/>
      <c r="D80" s="570"/>
      <c r="F80" s="568"/>
      <c r="G80" s="569"/>
      <c r="H80" s="569"/>
      <c r="I80" s="569"/>
      <c r="J80" s="569"/>
      <c r="K80" s="569"/>
      <c r="L80" s="569"/>
      <c r="M80" s="569"/>
      <c r="N80" s="569"/>
      <c r="O80" s="569"/>
      <c r="P80" s="569"/>
      <c r="Q80" s="569"/>
      <c r="R80" s="569"/>
      <c r="S80" s="569"/>
      <c r="T80" s="569"/>
      <c r="U80" s="569"/>
      <c r="V80" s="569"/>
      <c r="W80" s="569"/>
      <c r="X80" s="569"/>
      <c r="Y80" s="569"/>
      <c r="Z80" s="569"/>
      <c r="AA80" s="569"/>
      <c r="AB80" s="569"/>
      <c r="AC80" s="570"/>
    </row>
    <row r="81" spans="2:29" ht="15.75" customHeight="1">
      <c r="B81" s="32">
        <v>321200192</v>
      </c>
      <c r="C81" s="33" t="s">
        <v>83</v>
      </c>
      <c r="D81" s="34" t="s">
        <v>17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 ht="15.75" customHeight="1">
      <c r="B82" s="575" t="s">
        <v>84</v>
      </c>
      <c r="C82" s="569"/>
      <c r="D82" s="570"/>
      <c r="F82" s="568"/>
      <c r="G82" s="569"/>
      <c r="H82" s="569"/>
      <c r="I82" s="569"/>
      <c r="J82" s="569"/>
      <c r="K82" s="569"/>
      <c r="L82" s="569"/>
      <c r="M82" s="569"/>
      <c r="N82" s="569"/>
      <c r="O82" s="569"/>
      <c r="P82" s="569"/>
      <c r="Q82" s="569"/>
      <c r="R82" s="569"/>
      <c r="S82" s="569"/>
      <c r="T82" s="569"/>
      <c r="U82" s="569"/>
      <c r="V82" s="569"/>
      <c r="W82" s="569"/>
      <c r="X82" s="569"/>
      <c r="Y82" s="569"/>
      <c r="Z82" s="569"/>
      <c r="AA82" s="569"/>
      <c r="AB82" s="569"/>
      <c r="AC82" s="570"/>
    </row>
    <row r="83" spans="2:29" ht="15.75" customHeight="1">
      <c r="B83" s="571">
        <v>32020003</v>
      </c>
      <c r="C83" s="26" t="s">
        <v>85</v>
      </c>
      <c r="D83" s="27" t="s">
        <v>86</v>
      </c>
      <c r="F83" s="16"/>
      <c r="G83" s="16"/>
      <c r="H83" s="16"/>
      <c r="I83" s="16"/>
      <c r="J83" s="16"/>
      <c r="K83" s="16"/>
      <c r="L83" s="16"/>
      <c r="M83" s="16"/>
      <c r="N83" s="17">
        <v>2577</v>
      </c>
      <c r="O83" s="16"/>
      <c r="P83" s="16"/>
      <c r="Q83" s="16"/>
      <c r="R83" s="16">
        <v>1048.49</v>
      </c>
      <c r="S83" s="16">
        <v>1236.69</v>
      </c>
      <c r="T83" s="16"/>
      <c r="U83" s="18"/>
      <c r="V83" s="18"/>
      <c r="W83" s="18"/>
      <c r="X83" s="18"/>
      <c r="Y83" s="18"/>
      <c r="Z83" s="18"/>
      <c r="AA83" s="18"/>
      <c r="AB83" s="18"/>
      <c r="AC83" s="18"/>
    </row>
    <row r="84" spans="2:29" ht="15.75" customHeight="1">
      <c r="B84" s="573"/>
      <c r="C84" s="26" t="s">
        <v>87</v>
      </c>
      <c r="D84" s="27" t="s">
        <v>88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8"/>
      <c r="V84" s="18"/>
      <c r="W84" s="18"/>
      <c r="X84" s="18"/>
      <c r="Y84" s="18"/>
      <c r="Z84" s="18"/>
      <c r="AA84" s="18">
        <v>11.58</v>
      </c>
      <c r="AB84" s="18"/>
      <c r="AC84" s="18"/>
    </row>
    <row r="85" spans="2:29" ht="15.75" customHeight="1">
      <c r="B85" s="32">
        <v>320200024</v>
      </c>
      <c r="C85" s="14" t="s">
        <v>89</v>
      </c>
      <c r="D85" s="15" t="s">
        <v>86</v>
      </c>
      <c r="F85" s="16"/>
      <c r="G85" s="16"/>
      <c r="H85" s="16"/>
      <c r="I85" s="16"/>
      <c r="J85" s="16">
        <v>2198</v>
      </c>
      <c r="K85" s="16"/>
      <c r="L85" s="16"/>
      <c r="M85" s="16"/>
      <c r="N85" s="17">
        <v>1566.98</v>
      </c>
      <c r="O85" s="16"/>
      <c r="P85" s="16"/>
      <c r="Q85" s="16"/>
      <c r="R85" s="16"/>
      <c r="S85" s="16"/>
      <c r="T85" s="16"/>
      <c r="U85" s="18"/>
      <c r="V85" s="18"/>
      <c r="W85" s="18"/>
      <c r="X85" s="18"/>
      <c r="Y85" s="18"/>
      <c r="Z85" s="18"/>
      <c r="AA85" s="18">
        <v>2193.8000000000002</v>
      </c>
      <c r="AB85" s="18"/>
      <c r="AC85" s="18"/>
    </row>
    <row r="86" spans="2:29" ht="15.75" customHeight="1">
      <c r="B86" s="575"/>
      <c r="C86" s="569"/>
      <c r="D86" s="570"/>
      <c r="F86" s="568"/>
      <c r="G86" s="569"/>
      <c r="H86" s="569"/>
      <c r="I86" s="569"/>
      <c r="J86" s="569"/>
      <c r="K86" s="569"/>
      <c r="L86" s="569"/>
      <c r="M86" s="569"/>
      <c r="N86" s="569"/>
      <c r="O86" s="569"/>
      <c r="P86" s="569"/>
      <c r="Q86" s="569"/>
      <c r="R86" s="569"/>
      <c r="S86" s="569"/>
      <c r="T86" s="569"/>
      <c r="U86" s="569"/>
      <c r="V86" s="569"/>
      <c r="W86" s="569"/>
      <c r="X86" s="569"/>
      <c r="Y86" s="569"/>
      <c r="Z86" s="569"/>
      <c r="AA86" s="569"/>
      <c r="AB86" s="569"/>
      <c r="AC86" s="570"/>
    </row>
    <row r="87" spans="2:29" ht="15.75" customHeight="1">
      <c r="B87" s="29">
        <v>320500026</v>
      </c>
      <c r="C87" s="26" t="s">
        <v>90</v>
      </c>
      <c r="D87" s="27" t="s">
        <v>91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>
        <v>182.39</v>
      </c>
      <c r="Q87" s="16"/>
      <c r="R87" s="16">
        <v>179.89</v>
      </c>
      <c r="S87" s="16"/>
      <c r="T87" s="16"/>
      <c r="U87" s="18"/>
      <c r="V87" s="18"/>
      <c r="W87" s="18"/>
      <c r="X87" s="18"/>
      <c r="Y87" s="18"/>
      <c r="Z87" s="18"/>
      <c r="AA87" s="18">
        <v>172.09</v>
      </c>
      <c r="AB87" s="18"/>
      <c r="AC87" s="18"/>
    </row>
    <row r="88" spans="2:29" ht="15.75" customHeight="1">
      <c r="B88" s="575" t="s">
        <v>92</v>
      </c>
      <c r="C88" s="569"/>
      <c r="D88" s="570"/>
      <c r="F88" s="568"/>
      <c r="G88" s="569"/>
      <c r="H88" s="569"/>
      <c r="I88" s="569"/>
      <c r="J88" s="569"/>
      <c r="K88" s="569"/>
      <c r="L88" s="569"/>
      <c r="M88" s="569"/>
      <c r="N88" s="569"/>
      <c r="O88" s="569"/>
      <c r="P88" s="569"/>
      <c r="Q88" s="569"/>
      <c r="R88" s="569"/>
      <c r="S88" s="569"/>
      <c r="T88" s="569"/>
      <c r="U88" s="569"/>
      <c r="V88" s="569"/>
      <c r="W88" s="569"/>
      <c r="X88" s="569"/>
      <c r="Y88" s="569"/>
      <c r="Z88" s="569"/>
      <c r="AA88" s="569"/>
      <c r="AB88" s="569"/>
      <c r="AC88" s="570"/>
    </row>
    <row r="89" spans="2:29" ht="15.75" customHeight="1">
      <c r="B89" s="32">
        <v>320100112</v>
      </c>
      <c r="C89" s="19" t="s">
        <v>93</v>
      </c>
      <c r="D89" s="20" t="s">
        <v>94</v>
      </c>
      <c r="F89" s="16"/>
      <c r="G89" s="16"/>
      <c r="H89" s="16"/>
      <c r="I89" s="16"/>
      <c r="J89" s="16"/>
      <c r="K89" s="16"/>
      <c r="L89" s="16">
        <v>389.62</v>
      </c>
      <c r="M89" s="16"/>
      <c r="N89" s="16"/>
      <c r="O89" s="16"/>
      <c r="P89" s="16"/>
      <c r="Q89" s="16"/>
      <c r="R89" s="16"/>
      <c r="S89" s="16"/>
      <c r="T89" s="16"/>
      <c r="U89" s="18">
        <v>409.41</v>
      </c>
      <c r="V89" s="18"/>
      <c r="W89" s="18"/>
      <c r="X89" s="18">
        <v>420.11</v>
      </c>
      <c r="Y89" s="18"/>
      <c r="Z89" s="18"/>
      <c r="AA89" s="18"/>
      <c r="AB89" s="18">
        <v>389.62</v>
      </c>
      <c r="AC89" s="18"/>
    </row>
    <row r="90" spans="2:29" ht="15.75" customHeight="1">
      <c r="B90" s="32">
        <v>320100123</v>
      </c>
      <c r="C90" s="19" t="s">
        <v>95</v>
      </c>
      <c r="D90" s="20" t="s">
        <v>96</v>
      </c>
      <c r="F90" s="16"/>
      <c r="G90" s="16"/>
      <c r="H90" s="16"/>
      <c r="I90" s="16"/>
      <c r="J90" s="16"/>
      <c r="K90" s="16"/>
      <c r="L90" s="16">
        <v>42.82</v>
      </c>
      <c r="M90" s="16"/>
      <c r="N90" s="16"/>
      <c r="O90" s="16"/>
      <c r="P90" s="16"/>
      <c r="Q90" s="16"/>
      <c r="R90" s="16">
        <v>35.32</v>
      </c>
      <c r="S90" s="16">
        <v>40.200000000000003</v>
      </c>
      <c r="T90" s="16"/>
      <c r="U90" s="18">
        <v>35.9</v>
      </c>
      <c r="V90" s="18"/>
      <c r="W90" s="18"/>
      <c r="X90" s="18"/>
      <c r="Y90" s="18">
        <v>36.04</v>
      </c>
      <c r="Z90" s="18"/>
      <c r="AA90" s="18"/>
      <c r="AB90" s="18"/>
      <c r="AC90" s="18"/>
    </row>
    <row r="91" spans="2:29" ht="15.75" customHeight="1">
      <c r="B91" s="32">
        <v>3201001710</v>
      </c>
      <c r="C91" s="19" t="s">
        <v>97</v>
      </c>
      <c r="D91" s="20" t="s">
        <v>94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31">
        <v>485</v>
      </c>
      <c r="X91" s="18"/>
      <c r="Y91" s="18"/>
      <c r="Z91" s="18"/>
      <c r="AA91" s="18"/>
      <c r="AB91" s="18"/>
      <c r="AC91" s="18"/>
    </row>
    <row r="92" spans="2:29" ht="15.75" customHeight="1">
      <c r="B92" s="575" t="s">
        <v>98</v>
      </c>
      <c r="C92" s="569"/>
      <c r="D92" s="570"/>
      <c r="F92" s="568"/>
      <c r="G92" s="569"/>
      <c r="H92" s="569"/>
      <c r="I92" s="569"/>
      <c r="J92" s="569"/>
      <c r="K92" s="569"/>
      <c r="L92" s="569"/>
      <c r="M92" s="569"/>
      <c r="N92" s="569"/>
      <c r="O92" s="569"/>
      <c r="P92" s="569"/>
      <c r="Q92" s="569"/>
      <c r="R92" s="569"/>
      <c r="S92" s="569"/>
      <c r="T92" s="569"/>
      <c r="U92" s="569"/>
      <c r="V92" s="569"/>
      <c r="W92" s="569"/>
      <c r="X92" s="569"/>
      <c r="Y92" s="569"/>
      <c r="Z92" s="569"/>
      <c r="AA92" s="569"/>
      <c r="AB92" s="569"/>
      <c r="AC92" s="570"/>
    </row>
    <row r="93" spans="2:29" ht="15.75" customHeight="1">
      <c r="B93" s="571">
        <v>32070006</v>
      </c>
      <c r="C93" s="30" t="s">
        <v>99</v>
      </c>
      <c r="D93" s="38" t="s">
        <v>15</v>
      </c>
      <c r="F93" s="16"/>
      <c r="G93" s="16"/>
      <c r="H93" s="16"/>
      <c r="I93" s="16"/>
      <c r="J93" s="16"/>
      <c r="K93" s="16"/>
      <c r="L93" s="16"/>
      <c r="M93" s="16"/>
      <c r="N93" s="17">
        <v>31.02</v>
      </c>
      <c r="O93" s="16"/>
      <c r="P93" s="16"/>
      <c r="Q93" s="16"/>
      <c r="R93" s="18"/>
      <c r="S93" s="18"/>
      <c r="T93" s="16"/>
      <c r="U93" s="18"/>
      <c r="V93" s="18"/>
      <c r="W93" s="18"/>
      <c r="X93" s="18"/>
      <c r="Y93" s="18"/>
      <c r="Z93" s="18"/>
      <c r="AA93" s="18"/>
      <c r="AB93" s="18"/>
      <c r="AC93" s="18"/>
    </row>
    <row r="94" spans="2:29" ht="15.75" customHeight="1">
      <c r="B94" s="572"/>
      <c r="C94" s="26" t="s">
        <v>100</v>
      </c>
      <c r="D94" s="27" t="s">
        <v>17</v>
      </c>
      <c r="F94" s="16">
        <v>23.48</v>
      </c>
      <c r="G94" s="16"/>
      <c r="H94" s="16"/>
      <c r="I94" s="16"/>
      <c r="J94" s="16"/>
      <c r="K94" s="16"/>
      <c r="L94" s="16"/>
      <c r="M94" s="16"/>
      <c r="N94" s="17">
        <v>20.61</v>
      </c>
      <c r="O94" s="16"/>
      <c r="P94" s="16">
        <v>32.15</v>
      </c>
      <c r="Q94" s="16"/>
      <c r="R94" s="16">
        <v>19.82</v>
      </c>
      <c r="S94" s="16">
        <v>19.829999999999998</v>
      </c>
      <c r="T94" s="16"/>
      <c r="U94" s="18"/>
      <c r="V94" s="18"/>
      <c r="W94" s="18"/>
      <c r="X94" s="18">
        <v>19.899999999999999</v>
      </c>
      <c r="Y94" s="18"/>
      <c r="Z94" s="18"/>
      <c r="AA94" s="18"/>
      <c r="AB94" s="18"/>
      <c r="AC94" s="18"/>
    </row>
    <row r="95" spans="2:29" ht="15.75" customHeight="1">
      <c r="B95" s="572"/>
      <c r="C95" s="26" t="s">
        <v>101</v>
      </c>
      <c r="D95" s="27" t="s">
        <v>17</v>
      </c>
      <c r="F95" s="16"/>
      <c r="G95" s="16">
        <v>58.13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8"/>
      <c r="V95" s="18"/>
      <c r="W95" s="18"/>
      <c r="X95" s="18"/>
      <c r="Y95" s="18"/>
      <c r="Z95" s="18"/>
      <c r="AA95" s="18"/>
      <c r="AB95" s="18"/>
      <c r="AC95" s="18"/>
    </row>
    <row r="96" spans="2:29" ht="15.75" customHeight="1">
      <c r="B96" s="572"/>
      <c r="C96" s="26" t="s">
        <v>102</v>
      </c>
      <c r="D96" s="27" t="s">
        <v>15</v>
      </c>
      <c r="F96" s="16"/>
      <c r="G96" s="16">
        <v>22.3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>
        <v>23.98</v>
      </c>
      <c r="T96" s="16"/>
      <c r="U96" s="18"/>
      <c r="V96" s="18"/>
      <c r="W96" s="18"/>
      <c r="X96" s="18"/>
      <c r="Y96" s="18">
        <v>17.91</v>
      </c>
      <c r="Z96" s="18"/>
      <c r="AA96" s="18"/>
      <c r="AB96" s="18"/>
      <c r="AC96" s="18"/>
    </row>
    <row r="97" spans="2:29" ht="15.75" customHeight="1">
      <c r="B97" s="573"/>
      <c r="C97" s="33" t="s">
        <v>103</v>
      </c>
      <c r="D97" s="34" t="s">
        <v>17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2:29" ht="15.75" customHeight="1">
      <c r="B98" s="39"/>
      <c r="C98" s="39"/>
      <c r="D98" s="39"/>
      <c r="F98" s="568"/>
      <c r="G98" s="569"/>
      <c r="H98" s="569"/>
      <c r="I98" s="569"/>
      <c r="J98" s="569"/>
      <c r="K98" s="569"/>
      <c r="L98" s="569"/>
      <c r="M98" s="569"/>
      <c r="N98" s="569"/>
      <c r="O98" s="569"/>
      <c r="P98" s="569"/>
      <c r="Q98" s="569"/>
      <c r="R98" s="569"/>
      <c r="S98" s="569"/>
      <c r="T98" s="569"/>
      <c r="U98" s="569"/>
      <c r="V98" s="569"/>
      <c r="W98" s="569"/>
      <c r="X98" s="569"/>
      <c r="Y98" s="569"/>
      <c r="Z98" s="569"/>
      <c r="AA98" s="569"/>
      <c r="AB98" s="569"/>
      <c r="AC98" s="570"/>
    </row>
    <row r="99" spans="2:29" ht="15.75" customHeight="1">
      <c r="B99" s="40">
        <v>321600081</v>
      </c>
      <c r="C99" s="33" t="s">
        <v>104</v>
      </c>
      <c r="D99" s="34" t="s">
        <v>17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2:29" ht="15.75" customHeight="1">
      <c r="B100" s="575" t="s">
        <v>105</v>
      </c>
      <c r="C100" s="569"/>
      <c r="D100" s="570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2:29" ht="15.75" customHeight="1">
      <c r="B101" s="32">
        <v>32030001</v>
      </c>
      <c r="C101" s="26" t="s">
        <v>106</v>
      </c>
      <c r="D101" s="27" t="s">
        <v>17</v>
      </c>
      <c r="F101" s="16"/>
      <c r="G101" s="16"/>
      <c r="H101" s="17">
        <v>5.5</v>
      </c>
      <c r="I101" s="16"/>
      <c r="J101" s="16"/>
      <c r="K101" s="16"/>
      <c r="L101" s="16"/>
      <c r="M101" s="16"/>
      <c r="N101" s="17">
        <v>5.5</v>
      </c>
      <c r="O101" s="16"/>
      <c r="P101" s="16">
        <v>4.7699999999999996</v>
      </c>
      <c r="Q101" s="16"/>
      <c r="R101" s="16">
        <v>4.97</v>
      </c>
      <c r="S101" s="16"/>
      <c r="T101" s="16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2:29" ht="15.75" customHeight="1">
      <c r="B102" s="578"/>
      <c r="C102" s="569"/>
      <c r="D102" s="570"/>
      <c r="F102" s="568"/>
      <c r="G102" s="569"/>
      <c r="H102" s="569"/>
      <c r="I102" s="569"/>
      <c r="J102" s="569"/>
      <c r="K102" s="569"/>
      <c r="L102" s="569"/>
      <c r="M102" s="569"/>
      <c r="N102" s="569"/>
      <c r="O102" s="569"/>
      <c r="P102" s="569"/>
      <c r="Q102" s="569"/>
      <c r="R102" s="569"/>
      <c r="S102" s="569"/>
      <c r="T102" s="569"/>
      <c r="U102" s="569"/>
      <c r="V102" s="569"/>
      <c r="W102" s="569"/>
      <c r="X102" s="569"/>
      <c r="Y102" s="569"/>
      <c r="Z102" s="569"/>
      <c r="AA102" s="569"/>
      <c r="AB102" s="569"/>
      <c r="AC102" s="570"/>
    </row>
    <row r="103" spans="2:29" ht="15.75" customHeight="1">
      <c r="B103" s="32">
        <v>321500154</v>
      </c>
      <c r="C103" s="14" t="s">
        <v>107</v>
      </c>
      <c r="D103" s="15" t="s">
        <v>15</v>
      </c>
      <c r="F103" s="16"/>
      <c r="G103" s="16"/>
      <c r="H103" s="16"/>
      <c r="I103" s="16"/>
      <c r="J103" s="16">
        <v>125.08</v>
      </c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2:29" ht="15.75" customHeight="1">
      <c r="B104" s="575" t="s">
        <v>108</v>
      </c>
      <c r="C104" s="569"/>
      <c r="D104" s="570"/>
      <c r="F104" s="568"/>
      <c r="G104" s="569"/>
      <c r="H104" s="569"/>
      <c r="I104" s="569"/>
      <c r="J104" s="569"/>
      <c r="K104" s="569"/>
      <c r="L104" s="569"/>
      <c r="M104" s="569"/>
      <c r="N104" s="569"/>
      <c r="O104" s="569"/>
      <c r="P104" s="569"/>
      <c r="Q104" s="569"/>
      <c r="R104" s="569"/>
      <c r="S104" s="569"/>
      <c r="T104" s="569"/>
      <c r="U104" s="569"/>
      <c r="V104" s="569"/>
      <c r="W104" s="569"/>
      <c r="X104" s="569"/>
      <c r="Y104" s="569"/>
      <c r="Z104" s="569"/>
      <c r="AA104" s="569"/>
      <c r="AB104" s="569"/>
      <c r="AC104" s="570"/>
    </row>
    <row r="105" spans="2:29" ht="15.75" customHeight="1">
      <c r="B105" s="577">
        <v>32070007</v>
      </c>
      <c r="C105" s="14" t="s">
        <v>109</v>
      </c>
      <c r="D105" s="15" t="s">
        <v>17</v>
      </c>
      <c r="F105" s="16">
        <v>4.75</v>
      </c>
      <c r="G105" s="16"/>
      <c r="H105" s="17">
        <v>4.4000000000000004</v>
      </c>
      <c r="I105" s="16"/>
      <c r="J105" s="16"/>
      <c r="K105" s="16"/>
      <c r="L105" s="16"/>
      <c r="M105" s="16"/>
      <c r="N105" s="17">
        <v>4.91</v>
      </c>
      <c r="O105" s="16"/>
      <c r="P105" s="16"/>
      <c r="Q105" s="16"/>
      <c r="R105" s="16">
        <v>4.07</v>
      </c>
      <c r="S105" s="16"/>
      <c r="T105" s="16"/>
      <c r="U105" s="18">
        <v>4.8</v>
      </c>
      <c r="V105" s="18"/>
      <c r="W105" s="18"/>
      <c r="X105" s="18"/>
      <c r="Y105" s="18"/>
      <c r="Z105" s="31">
        <v>5.19</v>
      </c>
      <c r="AA105" s="18"/>
      <c r="AB105" s="18">
        <v>4.28</v>
      </c>
      <c r="AC105" s="18"/>
    </row>
    <row r="106" spans="2:29" ht="15.75" customHeight="1">
      <c r="B106" s="572"/>
      <c r="C106" s="14" t="s">
        <v>110</v>
      </c>
      <c r="D106" s="15" t="s">
        <v>17</v>
      </c>
      <c r="F106" s="16">
        <v>6.59</v>
      </c>
      <c r="G106" s="16"/>
      <c r="H106" s="17">
        <v>5.98</v>
      </c>
      <c r="I106" s="16"/>
      <c r="J106" s="16"/>
      <c r="K106" s="16"/>
      <c r="L106" s="16"/>
      <c r="M106" s="16"/>
      <c r="N106" s="17">
        <v>7.2</v>
      </c>
      <c r="O106" s="16"/>
      <c r="P106" s="16">
        <v>5.89</v>
      </c>
      <c r="Q106" s="16"/>
      <c r="R106" s="16">
        <v>6.06</v>
      </c>
      <c r="S106" s="16">
        <v>6.51</v>
      </c>
      <c r="T106" s="16"/>
      <c r="U106" s="18">
        <v>5.89</v>
      </c>
      <c r="V106" s="18"/>
      <c r="W106" s="18"/>
      <c r="X106" s="18"/>
      <c r="Y106" s="18"/>
      <c r="Z106" s="18"/>
      <c r="AA106" s="18"/>
      <c r="AB106" s="18">
        <v>6.68</v>
      </c>
      <c r="AC106" s="18"/>
    </row>
    <row r="107" spans="2:29" ht="15.75" customHeight="1">
      <c r="B107" s="572"/>
      <c r="C107" s="14" t="s">
        <v>111</v>
      </c>
      <c r="D107" s="15" t="s">
        <v>17</v>
      </c>
      <c r="F107" s="16">
        <v>11.98</v>
      </c>
      <c r="G107" s="16"/>
      <c r="H107" s="17">
        <v>10</v>
      </c>
      <c r="I107" s="16"/>
      <c r="J107" s="16"/>
      <c r="K107" s="16"/>
      <c r="L107" s="16"/>
      <c r="M107" s="16"/>
      <c r="N107" s="17">
        <v>10.38</v>
      </c>
      <c r="O107" s="16"/>
      <c r="P107" s="16">
        <v>9.99</v>
      </c>
      <c r="Q107" s="16"/>
      <c r="R107" s="16">
        <v>10.36</v>
      </c>
      <c r="S107" s="16"/>
      <c r="T107" s="16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2:29" ht="15.75" customHeight="1">
      <c r="B108" s="572"/>
      <c r="C108" s="14" t="s">
        <v>112</v>
      </c>
      <c r="D108" s="15" t="s">
        <v>17</v>
      </c>
      <c r="F108" s="16">
        <v>27.42</v>
      </c>
      <c r="G108" s="16"/>
      <c r="H108" s="16"/>
      <c r="I108" s="16"/>
      <c r="J108" s="16"/>
      <c r="K108" s="16"/>
      <c r="L108" s="16"/>
      <c r="M108" s="16"/>
      <c r="N108" s="17">
        <v>25.9</v>
      </c>
      <c r="O108" s="16"/>
      <c r="P108" s="16">
        <v>23.5</v>
      </c>
      <c r="Q108" s="16"/>
      <c r="R108" s="16"/>
      <c r="S108" s="16">
        <v>25.05</v>
      </c>
      <c r="T108" s="16"/>
      <c r="U108" s="18">
        <v>29.9</v>
      </c>
      <c r="V108" s="18"/>
      <c r="W108" s="18"/>
      <c r="X108" s="18"/>
      <c r="Y108" s="18"/>
      <c r="Z108" s="18"/>
      <c r="AA108" s="18">
        <v>29.27</v>
      </c>
      <c r="AB108" s="18"/>
      <c r="AC108" s="18"/>
    </row>
    <row r="109" spans="2:29" ht="15.75" customHeight="1">
      <c r="B109" s="573"/>
      <c r="C109" s="14" t="s">
        <v>113</v>
      </c>
      <c r="D109" s="15" t="s">
        <v>17</v>
      </c>
      <c r="F109" s="16">
        <v>4.1100000000000003</v>
      </c>
      <c r="G109" s="16"/>
      <c r="H109" s="17">
        <v>4.7</v>
      </c>
      <c r="I109" s="16"/>
      <c r="J109" s="16"/>
      <c r="K109" s="16"/>
      <c r="L109" s="16"/>
      <c r="M109" s="16"/>
      <c r="N109" s="17">
        <v>4.5599999999999996</v>
      </c>
      <c r="O109" s="16"/>
      <c r="P109" s="16"/>
      <c r="Q109" s="16"/>
      <c r="R109" s="16">
        <v>3.69</v>
      </c>
      <c r="S109" s="16"/>
      <c r="T109" s="16"/>
      <c r="U109" s="18">
        <v>3.68</v>
      </c>
      <c r="V109" s="18"/>
      <c r="W109" s="18"/>
      <c r="X109" s="18"/>
      <c r="Y109" s="18"/>
      <c r="Z109" s="18"/>
      <c r="AA109" s="18"/>
      <c r="AB109" s="18"/>
      <c r="AC109" s="18"/>
    </row>
    <row r="110" spans="2:29" ht="15.75" customHeight="1">
      <c r="B110" s="575"/>
      <c r="C110" s="569"/>
      <c r="D110" s="570"/>
      <c r="F110" s="568"/>
      <c r="G110" s="569"/>
      <c r="H110" s="569"/>
      <c r="I110" s="569"/>
      <c r="J110" s="569"/>
      <c r="K110" s="569"/>
      <c r="L110" s="569"/>
      <c r="M110" s="569"/>
      <c r="N110" s="569"/>
      <c r="O110" s="569"/>
      <c r="P110" s="569"/>
      <c r="Q110" s="569"/>
      <c r="R110" s="569"/>
      <c r="S110" s="569"/>
      <c r="T110" s="569"/>
      <c r="U110" s="569"/>
      <c r="V110" s="569"/>
      <c r="W110" s="569"/>
      <c r="X110" s="569"/>
      <c r="Y110" s="569"/>
      <c r="Z110" s="569"/>
      <c r="AA110" s="569"/>
      <c r="AB110" s="569"/>
      <c r="AC110" s="570"/>
    </row>
    <row r="111" spans="2:29" ht="15.75" customHeight="1">
      <c r="B111" s="29">
        <v>321100011</v>
      </c>
      <c r="C111" s="26" t="s">
        <v>114</v>
      </c>
      <c r="D111" s="27" t="s">
        <v>17</v>
      </c>
      <c r="F111" s="16">
        <v>20.5</v>
      </c>
      <c r="G111" s="16">
        <v>18.97</v>
      </c>
      <c r="H111" s="16"/>
      <c r="I111" s="16"/>
      <c r="J111" s="16"/>
      <c r="K111" s="16"/>
      <c r="L111" s="16"/>
      <c r="M111" s="16"/>
      <c r="N111" s="17">
        <v>19.690000000000001</v>
      </c>
      <c r="O111" s="16"/>
      <c r="P111" s="16"/>
      <c r="Q111" s="16"/>
      <c r="R111" s="16"/>
      <c r="S111" s="16">
        <v>19.98</v>
      </c>
      <c r="T111" s="16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2:29" ht="15.75" customHeight="1">
      <c r="B112" s="575" t="s">
        <v>115</v>
      </c>
      <c r="C112" s="569"/>
      <c r="D112" s="570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2:29" ht="15.75" customHeight="1">
      <c r="B113" s="571">
        <v>32090019</v>
      </c>
      <c r="C113" s="33" t="s">
        <v>116</v>
      </c>
      <c r="D113" s="34" t="s">
        <v>15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2:29" ht="15.75" customHeight="1">
      <c r="B114" s="572"/>
      <c r="C114" s="26" t="s">
        <v>117</v>
      </c>
      <c r="D114" s="27" t="s">
        <v>15</v>
      </c>
      <c r="F114" s="16"/>
      <c r="G114" s="16">
        <v>229.88</v>
      </c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8"/>
      <c r="V114" s="18"/>
      <c r="W114" s="18"/>
      <c r="X114" s="18">
        <v>224.37</v>
      </c>
      <c r="Y114" s="18"/>
      <c r="Z114" s="18"/>
      <c r="AA114" s="18"/>
      <c r="AB114" s="18"/>
      <c r="AC114" s="18"/>
    </row>
    <row r="115" spans="2:29" ht="15.75" customHeight="1">
      <c r="B115" s="573"/>
      <c r="C115" s="26" t="s">
        <v>118</v>
      </c>
      <c r="D115" s="27" t="s">
        <v>15</v>
      </c>
      <c r="F115" s="16"/>
      <c r="G115" s="16"/>
      <c r="H115" s="16"/>
      <c r="I115" s="16"/>
      <c r="J115" s="16"/>
      <c r="K115" s="16"/>
      <c r="L115" s="16"/>
      <c r="M115" s="16"/>
      <c r="N115" s="17">
        <v>293.01</v>
      </c>
      <c r="O115" s="16"/>
      <c r="P115" s="16"/>
      <c r="Q115" s="16"/>
      <c r="R115" s="16"/>
      <c r="S115" s="16"/>
      <c r="T115" s="16"/>
      <c r="U115" s="18"/>
      <c r="V115" s="18"/>
      <c r="W115" s="18"/>
      <c r="X115" s="18">
        <v>261.54000000000002</v>
      </c>
      <c r="Y115" s="18"/>
      <c r="Z115" s="18"/>
      <c r="AA115" s="18"/>
      <c r="AB115" s="18"/>
      <c r="AC115" s="18"/>
    </row>
    <row r="116" spans="2:29" ht="15.75" customHeight="1">
      <c r="B116" s="580">
        <v>32120004</v>
      </c>
      <c r="C116" s="26" t="s">
        <v>119</v>
      </c>
      <c r="D116" s="27" t="s">
        <v>17</v>
      </c>
      <c r="F116" s="16">
        <v>51.98</v>
      </c>
      <c r="G116" s="16">
        <v>56.39</v>
      </c>
      <c r="H116" s="16"/>
      <c r="I116" s="16"/>
      <c r="J116" s="16"/>
      <c r="K116" s="16"/>
      <c r="L116" s="16"/>
      <c r="M116" s="16"/>
      <c r="N116" s="17">
        <v>61</v>
      </c>
      <c r="O116" s="16"/>
      <c r="P116" s="16"/>
      <c r="Q116" s="16"/>
      <c r="R116" s="16"/>
      <c r="S116" s="16">
        <v>56.42</v>
      </c>
      <c r="T116" s="16"/>
      <c r="U116" s="18"/>
      <c r="V116" s="18"/>
      <c r="W116" s="18"/>
      <c r="X116" s="18"/>
      <c r="Y116" s="18"/>
      <c r="Z116" s="18"/>
      <c r="AA116" s="18"/>
      <c r="AB116" s="18"/>
      <c r="AC116" s="18"/>
    </row>
    <row r="117" spans="2:29" ht="15.75" customHeight="1">
      <c r="B117" s="573"/>
      <c r="C117" s="30" t="s">
        <v>120</v>
      </c>
      <c r="D117" s="38" t="s">
        <v>17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>
        <v>61</v>
      </c>
      <c r="S117" s="16"/>
      <c r="T117" s="16"/>
      <c r="U117" s="18"/>
      <c r="V117" s="18"/>
      <c r="W117" s="18"/>
      <c r="X117" s="18"/>
      <c r="Y117" s="18"/>
      <c r="Z117" s="18"/>
      <c r="AA117" s="18"/>
      <c r="AB117" s="18"/>
      <c r="AC117" s="18"/>
    </row>
    <row r="118" spans="2:29" ht="15.75" customHeight="1">
      <c r="B118" s="577">
        <v>32120005</v>
      </c>
      <c r="C118" s="14" t="s">
        <v>121</v>
      </c>
      <c r="D118" s="15" t="s">
        <v>17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>
        <v>120.51</v>
      </c>
      <c r="Q118" s="16"/>
      <c r="R118" s="16"/>
      <c r="S118" s="16"/>
      <c r="T118" s="16"/>
      <c r="U118" s="18"/>
      <c r="V118" s="18"/>
      <c r="W118" s="18"/>
      <c r="X118" s="18">
        <v>134.44999999999999</v>
      </c>
      <c r="Y118" s="18"/>
      <c r="Z118" s="18"/>
      <c r="AA118" s="18"/>
      <c r="AB118" s="18"/>
      <c r="AC118" s="18"/>
    </row>
    <row r="119" spans="2:29" ht="15.75" customHeight="1">
      <c r="B119" s="572"/>
      <c r="C119" s="33" t="s">
        <v>122</v>
      </c>
      <c r="D119" s="34" t="s">
        <v>123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2:29" ht="15.75" customHeight="1">
      <c r="B120" s="572"/>
      <c r="C120" s="33" t="s">
        <v>124</v>
      </c>
      <c r="D120" s="34" t="s">
        <v>123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2:29" ht="15.75" customHeight="1">
      <c r="B121" s="573"/>
      <c r="C121" s="14" t="s">
        <v>125</v>
      </c>
      <c r="D121" s="15" t="s">
        <v>17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31">
        <v>116.99</v>
      </c>
      <c r="AA121" s="18"/>
      <c r="AB121" s="18"/>
      <c r="AC121" s="18"/>
    </row>
    <row r="122" spans="2:29" ht="15.75" customHeight="1">
      <c r="B122" s="575" t="s">
        <v>126</v>
      </c>
      <c r="C122" s="569"/>
      <c r="D122" s="570"/>
      <c r="F122" s="568"/>
      <c r="G122" s="569"/>
      <c r="H122" s="569"/>
      <c r="I122" s="569"/>
      <c r="J122" s="569"/>
      <c r="K122" s="569"/>
      <c r="L122" s="569"/>
      <c r="M122" s="569"/>
      <c r="N122" s="569"/>
      <c r="O122" s="569"/>
      <c r="P122" s="569"/>
      <c r="Q122" s="569"/>
      <c r="R122" s="569"/>
      <c r="S122" s="569"/>
      <c r="T122" s="569"/>
      <c r="U122" s="569"/>
      <c r="V122" s="569"/>
      <c r="W122" s="569"/>
      <c r="X122" s="569"/>
      <c r="Y122" s="569"/>
      <c r="Z122" s="569"/>
      <c r="AA122" s="569"/>
      <c r="AB122" s="569"/>
      <c r="AC122" s="570"/>
    </row>
    <row r="123" spans="2:29" ht="15.75" customHeight="1">
      <c r="B123" s="32">
        <v>32120011</v>
      </c>
      <c r="C123" s="14" t="s">
        <v>127</v>
      </c>
      <c r="D123" s="15" t="s">
        <v>17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>
        <v>122.1</v>
      </c>
      <c r="S123" s="16"/>
      <c r="T123" s="16"/>
      <c r="U123" s="18"/>
      <c r="V123" s="18"/>
      <c r="W123" s="18"/>
      <c r="X123" s="18"/>
      <c r="Y123" s="18"/>
      <c r="Z123" s="18"/>
      <c r="AA123" s="18">
        <v>106.69</v>
      </c>
      <c r="AB123" s="18"/>
      <c r="AC123" s="18"/>
    </row>
    <row r="124" spans="2:29" ht="15.75" customHeight="1">
      <c r="B124" s="575" t="s">
        <v>128</v>
      </c>
      <c r="C124" s="569"/>
      <c r="D124" s="570"/>
      <c r="F124" s="568"/>
      <c r="G124" s="569"/>
      <c r="H124" s="569"/>
      <c r="I124" s="569"/>
      <c r="J124" s="569"/>
      <c r="K124" s="569"/>
      <c r="L124" s="569"/>
      <c r="M124" s="569"/>
      <c r="N124" s="569"/>
      <c r="O124" s="569"/>
      <c r="P124" s="569"/>
      <c r="Q124" s="569"/>
      <c r="R124" s="569"/>
      <c r="S124" s="569"/>
      <c r="T124" s="569"/>
      <c r="U124" s="569"/>
      <c r="V124" s="569"/>
      <c r="W124" s="569"/>
      <c r="X124" s="569"/>
      <c r="Y124" s="569"/>
      <c r="Z124" s="569"/>
      <c r="AA124" s="569"/>
      <c r="AB124" s="569"/>
      <c r="AC124" s="570"/>
    </row>
    <row r="125" spans="2:29" ht="15.75" customHeight="1">
      <c r="B125" s="571">
        <v>32080004</v>
      </c>
      <c r="C125" s="26" t="s">
        <v>129</v>
      </c>
      <c r="D125" s="27" t="s">
        <v>17</v>
      </c>
      <c r="F125" s="16"/>
      <c r="G125" s="16"/>
      <c r="H125" s="16"/>
      <c r="I125" s="16"/>
      <c r="J125" s="16"/>
      <c r="K125" s="16"/>
      <c r="L125" s="16"/>
      <c r="M125" s="16"/>
      <c r="N125" s="17">
        <v>111.04</v>
      </c>
      <c r="O125" s="16"/>
      <c r="P125" s="16"/>
      <c r="Q125" s="16"/>
      <c r="R125" s="16"/>
      <c r="S125" s="16">
        <v>259</v>
      </c>
      <c r="T125" s="16"/>
      <c r="U125" s="18">
        <v>138.53</v>
      </c>
      <c r="V125" s="18"/>
      <c r="W125" s="18"/>
      <c r="X125" s="18"/>
      <c r="Y125" s="18"/>
      <c r="Z125" s="18"/>
      <c r="AA125" s="18">
        <v>84.12</v>
      </c>
      <c r="AB125" s="18"/>
      <c r="AC125" s="18"/>
    </row>
    <row r="126" spans="2:29" ht="15.75" customHeight="1">
      <c r="B126" s="572"/>
      <c r="C126" s="26" t="s">
        <v>130</v>
      </c>
      <c r="D126" s="27" t="s">
        <v>17</v>
      </c>
      <c r="F126" s="16"/>
      <c r="G126" s="16"/>
      <c r="H126" s="16"/>
      <c r="I126" s="16"/>
      <c r="J126" s="16"/>
      <c r="K126" s="16"/>
      <c r="L126" s="16"/>
      <c r="M126" s="16"/>
      <c r="N126" s="17">
        <v>111.04</v>
      </c>
      <c r="O126" s="16"/>
      <c r="P126" s="16"/>
      <c r="Q126" s="16"/>
      <c r="R126" s="16"/>
      <c r="S126" s="16"/>
      <c r="T126" s="16"/>
      <c r="U126" s="18">
        <v>138.53</v>
      </c>
      <c r="V126" s="18"/>
      <c r="W126" s="18"/>
      <c r="X126" s="18"/>
      <c r="Y126" s="18"/>
      <c r="Z126" s="18"/>
      <c r="AA126" s="18">
        <v>84.12</v>
      </c>
      <c r="AB126" s="18"/>
      <c r="AC126" s="18"/>
    </row>
    <row r="127" spans="2:29" ht="15.75" customHeight="1">
      <c r="B127" s="573"/>
      <c r="C127" s="26" t="s">
        <v>131</v>
      </c>
      <c r="D127" s="27" t="s">
        <v>17</v>
      </c>
      <c r="F127" s="16"/>
      <c r="G127" s="16"/>
      <c r="H127" s="17">
        <v>78.599999999999994</v>
      </c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>
        <v>164</v>
      </c>
      <c r="T127" s="16"/>
      <c r="U127" s="18"/>
      <c r="V127" s="18"/>
      <c r="W127" s="18"/>
      <c r="X127" s="18"/>
      <c r="Y127" s="18"/>
      <c r="Z127" s="18"/>
      <c r="AA127" s="18">
        <v>84.12</v>
      </c>
      <c r="AB127" s="18"/>
      <c r="AC127" s="18"/>
    </row>
    <row r="128" spans="2:29" ht="15.75" customHeight="1">
      <c r="B128" s="32">
        <v>320800057</v>
      </c>
      <c r="C128" s="19" t="s">
        <v>132</v>
      </c>
      <c r="D128" s="20" t="s">
        <v>17</v>
      </c>
      <c r="F128" s="16"/>
      <c r="G128" s="16"/>
      <c r="H128" s="17">
        <v>118.12</v>
      </c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8"/>
      <c r="V128" s="18"/>
      <c r="W128" s="18"/>
      <c r="X128" s="18"/>
      <c r="Y128" s="18"/>
      <c r="Z128" s="18"/>
      <c r="AA128" s="18"/>
      <c r="AB128" s="18"/>
      <c r="AC128" s="18"/>
    </row>
    <row r="129" spans="2:29" ht="15.75" customHeight="1">
      <c r="B129" s="575"/>
      <c r="C129" s="569"/>
      <c r="D129" s="570"/>
      <c r="F129" s="568"/>
      <c r="G129" s="569"/>
      <c r="H129" s="569"/>
      <c r="I129" s="569"/>
      <c r="J129" s="569"/>
      <c r="K129" s="569"/>
      <c r="L129" s="569"/>
      <c r="M129" s="569"/>
      <c r="N129" s="569"/>
      <c r="O129" s="569"/>
      <c r="P129" s="569"/>
      <c r="Q129" s="569"/>
      <c r="R129" s="569"/>
      <c r="S129" s="569"/>
      <c r="T129" s="569"/>
      <c r="U129" s="569"/>
      <c r="V129" s="569"/>
      <c r="W129" s="569"/>
      <c r="X129" s="569"/>
      <c r="Y129" s="569"/>
      <c r="Z129" s="569"/>
      <c r="AA129" s="569"/>
      <c r="AB129" s="569"/>
      <c r="AC129" s="570"/>
    </row>
    <row r="130" spans="2:29" ht="15.75" customHeight="1">
      <c r="B130" s="29">
        <v>320900102</v>
      </c>
      <c r="C130" s="26" t="s">
        <v>133</v>
      </c>
      <c r="D130" s="27" t="s">
        <v>15</v>
      </c>
      <c r="F130" s="16"/>
      <c r="G130" s="16"/>
      <c r="H130" s="16"/>
      <c r="I130" s="16"/>
      <c r="J130" s="16"/>
      <c r="K130" s="16"/>
      <c r="L130" s="16"/>
      <c r="M130" s="16"/>
      <c r="N130" s="17">
        <v>129.6</v>
      </c>
      <c r="O130" s="16"/>
      <c r="P130" s="16"/>
      <c r="Q130" s="16"/>
      <c r="R130" s="16"/>
      <c r="S130" s="16"/>
      <c r="T130" s="16"/>
      <c r="U130" s="18"/>
      <c r="V130" s="18"/>
      <c r="W130" s="18"/>
      <c r="X130" s="18"/>
      <c r="Y130" s="18"/>
      <c r="Z130" s="18"/>
      <c r="AA130" s="18"/>
      <c r="AB130" s="18"/>
      <c r="AC130" s="18"/>
    </row>
    <row r="131" spans="2:29" ht="15.75" customHeight="1">
      <c r="B131" s="575" t="s">
        <v>134</v>
      </c>
      <c r="C131" s="569"/>
      <c r="D131" s="570"/>
      <c r="F131" s="568"/>
      <c r="G131" s="569"/>
      <c r="H131" s="569"/>
      <c r="I131" s="569"/>
      <c r="J131" s="569"/>
      <c r="K131" s="569"/>
      <c r="L131" s="569"/>
      <c r="M131" s="569"/>
      <c r="N131" s="569"/>
      <c r="O131" s="569"/>
      <c r="P131" s="569"/>
      <c r="Q131" s="569"/>
      <c r="R131" s="569"/>
      <c r="S131" s="569"/>
      <c r="T131" s="569"/>
      <c r="U131" s="569"/>
      <c r="V131" s="569"/>
      <c r="W131" s="569"/>
      <c r="X131" s="569"/>
      <c r="Y131" s="569"/>
      <c r="Z131" s="569"/>
      <c r="AA131" s="569"/>
      <c r="AB131" s="569"/>
      <c r="AC131" s="570"/>
    </row>
    <row r="132" spans="2:29" ht="15.75" customHeight="1">
      <c r="B132" s="29">
        <v>320900135</v>
      </c>
      <c r="C132" s="26" t="s">
        <v>135</v>
      </c>
      <c r="D132" s="27" t="s">
        <v>17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8"/>
      <c r="V132" s="18"/>
      <c r="W132" s="18"/>
      <c r="X132" s="18">
        <v>30.74</v>
      </c>
      <c r="Y132" s="18"/>
      <c r="Z132" s="18"/>
      <c r="AA132" s="18"/>
      <c r="AB132" s="18">
        <v>24.88</v>
      </c>
      <c r="AC132" s="18"/>
    </row>
    <row r="133" spans="2:29" ht="15.75" customHeight="1">
      <c r="B133" s="29">
        <v>320900131</v>
      </c>
      <c r="C133" s="26" t="s">
        <v>136</v>
      </c>
      <c r="D133" s="27" t="s">
        <v>17</v>
      </c>
      <c r="F133" s="16"/>
      <c r="G133" s="16">
        <v>22.67</v>
      </c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>
        <v>25.68</v>
      </c>
      <c r="T133" s="16"/>
      <c r="U133" s="18"/>
      <c r="V133" s="18"/>
      <c r="W133" s="18"/>
      <c r="X133" s="18"/>
      <c r="Y133" s="18"/>
      <c r="Z133" s="18"/>
      <c r="AA133" s="18"/>
      <c r="AB133" s="18">
        <v>22.99</v>
      </c>
      <c r="AC133" s="18"/>
    </row>
    <row r="134" spans="2:29" ht="15.75" customHeight="1">
      <c r="B134" s="575"/>
      <c r="C134" s="569"/>
      <c r="D134" s="570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8"/>
      <c r="V134" s="18"/>
      <c r="W134" s="18"/>
      <c r="X134" s="18"/>
      <c r="Y134" s="18"/>
      <c r="Z134" s="18"/>
      <c r="AA134" s="18"/>
      <c r="AB134" s="18"/>
      <c r="AC134" s="18"/>
    </row>
    <row r="135" spans="2:29" ht="15.75" customHeight="1">
      <c r="B135" s="29">
        <v>320900212</v>
      </c>
      <c r="C135" s="26" t="s">
        <v>137</v>
      </c>
      <c r="D135" s="27" t="s">
        <v>15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>
        <v>12.75</v>
      </c>
      <c r="S135" s="16"/>
      <c r="T135" s="16"/>
      <c r="U135" s="18"/>
      <c r="V135" s="18"/>
      <c r="W135" s="18"/>
      <c r="X135" s="18"/>
      <c r="Y135" s="18"/>
      <c r="Z135" s="18"/>
      <c r="AA135" s="18"/>
      <c r="AB135" s="18"/>
      <c r="AC135" s="18"/>
    </row>
    <row r="136" spans="2:29" ht="15.75" customHeight="1">
      <c r="B136" s="575"/>
      <c r="C136" s="569"/>
      <c r="D136" s="570"/>
      <c r="F136" s="568"/>
      <c r="G136" s="569"/>
      <c r="H136" s="569"/>
      <c r="I136" s="569"/>
      <c r="J136" s="569"/>
      <c r="K136" s="569"/>
      <c r="L136" s="569"/>
      <c r="M136" s="569"/>
      <c r="N136" s="569"/>
      <c r="O136" s="569"/>
      <c r="P136" s="569"/>
      <c r="Q136" s="569"/>
      <c r="R136" s="569"/>
      <c r="S136" s="569"/>
      <c r="T136" s="569"/>
      <c r="U136" s="569"/>
      <c r="V136" s="569"/>
      <c r="W136" s="569"/>
      <c r="X136" s="569"/>
      <c r="Y136" s="569"/>
      <c r="Z136" s="569"/>
      <c r="AA136" s="569"/>
      <c r="AB136" s="569"/>
      <c r="AC136" s="570"/>
    </row>
    <row r="137" spans="2:29" ht="15.75" customHeight="1">
      <c r="B137" s="29">
        <v>320500044</v>
      </c>
      <c r="C137" s="26" t="s">
        <v>138</v>
      </c>
      <c r="D137" s="27" t="s">
        <v>63</v>
      </c>
      <c r="F137" s="16"/>
      <c r="G137" s="16"/>
      <c r="H137" s="16"/>
      <c r="I137" s="16"/>
      <c r="J137" s="16"/>
      <c r="K137" s="16"/>
      <c r="L137" s="16"/>
      <c r="M137" s="16"/>
      <c r="N137" s="17">
        <v>125.48</v>
      </c>
      <c r="O137" s="16"/>
      <c r="P137" s="16"/>
      <c r="Q137" s="16"/>
      <c r="R137" s="16"/>
      <c r="S137" s="16"/>
      <c r="T137" s="16"/>
      <c r="U137" s="18"/>
      <c r="V137" s="18"/>
      <c r="W137" s="18"/>
      <c r="X137" s="18"/>
      <c r="Y137" s="18"/>
      <c r="Z137" s="18"/>
      <c r="AA137" s="18">
        <v>107.95</v>
      </c>
      <c r="AB137" s="18"/>
      <c r="AC137" s="18"/>
    </row>
    <row r="138" spans="2:29" ht="15.75" customHeight="1">
      <c r="B138" s="29">
        <v>320500031</v>
      </c>
      <c r="C138" s="26" t="s">
        <v>139</v>
      </c>
      <c r="D138" s="27" t="s">
        <v>63</v>
      </c>
      <c r="F138" s="18">
        <v>1568.85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</row>
    <row r="139" spans="2:29" ht="15.75" customHeight="1">
      <c r="B139" s="32">
        <v>321500066</v>
      </c>
      <c r="C139" s="14" t="s">
        <v>140</v>
      </c>
      <c r="D139" s="15" t="s">
        <v>141</v>
      </c>
      <c r="F139" s="16"/>
      <c r="G139" s="16"/>
      <c r="H139" s="16"/>
      <c r="I139" s="16"/>
      <c r="J139" s="16">
        <v>570</v>
      </c>
      <c r="K139" s="16"/>
      <c r="L139" s="16"/>
      <c r="M139" s="16"/>
      <c r="N139" s="17"/>
      <c r="O139" s="16"/>
      <c r="P139" s="16"/>
      <c r="Q139" s="16"/>
      <c r="R139" s="16"/>
      <c r="S139" s="16"/>
      <c r="T139" s="16"/>
      <c r="U139" s="18"/>
      <c r="V139" s="18"/>
      <c r="W139" s="31">
        <v>744.75</v>
      </c>
      <c r="X139" s="18"/>
      <c r="Y139" s="18"/>
      <c r="Z139" s="18"/>
      <c r="AA139" s="18">
        <v>574</v>
      </c>
      <c r="AB139" s="18"/>
      <c r="AC139" s="18"/>
    </row>
    <row r="140" spans="2:29" ht="15.75" customHeight="1">
      <c r="B140" s="575"/>
      <c r="C140" s="569"/>
      <c r="D140" s="570"/>
      <c r="F140" s="568"/>
      <c r="G140" s="569"/>
      <c r="H140" s="569"/>
      <c r="I140" s="569"/>
      <c r="J140" s="569"/>
      <c r="K140" s="569"/>
      <c r="L140" s="569"/>
      <c r="M140" s="569"/>
      <c r="N140" s="569"/>
      <c r="O140" s="569"/>
      <c r="P140" s="569"/>
      <c r="Q140" s="569"/>
      <c r="R140" s="569"/>
      <c r="S140" s="569"/>
      <c r="T140" s="569"/>
      <c r="U140" s="569"/>
      <c r="V140" s="569"/>
      <c r="W140" s="569"/>
      <c r="X140" s="569"/>
      <c r="Y140" s="569"/>
      <c r="Z140" s="569"/>
      <c r="AA140" s="569"/>
      <c r="AB140" s="569"/>
      <c r="AC140" s="570"/>
    </row>
    <row r="141" spans="2:29" ht="15.75" customHeight="1">
      <c r="B141" s="29">
        <v>321600051</v>
      </c>
      <c r="C141" s="33" t="s">
        <v>142</v>
      </c>
      <c r="D141" s="34" t="s">
        <v>17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</row>
    <row r="142" spans="2:29" ht="15.75" customHeight="1">
      <c r="B142" s="29">
        <v>320900041</v>
      </c>
      <c r="C142" s="26" t="s">
        <v>143</v>
      </c>
      <c r="D142" s="27" t="s">
        <v>15</v>
      </c>
      <c r="F142" s="16"/>
      <c r="G142" s="16"/>
      <c r="H142" s="16"/>
      <c r="I142" s="16"/>
      <c r="J142" s="16"/>
      <c r="K142" s="16"/>
      <c r="L142" s="16"/>
      <c r="M142" s="16"/>
      <c r="N142" s="17">
        <v>13.7</v>
      </c>
      <c r="O142" s="16"/>
      <c r="P142" s="16"/>
      <c r="Q142" s="16"/>
      <c r="R142" s="16"/>
      <c r="S142" s="16">
        <v>22.28</v>
      </c>
      <c r="T142" s="16"/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2:29" ht="15.75" customHeight="1">
      <c r="B143" s="575"/>
      <c r="C143" s="569"/>
      <c r="D143" s="570"/>
      <c r="F143" s="568"/>
      <c r="G143" s="569"/>
      <c r="H143" s="569"/>
      <c r="I143" s="569"/>
      <c r="J143" s="569"/>
      <c r="K143" s="569"/>
      <c r="L143" s="569"/>
      <c r="M143" s="569"/>
      <c r="N143" s="569"/>
      <c r="O143" s="569"/>
      <c r="P143" s="569"/>
      <c r="Q143" s="569"/>
      <c r="R143" s="569"/>
      <c r="S143" s="569"/>
      <c r="T143" s="569"/>
      <c r="U143" s="569"/>
      <c r="V143" s="569"/>
      <c r="W143" s="569"/>
      <c r="X143" s="569"/>
      <c r="Y143" s="569"/>
      <c r="Z143" s="569"/>
      <c r="AA143" s="569"/>
      <c r="AB143" s="569"/>
      <c r="AC143" s="570"/>
    </row>
    <row r="144" spans="2:29" ht="15.75" customHeight="1">
      <c r="B144" s="32">
        <v>321500062</v>
      </c>
      <c r="C144" s="19" t="s">
        <v>144</v>
      </c>
      <c r="D144" s="20" t="s">
        <v>63</v>
      </c>
      <c r="F144" s="16"/>
      <c r="G144" s="16"/>
      <c r="H144" s="16"/>
      <c r="I144" s="16"/>
      <c r="J144" s="16">
        <v>9250</v>
      </c>
      <c r="K144" s="16"/>
      <c r="L144" s="16"/>
      <c r="M144" s="16"/>
      <c r="N144" s="17">
        <v>9200</v>
      </c>
      <c r="O144" s="16"/>
      <c r="P144" s="16"/>
      <c r="Q144" s="16"/>
      <c r="R144" s="16"/>
      <c r="S144" s="16"/>
      <c r="T144" s="16"/>
      <c r="U144" s="18"/>
      <c r="V144" s="18"/>
      <c r="W144" s="18"/>
      <c r="X144" s="18"/>
      <c r="Y144" s="18"/>
      <c r="Z144" s="18"/>
      <c r="AA144" s="18"/>
      <c r="AB144" s="18"/>
      <c r="AC144" s="18"/>
    </row>
    <row r="145" spans="2:29" ht="15.75" customHeight="1">
      <c r="B145" s="575" t="s">
        <v>145</v>
      </c>
      <c r="C145" s="569"/>
      <c r="D145" s="570"/>
      <c r="F145" s="568"/>
      <c r="G145" s="569"/>
      <c r="H145" s="569"/>
      <c r="I145" s="569"/>
      <c r="J145" s="569"/>
      <c r="K145" s="569"/>
      <c r="L145" s="569"/>
      <c r="M145" s="569"/>
      <c r="N145" s="569"/>
      <c r="O145" s="569"/>
      <c r="P145" s="569"/>
      <c r="Q145" s="569"/>
      <c r="R145" s="569"/>
      <c r="S145" s="569"/>
      <c r="T145" s="569"/>
      <c r="U145" s="569"/>
      <c r="V145" s="569"/>
      <c r="W145" s="569"/>
      <c r="X145" s="569"/>
      <c r="Y145" s="569"/>
      <c r="Z145" s="569"/>
      <c r="AA145" s="569"/>
      <c r="AB145" s="569"/>
      <c r="AC145" s="570"/>
    </row>
    <row r="146" spans="2:29" ht="15.75" customHeight="1">
      <c r="B146" s="13">
        <v>3211000211</v>
      </c>
      <c r="C146" s="14" t="s">
        <v>146</v>
      </c>
      <c r="D146" s="15" t="s">
        <v>17</v>
      </c>
      <c r="F146" s="16"/>
      <c r="G146" s="16">
        <v>199.8</v>
      </c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8"/>
      <c r="V146" s="18"/>
      <c r="W146" s="18"/>
      <c r="X146" s="18"/>
      <c r="Y146" s="18"/>
      <c r="Z146" s="18"/>
      <c r="AA146" s="18"/>
      <c r="AB146" s="18"/>
      <c r="AC146" s="18"/>
    </row>
    <row r="147" spans="2:29" ht="15.75" customHeight="1">
      <c r="B147" s="13">
        <v>3211000212</v>
      </c>
      <c r="C147" s="14" t="s">
        <v>147</v>
      </c>
      <c r="D147" s="15" t="s">
        <v>15</v>
      </c>
      <c r="F147" s="16"/>
      <c r="G147" s="16">
        <v>242.95</v>
      </c>
      <c r="H147" s="16"/>
      <c r="I147" s="16"/>
      <c r="J147" s="16"/>
      <c r="K147" s="16"/>
      <c r="L147" s="16"/>
      <c r="M147" s="16"/>
      <c r="N147" s="17">
        <v>228.86</v>
      </c>
      <c r="O147" s="18"/>
      <c r="P147" s="16"/>
      <c r="Q147" s="16"/>
      <c r="R147" s="16"/>
      <c r="S147" s="16"/>
      <c r="T147" s="16"/>
      <c r="U147" s="18"/>
      <c r="V147" s="18"/>
      <c r="W147" s="18"/>
      <c r="X147" s="18"/>
      <c r="Y147" s="18"/>
      <c r="Z147" s="18"/>
      <c r="AA147" s="18"/>
      <c r="AB147" s="18"/>
      <c r="AC147" s="18"/>
    </row>
    <row r="148" spans="2:29" ht="15.75" customHeight="1">
      <c r="B148" s="575" t="s">
        <v>148</v>
      </c>
      <c r="C148" s="569"/>
      <c r="D148" s="570"/>
      <c r="F148" s="568"/>
      <c r="G148" s="569"/>
      <c r="H148" s="569"/>
      <c r="I148" s="569"/>
      <c r="J148" s="569"/>
      <c r="K148" s="569"/>
      <c r="L148" s="569"/>
      <c r="M148" s="569"/>
      <c r="N148" s="569"/>
      <c r="O148" s="569"/>
      <c r="P148" s="569"/>
      <c r="Q148" s="569"/>
      <c r="R148" s="569"/>
      <c r="S148" s="569"/>
      <c r="T148" s="569"/>
      <c r="U148" s="569"/>
      <c r="V148" s="569"/>
      <c r="W148" s="569"/>
      <c r="X148" s="569"/>
      <c r="Y148" s="569"/>
      <c r="Z148" s="569"/>
      <c r="AA148" s="569"/>
      <c r="AB148" s="569"/>
      <c r="AC148" s="570"/>
    </row>
    <row r="149" spans="2:29" ht="15.75" customHeight="1">
      <c r="B149" s="576">
        <v>32130006</v>
      </c>
      <c r="C149" s="19" t="s">
        <v>149</v>
      </c>
      <c r="D149" s="20" t="s">
        <v>15</v>
      </c>
      <c r="F149" s="16"/>
      <c r="G149" s="16"/>
      <c r="H149" s="16"/>
      <c r="I149" s="16"/>
      <c r="J149" s="16"/>
      <c r="K149" s="16"/>
      <c r="L149" s="16"/>
      <c r="M149" s="16"/>
      <c r="N149" s="17">
        <v>24.5</v>
      </c>
      <c r="O149" s="16"/>
      <c r="P149" s="16"/>
      <c r="Q149" s="16"/>
      <c r="R149" s="16">
        <v>21.36</v>
      </c>
      <c r="S149" s="16">
        <v>19.82</v>
      </c>
      <c r="T149" s="16"/>
      <c r="U149" s="18">
        <v>22.39</v>
      </c>
      <c r="V149" s="18"/>
      <c r="W149" s="18"/>
      <c r="X149" s="18"/>
      <c r="Y149" s="18"/>
      <c r="Z149" s="18"/>
      <c r="AA149" s="18">
        <v>19.059999999999999</v>
      </c>
      <c r="AB149" s="18"/>
      <c r="AC149" s="18"/>
    </row>
    <row r="150" spans="2:29" ht="15.75" customHeight="1">
      <c r="B150" s="573"/>
      <c r="C150" s="19" t="s">
        <v>150</v>
      </c>
      <c r="D150" s="20" t="s">
        <v>17</v>
      </c>
      <c r="F150" s="16"/>
      <c r="G150" s="16"/>
      <c r="H150" s="17">
        <v>26.3</v>
      </c>
      <c r="I150" s="16"/>
      <c r="J150" s="16"/>
      <c r="K150" s="16"/>
      <c r="L150" s="16"/>
      <c r="M150" s="16"/>
      <c r="N150" s="17">
        <v>43.04</v>
      </c>
      <c r="O150" s="16"/>
      <c r="P150" s="16"/>
      <c r="Q150" s="16"/>
      <c r="R150" s="16"/>
      <c r="S150" s="16">
        <v>25.6</v>
      </c>
      <c r="T150" s="16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2:29" ht="15.75" customHeight="1">
      <c r="B151" s="32">
        <v>322300033</v>
      </c>
      <c r="C151" s="19" t="s">
        <v>151</v>
      </c>
      <c r="D151" s="20" t="s">
        <v>15</v>
      </c>
      <c r="F151" s="16"/>
      <c r="G151" s="16"/>
      <c r="H151" s="16"/>
      <c r="I151" s="16"/>
      <c r="J151" s="16"/>
      <c r="K151" s="16"/>
      <c r="L151" s="16"/>
      <c r="M151" s="16"/>
      <c r="N151" s="17">
        <v>71.900000000000006</v>
      </c>
      <c r="O151" s="16"/>
      <c r="P151" s="16"/>
      <c r="Q151" s="16"/>
      <c r="R151" s="16">
        <v>71.7</v>
      </c>
      <c r="S151" s="16">
        <v>69.2</v>
      </c>
      <c r="T151" s="16"/>
      <c r="U151" s="18">
        <v>60.69</v>
      </c>
      <c r="V151" s="18"/>
      <c r="W151" s="18"/>
      <c r="X151" s="18"/>
      <c r="Y151" s="18">
        <v>57.7</v>
      </c>
      <c r="Z151" s="18"/>
      <c r="AA151" s="18"/>
      <c r="AB151" s="18"/>
      <c r="AC151" s="18"/>
    </row>
    <row r="152" spans="2:29" ht="15.75" customHeight="1">
      <c r="B152" s="29">
        <v>322300054</v>
      </c>
      <c r="C152" s="26" t="s">
        <v>152</v>
      </c>
      <c r="D152" s="27" t="s">
        <v>17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8"/>
      <c r="V152" s="18"/>
      <c r="W152" s="18"/>
      <c r="X152" s="18"/>
      <c r="Y152" s="18"/>
      <c r="Z152" s="18"/>
      <c r="AA152" s="18">
        <v>22.41</v>
      </c>
      <c r="AB152" s="18"/>
      <c r="AC152" s="18"/>
    </row>
    <row r="153" spans="2:29" ht="15.75" customHeight="1">
      <c r="B153" s="575" t="s">
        <v>153</v>
      </c>
      <c r="C153" s="569"/>
      <c r="D153" s="570"/>
      <c r="F153" s="568"/>
      <c r="G153" s="569"/>
      <c r="H153" s="569"/>
      <c r="I153" s="569"/>
      <c r="J153" s="569"/>
      <c r="K153" s="569"/>
      <c r="L153" s="569"/>
      <c r="M153" s="569"/>
      <c r="N153" s="569"/>
      <c r="O153" s="569"/>
      <c r="P153" s="569"/>
      <c r="Q153" s="569"/>
      <c r="R153" s="569"/>
      <c r="S153" s="569"/>
      <c r="T153" s="569"/>
      <c r="U153" s="569"/>
      <c r="V153" s="569"/>
      <c r="W153" s="569"/>
      <c r="X153" s="569"/>
      <c r="Y153" s="569"/>
      <c r="Z153" s="569"/>
      <c r="AA153" s="569"/>
      <c r="AB153" s="569"/>
      <c r="AC153" s="570"/>
    </row>
    <row r="154" spans="2:29" ht="15.75" customHeight="1">
      <c r="B154" s="571">
        <v>32020006</v>
      </c>
      <c r="C154" s="26" t="s">
        <v>154</v>
      </c>
      <c r="D154" s="27" t="s">
        <v>63</v>
      </c>
      <c r="F154" s="16"/>
      <c r="G154" s="16"/>
      <c r="H154" s="16"/>
      <c r="I154" s="16"/>
      <c r="J154" s="16"/>
      <c r="K154" s="16"/>
      <c r="L154" s="16"/>
      <c r="M154" s="16"/>
      <c r="N154" s="17">
        <v>203.9</v>
      </c>
      <c r="O154" s="16"/>
      <c r="P154" s="16"/>
      <c r="Q154" s="16"/>
      <c r="R154" s="16">
        <v>155.4</v>
      </c>
      <c r="S154" s="16"/>
      <c r="T154" s="16"/>
      <c r="U154" s="18">
        <v>165.6</v>
      </c>
      <c r="V154" s="18"/>
      <c r="W154" s="18"/>
      <c r="X154" s="18"/>
      <c r="Y154" s="18"/>
      <c r="Z154" s="18"/>
      <c r="AA154" s="18"/>
      <c r="AB154" s="18"/>
      <c r="AC154" s="18"/>
    </row>
    <row r="155" spans="2:29" ht="15.75" customHeight="1">
      <c r="B155" s="572"/>
      <c r="C155" s="26" t="s">
        <v>155</v>
      </c>
      <c r="D155" s="27" t="s">
        <v>63</v>
      </c>
      <c r="F155" s="16">
        <v>98</v>
      </c>
      <c r="G155" s="16"/>
      <c r="H155" s="17">
        <v>86.09</v>
      </c>
      <c r="I155" s="16"/>
      <c r="J155" s="16"/>
      <c r="K155" s="16"/>
      <c r="L155" s="16"/>
      <c r="M155" s="16"/>
      <c r="N155" s="17">
        <v>87.3</v>
      </c>
      <c r="O155" s="16"/>
      <c r="P155" s="16"/>
      <c r="Q155" s="16"/>
      <c r="R155" s="16">
        <v>89.45</v>
      </c>
      <c r="S155" s="16">
        <v>83.65</v>
      </c>
      <c r="T155" s="16"/>
      <c r="U155" s="18">
        <v>90.8</v>
      </c>
      <c r="V155" s="18"/>
      <c r="W155" s="18"/>
      <c r="X155" s="18"/>
      <c r="Y155" s="18"/>
      <c r="Z155" s="18"/>
      <c r="AA155" s="18">
        <v>98.75</v>
      </c>
      <c r="AB155" s="18"/>
      <c r="AC155" s="18"/>
    </row>
    <row r="156" spans="2:29" ht="15.75" customHeight="1">
      <c r="B156" s="573"/>
      <c r="C156" s="26" t="s">
        <v>156</v>
      </c>
      <c r="D156" s="27" t="s">
        <v>63</v>
      </c>
      <c r="F156" s="16">
        <v>142.85</v>
      </c>
      <c r="G156" s="16"/>
      <c r="H156" s="17">
        <v>114.5</v>
      </c>
      <c r="I156" s="16"/>
      <c r="J156" s="16"/>
      <c r="K156" s="16"/>
      <c r="L156" s="16"/>
      <c r="M156" s="16"/>
      <c r="N156" s="17">
        <v>156</v>
      </c>
      <c r="O156" s="16"/>
      <c r="P156" s="16"/>
      <c r="Q156" s="16"/>
      <c r="R156" s="16"/>
      <c r="S156" s="16">
        <v>115.91</v>
      </c>
      <c r="T156" s="16"/>
      <c r="U156" s="18">
        <v>87.06</v>
      </c>
      <c r="V156" s="18"/>
      <c r="W156" s="18"/>
      <c r="X156" s="18"/>
      <c r="Y156" s="18"/>
      <c r="Z156" s="18"/>
      <c r="AA156" s="18">
        <v>89.65</v>
      </c>
      <c r="AB156" s="18"/>
      <c r="AC156" s="18"/>
    </row>
    <row r="157" spans="2:29" ht="15.75" customHeight="1">
      <c r="B157" s="574"/>
      <c r="C157" s="569"/>
      <c r="D157" s="570"/>
      <c r="F157" s="568"/>
      <c r="G157" s="569"/>
      <c r="H157" s="569"/>
      <c r="I157" s="569"/>
      <c r="J157" s="569"/>
      <c r="K157" s="569"/>
      <c r="L157" s="569"/>
      <c r="M157" s="569"/>
      <c r="N157" s="569"/>
      <c r="O157" s="569"/>
      <c r="P157" s="569"/>
      <c r="Q157" s="569"/>
      <c r="R157" s="569"/>
      <c r="S157" s="569"/>
      <c r="T157" s="569"/>
      <c r="U157" s="569"/>
      <c r="V157" s="569"/>
      <c r="W157" s="569"/>
      <c r="X157" s="569"/>
      <c r="Y157" s="569"/>
      <c r="Z157" s="569"/>
      <c r="AA157" s="569"/>
      <c r="AB157" s="569"/>
      <c r="AC157" s="570"/>
    </row>
    <row r="158" spans="2:29" ht="15.75" customHeight="1">
      <c r="B158" s="29">
        <v>320900052</v>
      </c>
      <c r="C158" s="26" t="s">
        <v>157</v>
      </c>
      <c r="D158" s="27" t="s">
        <v>17</v>
      </c>
      <c r="F158" s="16"/>
      <c r="G158" s="16"/>
      <c r="H158" s="16"/>
      <c r="I158" s="16"/>
      <c r="J158" s="16"/>
      <c r="K158" s="16"/>
      <c r="L158" s="16"/>
      <c r="M158" s="16"/>
      <c r="N158" s="17">
        <v>347.02</v>
      </c>
      <c r="O158" s="16"/>
      <c r="P158" s="16"/>
      <c r="Q158" s="16"/>
      <c r="R158" s="16"/>
      <c r="S158" s="16"/>
      <c r="T158" s="16"/>
      <c r="U158" s="18"/>
      <c r="V158" s="18"/>
      <c r="W158" s="18"/>
      <c r="X158" s="18"/>
      <c r="Y158" s="18">
        <v>309.10000000000002</v>
      </c>
      <c r="Z158" s="18"/>
      <c r="AA158" s="18"/>
      <c r="AB158" s="18"/>
      <c r="AC158" s="18"/>
    </row>
    <row r="159" spans="2:29" ht="15.75" customHeight="1">
      <c r="B159" s="575"/>
      <c r="C159" s="569"/>
      <c r="D159" s="570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8"/>
      <c r="V159" s="18"/>
      <c r="W159" s="18"/>
      <c r="X159" s="18"/>
      <c r="Y159" s="18"/>
      <c r="Z159" s="18"/>
      <c r="AA159" s="18"/>
      <c r="AB159" s="18"/>
      <c r="AC159" s="18"/>
    </row>
    <row r="160" spans="2:29" ht="15.75" customHeight="1">
      <c r="B160" s="13">
        <v>3212000815</v>
      </c>
      <c r="C160" s="14" t="s">
        <v>158</v>
      </c>
      <c r="D160" s="15" t="s">
        <v>17</v>
      </c>
      <c r="F160" s="16"/>
      <c r="G160" s="16"/>
      <c r="H160" s="16"/>
      <c r="I160" s="16"/>
      <c r="J160" s="16"/>
      <c r="K160" s="16"/>
      <c r="L160" s="16"/>
      <c r="M160" s="16"/>
      <c r="N160" s="17">
        <v>73.2</v>
      </c>
      <c r="O160" s="16">
        <v>69.430000000000007</v>
      </c>
      <c r="P160" s="16"/>
      <c r="Q160" s="16"/>
      <c r="R160" s="16"/>
      <c r="S160" s="16">
        <v>71.900000000000006</v>
      </c>
      <c r="T160" s="16"/>
      <c r="U160" s="18">
        <v>70.36</v>
      </c>
      <c r="V160" s="18"/>
      <c r="W160" s="18"/>
      <c r="X160" s="18"/>
      <c r="Y160" s="18"/>
      <c r="Z160" s="18"/>
      <c r="AA160" s="18"/>
      <c r="AB160" s="18"/>
      <c r="AC160" s="18"/>
    </row>
    <row r="161" spans="2:29" ht="15.75" customHeight="1">
      <c r="B161" s="13">
        <v>321200332</v>
      </c>
      <c r="C161" s="33" t="s">
        <v>159</v>
      </c>
      <c r="D161" s="34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</row>
    <row r="162" spans="2:29" ht="15.75" customHeight="1">
      <c r="B162" s="575" t="s">
        <v>160</v>
      </c>
      <c r="C162" s="569"/>
      <c r="D162" s="570"/>
      <c r="F162" s="568"/>
      <c r="G162" s="569"/>
      <c r="H162" s="569"/>
      <c r="I162" s="569"/>
      <c r="J162" s="569"/>
      <c r="K162" s="569"/>
      <c r="L162" s="569"/>
      <c r="M162" s="569"/>
      <c r="N162" s="569"/>
      <c r="O162" s="569"/>
      <c r="P162" s="569"/>
      <c r="Q162" s="569"/>
      <c r="R162" s="569"/>
      <c r="S162" s="569"/>
      <c r="T162" s="569"/>
      <c r="U162" s="569"/>
      <c r="V162" s="569"/>
      <c r="W162" s="569"/>
      <c r="X162" s="569"/>
      <c r="Y162" s="569"/>
      <c r="Z162" s="569"/>
      <c r="AA162" s="569"/>
      <c r="AB162" s="569"/>
      <c r="AC162" s="570"/>
    </row>
    <row r="163" spans="2:29" ht="15.75" customHeight="1">
      <c r="B163" s="571">
        <v>32060005</v>
      </c>
      <c r="C163" s="26" t="s">
        <v>161</v>
      </c>
      <c r="D163" s="27" t="s">
        <v>33</v>
      </c>
      <c r="F163" s="16"/>
      <c r="G163" s="16"/>
      <c r="H163" s="16"/>
      <c r="I163" s="16"/>
      <c r="J163" s="16"/>
      <c r="K163" s="16"/>
      <c r="L163" s="16"/>
      <c r="M163" s="16"/>
      <c r="N163" s="17">
        <v>123.1</v>
      </c>
      <c r="O163" s="16"/>
      <c r="P163" s="16"/>
      <c r="Q163" s="16"/>
      <c r="R163" s="16">
        <v>108</v>
      </c>
      <c r="S163" s="16"/>
      <c r="T163" s="16"/>
      <c r="U163" s="18"/>
      <c r="V163" s="18"/>
      <c r="W163" s="18"/>
      <c r="X163" s="18"/>
      <c r="Y163" s="18"/>
      <c r="Z163" s="18"/>
      <c r="AA163" s="18"/>
      <c r="AB163" s="18"/>
      <c r="AC163" s="18"/>
    </row>
    <row r="164" spans="2:29" ht="15.75" customHeight="1">
      <c r="B164" s="572"/>
      <c r="C164" s="26" t="s">
        <v>162</v>
      </c>
      <c r="D164" s="27" t="s">
        <v>33</v>
      </c>
      <c r="F164" s="16"/>
      <c r="G164" s="16"/>
      <c r="H164" s="16"/>
      <c r="I164" s="16"/>
      <c r="J164" s="16"/>
      <c r="K164" s="16"/>
      <c r="L164" s="16"/>
      <c r="M164" s="16"/>
      <c r="N164" s="17">
        <v>167.5</v>
      </c>
      <c r="O164" s="16"/>
      <c r="P164" s="16"/>
      <c r="Q164" s="16"/>
      <c r="R164" s="16">
        <v>151</v>
      </c>
      <c r="S164" s="16"/>
      <c r="T164" s="16"/>
      <c r="U164" s="18"/>
      <c r="V164" s="18"/>
      <c r="W164" s="18"/>
      <c r="X164" s="18"/>
      <c r="Y164" s="18"/>
      <c r="Z164" s="18"/>
      <c r="AA164" s="18"/>
      <c r="AB164" s="18"/>
      <c r="AC164" s="18"/>
    </row>
    <row r="165" spans="2:29" ht="15.75" customHeight="1">
      <c r="B165" s="573"/>
      <c r="C165" s="26" t="s">
        <v>163</v>
      </c>
      <c r="D165" s="27" t="s">
        <v>33</v>
      </c>
      <c r="F165" s="16"/>
      <c r="G165" s="16"/>
      <c r="H165" s="16"/>
      <c r="I165" s="16"/>
      <c r="J165" s="16"/>
      <c r="K165" s="16"/>
      <c r="L165" s="16"/>
      <c r="M165" s="16"/>
      <c r="N165" s="17">
        <v>215.7</v>
      </c>
      <c r="O165" s="16"/>
      <c r="P165" s="16"/>
      <c r="Q165" s="16"/>
      <c r="R165" s="16">
        <v>113.3</v>
      </c>
      <c r="S165" s="16"/>
      <c r="T165" s="16"/>
      <c r="U165" s="18"/>
      <c r="V165" s="18"/>
      <c r="W165" s="18"/>
      <c r="X165" s="18"/>
      <c r="Y165" s="18"/>
      <c r="Z165" s="18"/>
      <c r="AA165" s="18"/>
      <c r="AB165" s="18"/>
      <c r="AC165" s="18"/>
    </row>
    <row r="166" spans="2:29" ht="15.75" customHeight="1">
      <c r="B166" s="571">
        <v>32020004</v>
      </c>
      <c r="C166" s="26" t="s">
        <v>164</v>
      </c>
      <c r="D166" s="27" t="s">
        <v>63</v>
      </c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>
        <v>24.88</v>
      </c>
      <c r="Q166" s="16"/>
      <c r="R166" s="16"/>
      <c r="S166" s="16"/>
      <c r="T166" s="16"/>
      <c r="U166" s="18"/>
      <c r="V166" s="18"/>
      <c r="W166" s="18"/>
      <c r="X166" s="18">
        <v>20.68</v>
      </c>
      <c r="Y166" s="18"/>
      <c r="Z166" s="18"/>
      <c r="AA166" s="18">
        <v>20.190000000000001</v>
      </c>
      <c r="AB166" s="18"/>
      <c r="AC166" s="18"/>
    </row>
    <row r="167" spans="2:29" ht="15.75" customHeight="1">
      <c r="B167" s="573"/>
      <c r="C167" s="26" t="s">
        <v>165</v>
      </c>
      <c r="D167" s="27" t="s">
        <v>63</v>
      </c>
      <c r="F167" s="16"/>
      <c r="G167" s="16"/>
      <c r="H167" s="16"/>
      <c r="I167" s="16"/>
      <c r="J167" s="16"/>
      <c r="K167" s="16"/>
      <c r="L167" s="16"/>
      <c r="M167" s="16"/>
      <c r="N167" s="17">
        <v>36.36</v>
      </c>
      <c r="O167" s="16"/>
      <c r="P167" s="16">
        <v>33.119999999999997</v>
      </c>
      <c r="Q167" s="16"/>
      <c r="R167" s="16"/>
      <c r="S167" s="16"/>
      <c r="T167" s="16"/>
      <c r="U167" s="18">
        <v>26.6</v>
      </c>
      <c r="V167" s="18"/>
      <c r="W167" s="18"/>
      <c r="X167" s="18">
        <v>29.21</v>
      </c>
      <c r="Y167" s="18"/>
      <c r="Z167" s="18"/>
      <c r="AA167" s="18"/>
      <c r="AB167" s="18"/>
      <c r="AC167" s="18"/>
    </row>
  </sheetData>
  <mergeCells count="123">
    <mergeCell ref="F37:AC37"/>
    <mergeCell ref="F10:AC10"/>
    <mergeCell ref="F17:AC17"/>
    <mergeCell ref="F42:AC42"/>
    <mergeCell ref="F20:AC20"/>
    <mergeCell ref="F23:AC23"/>
    <mergeCell ref="F28:AC28"/>
    <mergeCell ref="F31:AC31"/>
    <mergeCell ref="F63:AC63"/>
    <mergeCell ref="F48:AC48"/>
    <mergeCell ref="F50:AC50"/>
    <mergeCell ref="F46:AC46"/>
    <mergeCell ref="F61:AC61"/>
    <mergeCell ref="F54:AC54"/>
    <mergeCell ref="F57:AC57"/>
    <mergeCell ref="F59:AC59"/>
    <mergeCell ref="F52:AC52"/>
    <mergeCell ref="F4:AC4"/>
    <mergeCell ref="AA6:AC6"/>
    <mergeCell ref="F6:H6"/>
    <mergeCell ref="U6:W6"/>
    <mergeCell ref="X6:Z6"/>
    <mergeCell ref="R6:T6"/>
    <mergeCell ref="I6:K6"/>
    <mergeCell ref="A2:C2"/>
    <mergeCell ref="F33:AC33"/>
    <mergeCell ref="O6:Q6"/>
    <mergeCell ref="L6:N6"/>
    <mergeCell ref="B7:D7"/>
    <mergeCell ref="B8:D8"/>
    <mergeCell ref="B10:B16"/>
    <mergeCell ref="B17:D17"/>
    <mergeCell ref="B20:D20"/>
    <mergeCell ref="B26:B27"/>
    <mergeCell ref="B29:B30"/>
    <mergeCell ref="B83:B84"/>
    <mergeCell ref="B63:D63"/>
    <mergeCell ref="B74:B76"/>
    <mergeCell ref="B93:B97"/>
    <mergeCell ref="B105:B109"/>
    <mergeCell ref="B113:B115"/>
    <mergeCell ref="B116:B117"/>
    <mergeCell ref="B118:B121"/>
    <mergeCell ref="B86:D86"/>
    <mergeCell ref="B88:D88"/>
    <mergeCell ref="B92:D92"/>
    <mergeCell ref="B100:D100"/>
    <mergeCell ref="B102:D102"/>
    <mergeCell ref="B104:D104"/>
    <mergeCell ref="B110:D110"/>
    <mergeCell ref="B112:D112"/>
    <mergeCell ref="B59:D59"/>
    <mergeCell ref="B61:D61"/>
    <mergeCell ref="B80:D80"/>
    <mergeCell ref="B82:D82"/>
    <mergeCell ref="B71:D71"/>
    <mergeCell ref="B73:D73"/>
    <mergeCell ref="B77:D77"/>
    <mergeCell ref="B57:D57"/>
    <mergeCell ref="B67:D67"/>
    <mergeCell ref="B69:D69"/>
    <mergeCell ref="B55:B56"/>
    <mergeCell ref="B18:B19"/>
    <mergeCell ref="B21:B22"/>
    <mergeCell ref="B23:D23"/>
    <mergeCell ref="B24:B25"/>
    <mergeCell ref="B31:D31"/>
    <mergeCell ref="B33:D33"/>
    <mergeCell ref="B28:D28"/>
    <mergeCell ref="B52:D52"/>
    <mergeCell ref="B54:D54"/>
    <mergeCell ref="B46:D46"/>
    <mergeCell ref="B48:D48"/>
    <mergeCell ref="B50:D50"/>
    <mergeCell ref="B37:D37"/>
    <mergeCell ref="B38:B39"/>
    <mergeCell ref="B42:D42"/>
    <mergeCell ref="B44:D44"/>
    <mergeCell ref="B134:D134"/>
    <mergeCell ref="B136:D136"/>
    <mergeCell ref="F124:AC124"/>
    <mergeCell ref="F129:AC129"/>
    <mergeCell ref="B122:D122"/>
    <mergeCell ref="B124:D124"/>
    <mergeCell ref="B125:B127"/>
    <mergeCell ref="B129:D129"/>
    <mergeCell ref="B131:D131"/>
    <mergeCell ref="B163:B165"/>
    <mergeCell ref="B166:B167"/>
    <mergeCell ref="B154:B156"/>
    <mergeCell ref="B157:D157"/>
    <mergeCell ref="F136:AC136"/>
    <mergeCell ref="F145:AC145"/>
    <mergeCell ref="F148:AC148"/>
    <mergeCell ref="F153:AC153"/>
    <mergeCell ref="F162:AC162"/>
    <mergeCell ref="B145:D145"/>
    <mergeCell ref="B148:D148"/>
    <mergeCell ref="B149:B150"/>
    <mergeCell ref="B153:D153"/>
    <mergeCell ref="B140:D140"/>
    <mergeCell ref="B143:D143"/>
    <mergeCell ref="F157:AC157"/>
    <mergeCell ref="B159:D159"/>
    <mergeCell ref="B162:D162"/>
    <mergeCell ref="F88:AC88"/>
    <mergeCell ref="F92:AC92"/>
    <mergeCell ref="F77:AC77"/>
    <mergeCell ref="F143:AC143"/>
    <mergeCell ref="F140:AC140"/>
    <mergeCell ref="F122:AC122"/>
    <mergeCell ref="F131:AC131"/>
    <mergeCell ref="F67:AC67"/>
    <mergeCell ref="F80:AC80"/>
    <mergeCell ref="F86:AC86"/>
    <mergeCell ref="F82:AC82"/>
    <mergeCell ref="F110:AC110"/>
    <mergeCell ref="F102:AC102"/>
    <mergeCell ref="F104:AC104"/>
    <mergeCell ref="F98:AC98"/>
    <mergeCell ref="F73:AC73"/>
    <mergeCell ref="F69:AC69"/>
    <mergeCell ref="F71:AC7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topLeftCell="B106" workbookViewId="0">
      <selection activeCell="F123" sqref="F123"/>
    </sheetView>
  </sheetViews>
  <sheetFormatPr baseColWidth="10" defaultColWidth="14.42578125" defaultRowHeight="15"/>
  <cols>
    <col min="1" max="1" width="10.7109375" style="495" hidden="1" customWidth="1"/>
    <col min="2" max="2" width="10.7109375" style="495" customWidth="1"/>
    <col min="3" max="3" width="53.7109375" style="495" customWidth="1"/>
    <col min="4" max="4" width="12.85546875" style="495" customWidth="1"/>
    <col min="5" max="5" width="10.7109375" style="495" customWidth="1"/>
    <col min="6" max="6" width="20.28515625" style="495" customWidth="1"/>
    <col min="7" max="7" width="13.42578125" style="495" customWidth="1"/>
    <col min="8" max="9" width="10.7109375" style="495" customWidth="1"/>
    <col min="10" max="10" width="11.7109375" style="495" customWidth="1"/>
    <col min="11" max="15" width="10.7109375" style="495" customWidth="1"/>
    <col min="16" max="16" width="37.85546875" style="495" customWidth="1"/>
    <col min="17" max="17" width="2" style="495" customWidth="1"/>
    <col min="18" max="16384" width="14.42578125" style="495"/>
  </cols>
  <sheetData>
    <row r="1" spans="1:17" ht="15.75" thickBot="1">
      <c r="C1" s="601" t="s">
        <v>166</v>
      </c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3"/>
    </row>
    <row r="2" spans="1:17">
      <c r="F2" s="498"/>
      <c r="G2" s="498"/>
      <c r="J2" s="498"/>
    </row>
    <row r="3" spans="1:17">
      <c r="B3" s="602" t="s">
        <v>596</v>
      </c>
      <c r="C3" s="570"/>
      <c r="D3" s="589"/>
      <c r="E3" s="590"/>
      <c r="F3" s="603"/>
      <c r="G3" s="590"/>
      <c r="H3" s="589"/>
      <c r="I3" s="590"/>
      <c r="J3" s="589"/>
      <c r="K3" s="590"/>
      <c r="L3" s="589"/>
      <c r="M3" s="590"/>
      <c r="N3" s="589"/>
      <c r="O3" s="590"/>
      <c r="P3" s="589"/>
      <c r="Q3" s="590"/>
    </row>
    <row r="4" spans="1:17" ht="15.75" thickBot="1">
      <c r="B4" s="41"/>
      <c r="C4" s="41"/>
      <c r="D4" s="41"/>
      <c r="E4" s="41"/>
      <c r="F4" s="42"/>
      <c r="G4" s="42"/>
      <c r="H4" s="41"/>
      <c r="I4" s="41"/>
      <c r="J4" s="42"/>
      <c r="K4" s="41"/>
      <c r="L4" s="41"/>
      <c r="M4" s="41"/>
      <c r="N4" s="41"/>
      <c r="O4" s="41"/>
      <c r="P4" s="41"/>
      <c r="Q4" s="41"/>
    </row>
    <row r="5" spans="1:17" ht="15.75" thickBot="1">
      <c r="B5" s="6" t="s">
        <v>2</v>
      </c>
      <c r="C5" s="7" t="s">
        <v>3</v>
      </c>
      <c r="D5" s="8" t="s">
        <v>4</v>
      </c>
      <c r="E5" s="43"/>
      <c r="F5" s="8" t="s">
        <v>167</v>
      </c>
      <c r="G5" s="44" t="s">
        <v>168</v>
      </c>
      <c r="H5" s="45" t="s">
        <v>169</v>
      </c>
      <c r="I5" s="8" t="s">
        <v>170</v>
      </c>
      <c r="J5" s="44" t="s">
        <v>171</v>
      </c>
      <c r="K5" s="8" t="s">
        <v>172</v>
      </c>
      <c r="L5" s="6" t="s">
        <v>173</v>
      </c>
      <c r="M5" s="46" t="s">
        <v>174</v>
      </c>
      <c r="N5" s="47" t="s">
        <v>175</v>
      </c>
      <c r="O5" s="6" t="s">
        <v>176</v>
      </c>
      <c r="P5" s="8" t="s">
        <v>177</v>
      </c>
    </row>
    <row r="6" spans="1:17" ht="15.75" thickBot="1">
      <c r="B6" s="589"/>
      <c r="C6" s="590"/>
      <c r="D6" s="590"/>
      <c r="E6" s="3"/>
      <c r="F6" s="591" t="s">
        <v>178</v>
      </c>
      <c r="G6" s="590"/>
      <c r="H6" s="590"/>
      <c r="I6" s="590"/>
      <c r="J6" s="590"/>
      <c r="K6" s="590"/>
      <c r="L6" s="590"/>
      <c r="M6" s="590"/>
      <c r="N6" s="590"/>
      <c r="O6" s="590"/>
      <c r="P6" s="590"/>
    </row>
    <row r="7" spans="1:17" ht="15.75" thickBot="1">
      <c r="B7" s="452"/>
      <c r="C7" s="592" t="s">
        <v>13</v>
      </c>
      <c r="D7" s="593"/>
      <c r="E7" s="3"/>
      <c r="F7" s="594"/>
      <c r="G7" s="582"/>
      <c r="H7" s="582"/>
      <c r="I7" s="582"/>
      <c r="J7" s="582"/>
      <c r="K7" s="582"/>
      <c r="L7" s="582"/>
      <c r="M7" s="582"/>
      <c r="N7" s="582"/>
      <c r="O7" s="582"/>
      <c r="P7" s="583"/>
    </row>
    <row r="8" spans="1:17" ht="15.75" thickBot="1">
      <c r="B8" s="48">
        <v>321200019</v>
      </c>
      <c r="C8" s="14" t="s">
        <v>14</v>
      </c>
      <c r="D8" s="49" t="s">
        <v>15</v>
      </c>
      <c r="E8" s="3"/>
      <c r="F8" s="50">
        <f>+(G8+J8)/2</f>
        <v>928.57</v>
      </c>
      <c r="G8" s="51">
        <v>612.24</v>
      </c>
      <c r="H8" s="52" t="s">
        <v>179</v>
      </c>
      <c r="I8" s="53" t="s">
        <v>180</v>
      </c>
      <c r="J8" s="54">
        <v>1244.9000000000001</v>
      </c>
      <c r="K8" s="55" t="s">
        <v>181</v>
      </c>
      <c r="L8" s="53" t="s">
        <v>182</v>
      </c>
      <c r="M8" s="56"/>
      <c r="N8" s="56"/>
      <c r="O8" s="57"/>
      <c r="P8" s="58"/>
    </row>
    <row r="9" spans="1:17" ht="15.75" thickBot="1">
      <c r="A9" s="495" t="s">
        <v>183</v>
      </c>
      <c r="B9" s="595">
        <v>320700022</v>
      </c>
      <c r="C9" s="26" t="s">
        <v>18</v>
      </c>
      <c r="D9" s="59" t="s">
        <v>15</v>
      </c>
      <c r="E9" s="3"/>
      <c r="F9" s="60">
        <f>(G9)</f>
        <v>7.5510000000000002</v>
      </c>
      <c r="G9" s="61">
        <f>(755.1/100)</f>
        <v>7.5510000000000002</v>
      </c>
      <c r="H9" s="62" t="s">
        <v>184</v>
      </c>
      <c r="I9" s="63" t="s">
        <v>185</v>
      </c>
      <c r="J9" s="64"/>
      <c r="K9" s="64"/>
      <c r="L9" s="64"/>
      <c r="M9" s="64"/>
      <c r="N9" s="64"/>
      <c r="O9" s="65"/>
      <c r="P9" s="66"/>
    </row>
    <row r="10" spans="1:17" ht="15.75" thickBot="1">
      <c r="A10" s="495" t="s">
        <v>186</v>
      </c>
      <c r="B10" s="596"/>
      <c r="C10" s="26" t="s">
        <v>19</v>
      </c>
      <c r="D10" s="59" t="s">
        <v>15</v>
      </c>
      <c r="E10" s="3"/>
      <c r="F10" s="67"/>
      <c r="G10" s="598" t="s">
        <v>187</v>
      </c>
      <c r="H10" s="582"/>
      <c r="I10" s="582"/>
      <c r="J10" s="582"/>
      <c r="K10" s="582"/>
      <c r="L10" s="582"/>
      <c r="M10" s="582"/>
      <c r="N10" s="582"/>
      <c r="O10" s="582"/>
      <c r="P10" s="599"/>
    </row>
    <row r="11" spans="1:17" ht="15.75" thickBot="1">
      <c r="A11" s="495" t="s">
        <v>188</v>
      </c>
      <c r="B11" s="596"/>
      <c r="C11" s="26" t="s">
        <v>20</v>
      </c>
      <c r="D11" s="59" t="s">
        <v>15</v>
      </c>
      <c r="E11" s="3"/>
      <c r="F11" s="68">
        <f>(G11+J11)/2</f>
        <v>7.2959499999999995</v>
      </c>
      <c r="G11" s="69">
        <f>(789.8/100)</f>
        <v>7.8979999999999997</v>
      </c>
      <c r="H11" s="62" t="s">
        <v>189</v>
      </c>
      <c r="I11" s="63" t="s">
        <v>190</v>
      </c>
      <c r="J11" s="69">
        <f>(669.39/100)</f>
        <v>6.6939000000000002</v>
      </c>
      <c r="K11" s="62" t="s">
        <v>191</v>
      </c>
      <c r="L11" s="70" t="s">
        <v>192</v>
      </c>
      <c r="M11" s="71"/>
      <c r="N11" s="72"/>
      <c r="O11" s="407"/>
      <c r="P11" s="73" t="s">
        <v>193</v>
      </c>
    </row>
    <row r="12" spans="1:17" ht="15.75" thickBot="1">
      <c r="A12" s="495" t="s">
        <v>194</v>
      </c>
      <c r="B12" s="596"/>
      <c r="C12" s="74" t="s">
        <v>21</v>
      </c>
      <c r="D12" s="75" t="s">
        <v>15</v>
      </c>
      <c r="E12" s="76"/>
      <c r="F12" s="67"/>
      <c r="G12" s="598" t="s">
        <v>187</v>
      </c>
      <c r="H12" s="582"/>
      <c r="I12" s="582"/>
      <c r="J12" s="582"/>
      <c r="K12" s="582"/>
      <c r="L12" s="582"/>
      <c r="M12" s="582"/>
      <c r="N12" s="582"/>
      <c r="O12" s="582"/>
      <c r="P12" s="583"/>
    </row>
    <row r="13" spans="1:17" ht="15.75" thickBot="1">
      <c r="A13" s="495" t="s">
        <v>195</v>
      </c>
      <c r="B13" s="596"/>
      <c r="C13" s="26" t="s">
        <v>22</v>
      </c>
      <c r="D13" s="59" t="s">
        <v>15</v>
      </c>
      <c r="E13" s="3"/>
      <c r="F13" s="68">
        <f>(G13+J13+M13)/3</f>
        <v>7.1135333333333328</v>
      </c>
      <c r="G13" s="69">
        <f>(653.06/100)</f>
        <v>6.5305999999999997</v>
      </c>
      <c r="H13" s="62" t="s">
        <v>189</v>
      </c>
      <c r="I13" s="63" t="s">
        <v>196</v>
      </c>
      <c r="J13" s="69">
        <f>1100/100</f>
        <v>11</v>
      </c>
      <c r="K13" s="62" t="s">
        <v>191</v>
      </c>
      <c r="L13" s="408" t="s">
        <v>197</v>
      </c>
      <c r="M13" s="69">
        <f>381/100</f>
        <v>3.81</v>
      </c>
      <c r="N13" s="62" t="s">
        <v>191</v>
      </c>
      <c r="O13" s="409" t="s">
        <v>198</v>
      </c>
      <c r="P13" s="77"/>
    </row>
    <row r="14" spans="1:17" ht="15.75" thickBot="1">
      <c r="A14" s="495" t="s">
        <v>199</v>
      </c>
      <c r="B14" s="597"/>
      <c r="C14" s="26" t="s">
        <v>23</v>
      </c>
      <c r="D14" s="59" t="s">
        <v>15</v>
      </c>
      <c r="E14" s="3"/>
      <c r="F14" s="78"/>
      <c r="G14" s="600" t="s">
        <v>187</v>
      </c>
      <c r="H14" s="582"/>
      <c r="I14" s="582"/>
      <c r="J14" s="582"/>
      <c r="K14" s="582"/>
      <c r="L14" s="582"/>
      <c r="M14" s="582"/>
      <c r="N14" s="582"/>
      <c r="O14" s="582"/>
      <c r="P14" s="583"/>
    </row>
    <row r="15" spans="1:17" ht="15.75" thickBot="1">
      <c r="B15" s="453"/>
      <c r="C15" s="604" t="s">
        <v>24</v>
      </c>
      <c r="D15" s="605"/>
      <c r="E15" s="3"/>
      <c r="F15" s="454"/>
      <c r="G15" s="606"/>
      <c r="H15" s="606"/>
      <c r="I15" s="606"/>
      <c r="J15" s="606"/>
      <c r="K15" s="606"/>
      <c r="L15" s="606"/>
      <c r="M15" s="606"/>
      <c r="N15" s="606"/>
      <c r="O15" s="606"/>
      <c r="P15" s="606"/>
    </row>
    <row r="16" spans="1:17" ht="15.75" thickBot="1">
      <c r="A16" s="495" t="s">
        <v>200</v>
      </c>
      <c r="B16" s="607">
        <v>31290027</v>
      </c>
      <c r="C16" s="26" t="s">
        <v>25</v>
      </c>
      <c r="D16" s="79" t="s">
        <v>26</v>
      </c>
      <c r="E16" s="3"/>
      <c r="F16" s="50">
        <f t="shared" ref="F16:F17" si="0">+(G16+J16)/2</f>
        <v>760.31</v>
      </c>
      <c r="G16" s="80">
        <f>465.31*2</f>
        <v>930.62</v>
      </c>
      <c r="H16" s="81" t="s">
        <v>201</v>
      </c>
      <c r="I16" s="82" t="s">
        <v>202</v>
      </c>
      <c r="J16" s="83">
        <v>590</v>
      </c>
      <c r="K16" s="416" t="s">
        <v>583</v>
      </c>
      <c r="L16" s="481" t="s">
        <v>582</v>
      </c>
      <c r="M16" s="410"/>
      <c r="N16" s="85"/>
      <c r="O16" s="86"/>
      <c r="P16" s="87" t="s">
        <v>203</v>
      </c>
    </row>
    <row r="17" spans="1:16" ht="15.75" thickBot="1">
      <c r="A17" s="495" t="s">
        <v>204</v>
      </c>
      <c r="B17" s="597"/>
      <c r="C17" s="26" t="s">
        <v>27</v>
      </c>
      <c r="D17" s="79" t="s">
        <v>28</v>
      </c>
      <c r="E17" s="3"/>
      <c r="F17" s="88">
        <f t="shared" si="0"/>
        <v>839.69499999999994</v>
      </c>
      <c r="G17" s="89">
        <v>969.39</v>
      </c>
      <c r="H17" s="90" t="s">
        <v>201</v>
      </c>
      <c r="I17" s="91" t="s">
        <v>205</v>
      </c>
      <c r="J17" s="92">
        <v>710</v>
      </c>
      <c r="K17" s="483" t="s">
        <v>583</v>
      </c>
      <c r="L17" s="482" t="s">
        <v>584</v>
      </c>
      <c r="M17" s="93"/>
      <c r="N17" s="93"/>
      <c r="O17" s="94"/>
      <c r="P17" s="95"/>
    </row>
    <row r="18" spans="1:16" ht="15.75" thickBot="1">
      <c r="B18" s="453"/>
      <c r="C18" s="604" t="s">
        <v>29</v>
      </c>
      <c r="D18" s="605"/>
      <c r="E18" s="3"/>
      <c r="F18" s="455"/>
      <c r="G18" s="606"/>
      <c r="H18" s="606"/>
      <c r="I18" s="606"/>
      <c r="J18" s="606"/>
      <c r="K18" s="606"/>
      <c r="L18" s="606"/>
      <c r="M18" s="606"/>
      <c r="N18" s="606"/>
      <c r="O18" s="606"/>
      <c r="P18" s="606"/>
    </row>
    <row r="19" spans="1:16" ht="15.75" thickBot="1">
      <c r="A19" s="495" t="s">
        <v>206</v>
      </c>
      <c r="B19" s="613">
        <v>32020001</v>
      </c>
      <c r="C19" s="14" t="s">
        <v>30</v>
      </c>
      <c r="D19" s="49" t="s">
        <v>31</v>
      </c>
      <c r="E19" s="3"/>
      <c r="F19" s="88">
        <f>(G19+J19+M19)/3</f>
        <v>1426.4489999999998</v>
      </c>
      <c r="G19" s="469">
        <f>19387.76/10</f>
        <v>1938.7759999999998</v>
      </c>
      <c r="H19" s="96" t="s">
        <v>207</v>
      </c>
      <c r="I19" s="97" t="s">
        <v>208</v>
      </c>
      <c r="J19" s="83">
        <f>(14285.71/10)</f>
        <v>1428.5709999999999</v>
      </c>
      <c r="K19" s="81" t="s">
        <v>209</v>
      </c>
      <c r="L19" s="98" t="s">
        <v>210</v>
      </c>
      <c r="M19" s="84">
        <v>912</v>
      </c>
      <c r="N19" s="99" t="s">
        <v>207</v>
      </c>
      <c r="O19" s="97" t="s">
        <v>211</v>
      </c>
      <c r="P19" s="100" t="s">
        <v>212</v>
      </c>
    </row>
    <row r="20" spans="1:16" ht="15.75" thickBot="1">
      <c r="A20" s="495" t="s">
        <v>213</v>
      </c>
      <c r="B20" s="597"/>
      <c r="C20" s="19" t="s">
        <v>32</v>
      </c>
      <c r="D20" s="101" t="s">
        <v>33</v>
      </c>
      <c r="E20" s="3"/>
      <c r="F20" s="88">
        <f>+(G20+J20)/2</f>
        <v>241</v>
      </c>
      <c r="G20" s="89">
        <f>(6050/25)</f>
        <v>242</v>
      </c>
      <c r="H20" s="90" t="s">
        <v>214</v>
      </c>
      <c r="I20" s="102" t="s">
        <v>215</v>
      </c>
      <c r="J20" s="92">
        <v>240</v>
      </c>
      <c r="K20" s="103" t="s">
        <v>216</v>
      </c>
      <c r="L20" s="104" t="s">
        <v>217</v>
      </c>
      <c r="M20" s="105"/>
      <c r="N20" s="105"/>
      <c r="O20" s="106"/>
      <c r="P20" s="107" t="s">
        <v>218</v>
      </c>
    </row>
    <row r="21" spans="1:16" ht="15.75" thickBot="1">
      <c r="B21" s="453"/>
      <c r="C21" s="604" t="s">
        <v>34</v>
      </c>
      <c r="D21" s="605"/>
      <c r="E21" s="3"/>
      <c r="F21" s="455"/>
      <c r="G21" s="606"/>
      <c r="H21" s="606"/>
      <c r="I21" s="606"/>
      <c r="J21" s="606"/>
      <c r="K21" s="606"/>
      <c r="L21" s="606"/>
      <c r="M21" s="606"/>
      <c r="N21" s="606"/>
      <c r="O21" s="606"/>
      <c r="P21" s="606"/>
    </row>
    <row r="22" spans="1:16" ht="15.75" thickBot="1">
      <c r="A22" s="495" t="s">
        <v>219</v>
      </c>
      <c r="B22" s="607">
        <v>321000014</v>
      </c>
      <c r="C22" s="26" t="s">
        <v>35</v>
      </c>
      <c r="D22" s="79" t="s">
        <v>17</v>
      </c>
      <c r="E22" s="3"/>
      <c r="F22" s="108">
        <f>(G22+J22)/2</f>
        <v>604</v>
      </c>
      <c r="G22" s="80">
        <v>618</v>
      </c>
      <c r="H22" s="81" t="s">
        <v>220</v>
      </c>
      <c r="I22" s="109" t="s">
        <v>221</v>
      </c>
      <c r="J22" s="54">
        <f>(5900/10)</f>
        <v>590</v>
      </c>
      <c r="K22" s="110" t="s">
        <v>220</v>
      </c>
      <c r="L22" s="608" t="s">
        <v>222</v>
      </c>
      <c r="M22" s="609"/>
      <c r="N22" s="609"/>
      <c r="O22" s="609"/>
      <c r="P22" s="610"/>
    </row>
    <row r="23" spans="1:16" ht="15.75" thickBot="1">
      <c r="A23" s="495" t="s">
        <v>223</v>
      </c>
      <c r="B23" s="597"/>
      <c r="C23" s="26" t="s">
        <v>36</v>
      </c>
      <c r="D23" s="79" t="s">
        <v>15</v>
      </c>
      <c r="E23" s="3"/>
      <c r="F23" s="88">
        <f t="shared" ref="F23:F24" si="1">(G23+J23+M23)/3</f>
        <v>1814.4080000000001</v>
      </c>
      <c r="G23" s="111">
        <v>1012</v>
      </c>
      <c r="H23" s="112" t="s">
        <v>224</v>
      </c>
      <c r="I23" s="113" t="s">
        <v>225</v>
      </c>
      <c r="J23" s="114">
        <f>(15306.12/5)</f>
        <v>3061.2240000000002</v>
      </c>
      <c r="K23" s="112" t="s">
        <v>226</v>
      </c>
      <c r="L23" s="115" t="s">
        <v>227</v>
      </c>
      <c r="M23" s="116">
        <f>(13700/10)</f>
        <v>1370</v>
      </c>
      <c r="N23" s="117" t="s">
        <v>224</v>
      </c>
      <c r="O23" s="611" t="s">
        <v>228</v>
      </c>
      <c r="P23" s="612"/>
    </row>
    <row r="24" spans="1:16" ht="15.75" thickBot="1">
      <c r="A24" s="495" t="s">
        <v>229</v>
      </c>
      <c r="B24" s="607">
        <v>32020007</v>
      </c>
      <c r="C24" s="26" t="s">
        <v>37</v>
      </c>
      <c r="D24" s="79" t="s">
        <v>17</v>
      </c>
      <c r="E24" s="3"/>
      <c r="F24" s="88">
        <f t="shared" si="1"/>
        <v>87.510199999999998</v>
      </c>
      <c r="G24" s="89">
        <f>(15306.12/200)</f>
        <v>76.530600000000007</v>
      </c>
      <c r="H24" s="90" t="s">
        <v>209</v>
      </c>
      <c r="I24" s="113" t="s">
        <v>230</v>
      </c>
      <c r="J24" s="114">
        <f>(760/10)</f>
        <v>76</v>
      </c>
      <c r="K24" s="112" t="s">
        <v>231</v>
      </c>
      <c r="L24" s="118" t="s">
        <v>232</v>
      </c>
      <c r="M24" s="119">
        <f>(2200/20)</f>
        <v>110</v>
      </c>
      <c r="N24" s="120" t="s">
        <v>233</v>
      </c>
      <c r="O24" s="496" t="s">
        <v>234</v>
      </c>
      <c r="P24" s="107" t="s">
        <v>235</v>
      </c>
    </row>
    <row r="25" spans="1:16" ht="15.75" thickBot="1">
      <c r="A25" s="495" t="s">
        <v>236</v>
      </c>
      <c r="B25" s="597"/>
      <c r="C25" s="14" t="s">
        <v>38</v>
      </c>
      <c r="D25" s="49" t="s">
        <v>15</v>
      </c>
      <c r="E25" s="3"/>
      <c r="F25" s="88">
        <f>+(G25+J25)/2</f>
        <v>348.37755000000004</v>
      </c>
      <c r="G25" s="89">
        <f>(38775.51/100)</f>
        <v>387.75510000000003</v>
      </c>
      <c r="H25" s="121" t="s">
        <v>237</v>
      </c>
      <c r="I25" s="122" t="s">
        <v>238</v>
      </c>
      <c r="J25" s="92">
        <v>309</v>
      </c>
      <c r="K25" s="123" t="s">
        <v>239</v>
      </c>
      <c r="L25" s="124" t="s">
        <v>240</v>
      </c>
      <c r="M25" s="125"/>
      <c r="N25" s="125"/>
      <c r="O25" s="126"/>
      <c r="P25" s="127"/>
    </row>
    <row r="26" spans="1:16" ht="15.75" thickBot="1">
      <c r="B26" s="453"/>
      <c r="C26" s="604" t="s">
        <v>39</v>
      </c>
      <c r="D26" s="605"/>
      <c r="E26" s="3"/>
      <c r="F26" s="455"/>
      <c r="G26" s="606"/>
      <c r="H26" s="606"/>
      <c r="I26" s="606"/>
      <c r="J26" s="606"/>
      <c r="K26" s="606"/>
      <c r="L26" s="606"/>
      <c r="M26" s="606"/>
      <c r="N26" s="606"/>
      <c r="O26" s="606"/>
      <c r="P26" s="606"/>
    </row>
    <row r="27" spans="1:16" ht="15.75" thickBot="1">
      <c r="A27" s="495" t="s">
        <v>241</v>
      </c>
      <c r="B27" s="607">
        <v>32090001</v>
      </c>
      <c r="C27" s="26" t="s">
        <v>40</v>
      </c>
      <c r="D27" s="79" t="s">
        <v>41</v>
      </c>
      <c r="E27" s="3"/>
      <c r="F27" s="128">
        <f t="shared" ref="F27:F28" si="2">(G27+J27+M27)/3</f>
        <v>623.66666666666663</v>
      </c>
      <c r="G27" s="80">
        <f>+(6.9)*100</f>
        <v>690</v>
      </c>
      <c r="H27" s="416" t="s">
        <v>242</v>
      </c>
      <c r="I27" s="481" t="s">
        <v>585</v>
      </c>
      <c r="J27" s="83">
        <v>531</v>
      </c>
      <c r="K27" s="81" t="s">
        <v>242</v>
      </c>
      <c r="L27" s="82" t="s">
        <v>243</v>
      </c>
      <c r="M27" s="84">
        <v>650</v>
      </c>
      <c r="N27" s="129" t="s">
        <v>242</v>
      </c>
      <c r="O27" s="608" t="s">
        <v>244</v>
      </c>
      <c r="P27" s="610"/>
    </row>
    <row r="28" spans="1:16" ht="15.75" thickBot="1">
      <c r="A28" s="495" t="s">
        <v>245</v>
      </c>
      <c r="B28" s="597"/>
      <c r="C28" s="26" t="s">
        <v>42</v>
      </c>
      <c r="D28" s="79" t="s">
        <v>41</v>
      </c>
      <c r="E28" s="3"/>
      <c r="F28" s="130">
        <f t="shared" si="2"/>
        <v>623.66666666666663</v>
      </c>
      <c r="G28" s="80">
        <f>+(6.9)*100</f>
        <v>690</v>
      </c>
      <c r="H28" s="483" t="s">
        <v>242</v>
      </c>
      <c r="I28" s="481" t="s">
        <v>586</v>
      </c>
      <c r="J28" s="92">
        <v>531</v>
      </c>
      <c r="K28" s="90" t="s">
        <v>242</v>
      </c>
      <c r="L28" s="82" t="s">
        <v>243</v>
      </c>
      <c r="M28" s="131">
        <v>650</v>
      </c>
      <c r="N28" s="132" t="s">
        <v>242</v>
      </c>
      <c r="O28" s="616" t="s">
        <v>246</v>
      </c>
      <c r="P28" s="617"/>
    </row>
    <row r="29" spans="1:16" ht="15.75" thickBot="1">
      <c r="B29" s="453"/>
      <c r="C29" s="604" t="s">
        <v>43</v>
      </c>
      <c r="D29" s="605"/>
      <c r="E29" s="3"/>
      <c r="F29" s="455"/>
      <c r="G29" s="606"/>
      <c r="H29" s="606"/>
      <c r="I29" s="606"/>
      <c r="J29" s="606"/>
      <c r="K29" s="606"/>
      <c r="L29" s="606"/>
      <c r="M29" s="606"/>
      <c r="N29" s="606"/>
      <c r="O29" s="606"/>
      <c r="P29" s="606"/>
    </row>
    <row r="30" spans="1:16" ht="15.75" thickBot="1">
      <c r="A30" s="495" t="s">
        <v>247</v>
      </c>
      <c r="B30" s="133">
        <v>32010001</v>
      </c>
      <c r="C30" s="26" t="s">
        <v>44</v>
      </c>
      <c r="D30" s="79" t="s">
        <v>17</v>
      </c>
      <c r="E30" s="3"/>
      <c r="F30" s="68">
        <f>(M30+J30)/2</f>
        <v>39.5</v>
      </c>
      <c r="G30" s="61">
        <v>19</v>
      </c>
      <c r="H30" s="412" t="s">
        <v>579</v>
      </c>
      <c r="I30" s="484" t="s">
        <v>587</v>
      </c>
      <c r="J30" s="69">
        <v>16</v>
      </c>
      <c r="K30" s="412" t="s">
        <v>589</v>
      </c>
      <c r="L30" s="485" t="s">
        <v>588</v>
      </c>
      <c r="M30" s="131">
        <v>63</v>
      </c>
      <c r="N30" s="415" t="s">
        <v>220</v>
      </c>
      <c r="O30" s="510" t="s">
        <v>601</v>
      </c>
      <c r="P30" s="107" t="s">
        <v>248</v>
      </c>
    </row>
    <row r="31" spans="1:16" ht="15.75" thickBot="1">
      <c r="B31" s="453"/>
      <c r="C31" s="604" t="s">
        <v>45</v>
      </c>
      <c r="D31" s="605"/>
      <c r="E31" s="3"/>
      <c r="F31" s="455"/>
      <c r="G31" s="606"/>
      <c r="H31" s="606"/>
      <c r="I31" s="606"/>
      <c r="J31" s="606"/>
      <c r="K31" s="606"/>
      <c r="L31" s="606"/>
      <c r="M31" s="606"/>
      <c r="N31" s="606"/>
      <c r="O31" s="606"/>
      <c r="P31" s="606"/>
    </row>
    <row r="32" spans="1:16" ht="15.75" thickBot="1">
      <c r="A32" s="495" t="s">
        <v>249</v>
      </c>
      <c r="B32" s="133">
        <v>320100049</v>
      </c>
      <c r="C32" s="26" t="s">
        <v>46</v>
      </c>
      <c r="D32" s="79" t="s">
        <v>17</v>
      </c>
      <c r="E32" s="3"/>
      <c r="F32" s="50">
        <f>(G32+J32)/2</f>
        <v>1591.49</v>
      </c>
      <c r="G32" s="137">
        <f>(24489.8/10)</f>
        <v>2448.98</v>
      </c>
      <c r="H32" s="81" t="s">
        <v>250</v>
      </c>
      <c r="I32" s="138" t="s">
        <v>251</v>
      </c>
      <c r="J32" s="83">
        <v>734</v>
      </c>
      <c r="K32" s="81"/>
      <c r="L32" s="82" t="s">
        <v>252</v>
      </c>
      <c r="M32" s="139"/>
      <c r="N32" s="85"/>
      <c r="O32" s="86"/>
      <c r="P32" s="107" t="s">
        <v>253</v>
      </c>
    </row>
    <row r="33" spans="1:17" ht="15.75" customHeight="1" thickBot="1">
      <c r="A33" s="495" t="s">
        <v>254</v>
      </c>
      <c r="B33" s="133">
        <v>320100053</v>
      </c>
      <c r="C33" s="30" t="s">
        <v>47</v>
      </c>
      <c r="D33" s="79" t="s">
        <v>48</v>
      </c>
      <c r="E33" s="3"/>
      <c r="F33" s="108">
        <f>+(G33+J33)/2</f>
        <v>38.625709999999998</v>
      </c>
      <c r="G33" s="111">
        <f>(17485.71/500)</f>
        <v>34.971419999999995</v>
      </c>
      <c r="H33" s="112" t="s">
        <v>255</v>
      </c>
      <c r="I33" s="113" t="s">
        <v>256</v>
      </c>
      <c r="J33" s="114">
        <f>2114/50</f>
        <v>42.28</v>
      </c>
      <c r="K33" s="112"/>
      <c r="L33" s="113" t="s">
        <v>257</v>
      </c>
      <c r="M33" s="74"/>
      <c r="N33" s="74"/>
      <c r="O33" s="140"/>
      <c r="P33" s="107" t="s">
        <v>258</v>
      </c>
    </row>
    <row r="34" spans="1:17" ht="15.75" customHeight="1" thickBot="1">
      <c r="A34" s="495" t="s">
        <v>259</v>
      </c>
      <c r="B34" s="133">
        <v>320100073</v>
      </c>
      <c r="C34" s="26" t="s">
        <v>49</v>
      </c>
      <c r="D34" s="79" t="s">
        <v>17</v>
      </c>
      <c r="E34" s="3"/>
      <c r="F34" s="60">
        <f>(G34+J34)/2</f>
        <v>17.010204999999999</v>
      </c>
      <c r="G34" s="89">
        <f>(21020.41/1000)</f>
        <v>21.020409999999998</v>
      </c>
      <c r="H34" s="90" t="s">
        <v>250</v>
      </c>
      <c r="I34" s="141" t="s">
        <v>260</v>
      </c>
      <c r="J34" s="92">
        <f>(1300/100)</f>
        <v>13</v>
      </c>
      <c r="K34" s="90" t="s">
        <v>261</v>
      </c>
      <c r="L34" s="91" t="s">
        <v>262</v>
      </c>
      <c r="M34" s="417"/>
      <c r="N34" s="93"/>
      <c r="O34" s="94"/>
      <c r="P34" s="107" t="s">
        <v>263</v>
      </c>
    </row>
    <row r="35" spans="1:17" ht="15.75" customHeight="1" thickBot="1">
      <c r="B35" s="453"/>
      <c r="C35" s="604"/>
      <c r="D35" s="605"/>
      <c r="E35" s="3"/>
      <c r="F35" s="455"/>
      <c r="G35" s="606"/>
      <c r="H35" s="606"/>
      <c r="I35" s="606"/>
      <c r="J35" s="606"/>
      <c r="K35" s="606"/>
      <c r="L35" s="606"/>
      <c r="M35" s="606"/>
      <c r="N35" s="606"/>
      <c r="O35" s="606"/>
      <c r="P35" s="606"/>
    </row>
    <row r="36" spans="1:17" ht="15.75" customHeight="1" thickBot="1">
      <c r="A36" s="495" t="s">
        <v>264</v>
      </c>
      <c r="B36" s="607">
        <v>32130001</v>
      </c>
      <c r="C36" s="26" t="s">
        <v>50</v>
      </c>
      <c r="D36" s="79" t="s">
        <v>17</v>
      </c>
      <c r="F36" s="68">
        <f>(G36+J36+M36)/3</f>
        <v>699.65988888888887</v>
      </c>
      <c r="G36" s="80">
        <f>(33469.39/30)</f>
        <v>1115.6463333333334</v>
      </c>
      <c r="H36" s="81" t="s">
        <v>265</v>
      </c>
      <c r="I36" s="82" t="s">
        <v>266</v>
      </c>
      <c r="J36" s="83">
        <v>110</v>
      </c>
      <c r="K36" s="81"/>
      <c r="L36" s="109" t="s">
        <v>267</v>
      </c>
      <c r="M36" s="143">
        <f>(26200/30)</f>
        <v>873.33333333333337</v>
      </c>
      <c r="N36" s="110" t="s">
        <v>224</v>
      </c>
      <c r="O36" s="614" t="s">
        <v>268</v>
      </c>
      <c r="P36" s="615"/>
    </row>
    <row r="37" spans="1:17" ht="15.75" customHeight="1" thickBot="1">
      <c r="B37" s="597"/>
      <c r="C37" s="19" t="s">
        <v>51</v>
      </c>
      <c r="D37" s="101" t="s">
        <v>17</v>
      </c>
      <c r="E37" s="3"/>
      <c r="F37" s="78"/>
      <c r="G37" s="600" t="s">
        <v>269</v>
      </c>
      <c r="H37" s="582"/>
      <c r="I37" s="582"/>
      <c r="J37" s="582"/>
      <c r="K37" s="582"/>
      <c r="L37" s="582"/>
      <c r="M37" s="582"/>
      <c r="N37" s="582"/>
      <c r="O37" s="582"/>
      <c r="P37" s="583"/>
    </row>
    <row r="38" spans="1:17" ht="15.75" customHeight="1" thickBot="1">
      <c r="A38" s="495" t="s">
        <v>270</v>
      </c>
      <c r="B38" s="133">
        <v>322300022</v>
      </c>
      <c r="C38" s="26" t="s">
        <v>52</v>
      </c>
      <c r="D38" s="79" t="s">
        <v>17</v>
      </c>
      <c r="E38" s="3"/>
      <c r="F38" s="60">
        <f>(G38+J38)/2</f>
        <v>577.33333333333337</v>
      </c>
      <c r="G38" s="89">
        <v>988</v>
      </c>
      <c r="H38" s="90" t="s">
        <v>271</v>
      </c>
      <c r="I38" s="91" t="s">
        <v>272</v>
      </c>
      <c r="J38" s="92">
        <f>40000/240</f>
        <v>166.66666666666666</v>
      </c>
      <c r="K38" s="483" t="s">
        <v>591</v>
      </c>
      <c r="L38" s="618" t="s">
        <v>590</v>
      </c>
      <c r="M38" s="619"/>
      <c r="N38" s="619"/>
      <c r="O38" s="619"/>
      <c r="P38" s="620"/>
    </row>
    <row r="39" spans="1:17" ht="15.75" customHeight="1" thickBot="1">
      <c r="B39" s="144">
        <v>321500181</v>
      </c>
      <c r="C39" s="621" t="s">
        <v>53</v>
      </c>
      <c r="D39" s="622"/>
      <c r="E39" s="3"/>
      <c r="F39" s="459"/>
      <c r="G39" s="600" t="s">
        <v>273</v>
      </c>
      <c r="H39" s="582"/>
      <c r="I39" s="582"/>
      <c r="J39" s="582"/>
      <c r="K39" s="582"/>
      <c r="L39" s="582"/>
      <c r="M39" s="582"/>
      <c r="N39" s="582"/>
      <c r="O39" s="582"/>
      <c r="P39" s="583"/>
    </row>
    <row r="40" spans="1:17" ht="15.75" customHeight="1" thickBot="1">
      <c r="B40" s="453"/>
      <c r="C40" s="604" t="s">
        <v>54</v>
      </c>
      <c r="D40" s="605"/>
      <c r="E40" s="3"/>
      <c r="F40" s="455"/>
      <c r="G40" s="606"/>
      <c r="H40" s="606"/>
      <c r="I40" s="606"/>
      <c r="J40" s="606"/>
      <c r="K40" s="606"/>
      <c r="L40" s="606"/>
      <c r="M40" s="606"/>
      <c r="N40" s="606"/>
      <c r="O40" s="606"/>
      <c r="P40" s="606"/>
    </row>
    <row r="41" spans="1:17" ht="15.75" customHeight="1" thickBot="1">
      <c r="A41" s="495" t="s">
        <v>274</v>
      </c>
      <c r="B41" s="133">
        <v>321220013</v>
      </c>
      <c r="C41" s="26" t="s">
        <v>55</v>
      </c>
      <c r="D41" s="79" t="s">
        <v>15</v>
      </c>
      <c r="E41" s="3"/>
      <c r="F41" s="130">
        <f>(G41)</f>
        <v>84</v>
      </c>
      <c r="G41" s="145">
        <f>(1680/20)</f>
        <v>84</v>
      </c>
      <c r="H41" s="146"/>
      <c r="I41" s="147" t="s">
        <v>275</v>
      </c>
      <c r="J41" s="498"/>
      <c r="K41" s="148"/>
      <c r="L41" s="494"/>
      <c r="M41" s="149"/>
      <c r="N41" s="149"/>
      <c r="O41" s="150"/>
      <c r="P41" s="151" t="s">
        <v>276</v>
      </c>
    </row>
    <row r="42" spans="1:17" ht="15.75" customHeight="1" thickBot="1">
      <c r="B42" s="461"/>
      <c r="C42" s="604"/>
      <c r="D42" s="605"/>
      <c r="E42" s="3"/>
      <c r="F42" s="455"/>
      <c r="G42" s="623"/>
      <c r="H42" s="606"/>
      <c r="I42" s="606"/>
      <c r="J42" s="606"/>
      <c r="K42" s="606"/>
      <c r="L42" s="606"/>
      <c r="M42" s="606"/>
      <c r="N42" s="606"/>
      <c r="O42" s="606"/>
      <c r="P42" s="606"/>
      <c r="Q42" s="606"/>
    </row>
    <row r="43" spans="1:17" ht="15.75" customHeight="1" thickBot="1">
      <c r="A43" s="495" t="s">
        <v>277</v>
      </c>
      <c r="B43" s="133">
        <v>322300061</v>
      </c>
      <c r="C43" s="26" t="s">
        <v>56</v>
      </c>
      <c r="D43" s="79" t="s">
        <v>17</v>
      </c>
      <c r="E43" s="3"/>
      <c r="F43" s="130">
        <f>+(G43+J43+M43)/3</f>
        <v>817.82333333333338</v>
      </c>
      <c r="G43" s="61">
        <v>873.47</v>
      </c>
      <c r="H43" s="134"/>
      <c r="I43" s="147" t="s">
        <v>278</v>
      </c>
      <c r="J43" s="145">
        <v>1000</v>
      </c>
      <c r="K43" s="148"/>
      <c r="L43" s="147" t="s">
        <v>279</v>
      </c>
      <c r="M43" s="152">
        <v>580</v>
      </c>
      <c r="N43" s="149"/>
      <c r="O43" s="63" t="s">
        <v>280</v>
      </c>
      <c r="P43" s="87" t="s">
        <v>281</v>
      </c>
    </row>
    <row r="44" spans="1:17" ht="15.75" customHeight="1" thickBot="1">
      <c r="B44" s="462"/>
      <c r="C44" s="604"/>
      <c r="D44" s="605"/>
      <c r="E44" s="3"/>
      <c r="F44" s="455"/>
      <c r="G44" s="606"/>
      <c r="H44" s="606"/>
      <c r="I44" s="606"/>
      <c r="J44" s="606"/>
      <c r="K44" s="606"/>
      <c r="L44" s="606"/>
      <c r="M44" s="606"/>
      <c r="N44" s="606"/>
      <c r="O44" s="606"/>
      <c r="P44" s="606"/>
    </row>
    <row r="45" spans="1:17" ht="15.75" customHeight="1" thickBot="1">
      <c r="A45" s="495" t="s">
        <v>282</v>
      </c>
      <c r="B45" s="144">
        <v>320300033</v>
      </c>
      <c r="C45" s="19" t="s">
        <v>57</v>
      </c>
      <c r="D45" s="101" t="s">
        <v>15</v>
      </c>
      <c r="E45" s="3"/>
      <c r="F45" s="68">
        <f>(G45)</f>
        <v>1850</v>
      </c>
      <c r="G45" s="61">
        <v>1850</v>
      </c>
      <c r="H45" s="153"/>
      <c r="I45" s="511" t="s">
        <v>602</v>
      </c>
      <c r="J45" s="154"/>
      <c r="K45" s="155"/>
      <c r="L45" s="155"/>
      <c r="M45" s="156"/>
      <c r="N45" s="156"/>
      <c r="O45" s="155"/>
      <c r="P45" s="157"/>
    </row>
    <row r="46" spans="1:17" ht="15.75" customHeight="1" thickBot="1">
      <c r="B46" s="462"/>
      <c r="C46" s="604" t="s">
        <v>283</v>
      </c>
      <c r="D46" s="605"/>
      <c r="E46" s="3"/>
      <c r="F46" s="455"/>
      <c r="G46" s="606"/>
      <c r="H46" s="606"/>
      <c r="I46" s="606"/>
      <c r="J46" s="606"/>
      <c r="K46" s="606"/>
      <c r="L46" s="606"/>
      <c r="M46" s="606"/>
      <c r="N46" s="606"/>
      <c r="O46" s="606"/>
      <c r="P46" s="606"/>
    </row>
    <row r="47" spans="1:17" ht="15.75" customHeight="1" thickBot="1">
      <c r="A47" s="495" t="s">
        <v>284</v>
      </c>
      <c r="B47" s="613">
        <v>32070005</v>
      </c>
      <c r="C47" s="22" t="s">
        <v>285</v>
      </c>
      <c r="D47" s="158" t="s">
        <v>15</v>
      </c>
      <c r="F47" s="88">
        <f t="shared" ref="F47:F51" si="3">(G47+J47)/2</f>
        <v>83.5</v>
      </c>
      <c r="G47" s="80">
        <v>67</v>
      </c>
      <c r="H47" s="55" t="s">
        <v>286</v>
      </c>
      <c r="I47" s="512" t="s">
        <v>603</v>
      </c>
      <c r="J47" s="83">
        <f>(10000/100)</f>
        <v>100</v>
      </c>
      <c r="K47" s="159" t="s">
        <v>286</v>
      </c>
      <c r="L47" s="608" t="s">
        <v>287</v>
      </c>
      <c r="M47" s="609"/>
      <c r="N47" s="609"/>
      <c r="O47" s="609"/>
      <c r="P47" s="610"/>
    </row>
    <row r="48" spans="1:17" ht="15.75" customHeight="1" thickBot="1">
      <c r="B48" s="596"/>
      <c r="C48" s="22" t="s">
        <v>288</v>
      </c>
      <c r="D48" s="158" t="s">
        <v>15</v>
      </c>
      <c r="F48" s="88">
        <f t="shared" si="3"/>
        <v>83.418350000000004</v>
      </c>
      <c r="G48" s="111">
        <v>75</v>
      </c>
      <c r="H48" s="55" t="s">
        <v>286</v>
      </c>
      <c r="I48" s="512" t="s">
        <v>603</v>
      </c>
      <c r="J48" s="114">
        <f>(9183.67/100)</f>
        <v>91.836700000000008</v>
      </c>
      <c r="K48" s="159" t="s">
        <v>286</v>
      </c>
      <c r="L48" s="624" t="s">
        <v>289</v>
      </c>
      <c r="M48" s="569"/>
      <c r="N48" s="569"/>
      <c r="O48" s="569"/>
      <c r="P48" s="622"/>
    </row>
    <row r="49" spans="1:16" ht="15.75" thickBot="1">
      <c r="B49" s="596"/>
      <c r="C49" s="22" t="s">
        <v>290</v>
      </c>
      <c r="D49" s="158" t="s">
        <v>15</v>
      </c>
      <c r="F49" s="88">
        <f t="shared" si="3"/>
        <v>77.5</v>
      </c>
      <c r="G49" s="111">
        <v>55</v>
      </c>
      <c r="H49" s="55" t="s">
        <v>286</v>
      </c>
      <c r="I49" s="512" t="s">
        <v>603</v>
      </c>
      <c r="J49" s="114">
        <f>(10000/100)</f>
        <v>100</v>
      </c>
      <c r="K49" s="159" t="s">
        <v>286</v>
      </c>
      <c r="L49" s="624" t="s">
        <v>291</v>
      </c>
      <c r="M49" s="569"/>
      <c r="N49" s="569"/>
      <c r="O49" s="569"/>
      <c r="P49" s="622"/>
    </row>
    <row r="50" spans="1:16" ht="15.75" thickBot="1">
      <c r="B50" s="596"/>
      <c r="C50" s="22" t="s">
        <v>292</v>
      </c>
      <c r="D50" s="158" t="s">
        <v>15</v>
      </c>
      <c r="F50" s="88">
        <f t="shared" si="3"/>
        <v>212.5</v>
      </c>
      <c r="G50" s="111">
        <v>55</v>
      </c>
      <c r="H50" s="55" t="s">
        <v>286</v>
      </c>
      <c r="I50" s="512" t="s">
        <v>603</v>
      </c>
      <c r="J50" s="114">
        <v>370</v>
      </c>
      <c r="K50" s="159" t="s">
        <v>286</v>
      </c>
      <c r="L50" s="625" t="s">
        <v>592</v>
      </c>
      <c r="M50" s="626"/>
      <c r="N50" s="626"/>
      <c r="O50" s="626"/>
      <c r="P50" s="627"/>
    </row>
    <row r="51" spans="1:16" ht="15.75" thickBot="1">
      <c r="B51" s="597"/>
      <c r="C51" s="22" t="s">
        <v>293</v>
      </c>
      <c r="D51" s="158" t="s">
        <v>15</v>
      </c>
      <c r="F51" s="88">
        <f t="shared" si="3"/>
        <v>82.5</v>
      </c>
      <c r="G51" s="111">
        <v>65</v>
      </c>
      <c r="H51" s="55" t="s">
        <v>286</v>
      </c>
      <c r="I51" s="512" t="s">
        <v>603</v>
      </c>
      <c r="J51" s="114">
        <f>(10000/100)</f>
        <v>100</v>
      </c>
      <c r="K51" s="159" t="s">
        <v>286</v>
      </c>
      <c r="L51" s="628" t="s">
        <v>294</v>
      </c>
      <c r="M51" s="629"/>
      <c r="N51" s="629"/>
      <c r="O51" s="629"/>
      <c r="P51" s="630"/>
    </row>
    <row r="52" spans="1:16" ht="15.75" thickBot="1">
      <c r="B52" s="462"/>
      <c r="C52" s="604"/>
      <c r="D52" s="605"/>
      <c r="E52" s="3"/>
      <c r="F52" s="454"/>
      <c r="G52" s="606"/>
      <c r="H52" s="606"/>
      <c r="I52" s="606"/>
      <c r="J52" s="606"/>
      <c r="K52" s="606"/>
      <c r="L52" s="606"/>
      <c r="M52" s="606"/>
      <c r="N52" s="606"/>
      <c r="O52" s="606"/>
      <c r="P52" s="606"/>
    </row>
    <row r="53" spans="1:16" ht="15.75" thickBot="1">
      <c r="A53" s="495" t="s">
        <v>295</v>
      </c>
      <c r="B53" s="133">
        <v>321600012</v>
      </c>
      <c r="C53" s="26" t="s">
        <v>59</v>
      </c>
      <c r="D53" s="79" t="s">
        <v>17</v>
      </c>
      <c r="E53" s="3"/>
      <c r="F53" s="68">
        <f>(G53+J53)/2</f>
        <v>65.872450000000001</v>
      </c>
      <c r="G53" s="61">
        <f>(7724.49/100)</f>
        <v>77.244900000000001</v>
      </c>
      <c r="H53" s="160" t="s">
        <v>296</v>
      </c>
      <c r="I53" s="70" t="s">
        <v>297</v>
      </c>
      <c r="J53" s="69">
        <f>(5450/100)</f>
        <v>54.5</v>
      </c>
      <c r="K53" s="134" t="s">
        <v>298</v>
      </c>
      <c r="L53" s="135" t="s">
        <v>299</v>
      </c>
      <c r="M53" s="161"/>
      <c r="N53" s="161"/>
      <c r="O53" s="136"/>
      <c r="P53" s="107" t="s">
        <v>300</v>
      </c>
    </row>
    <row r="54" spans="1:16" ht="15.75" thickBot="1">
      <c r="B54" s="462"/>
      <c r="C54" s="604"/>
      <c r="D54" s="605"/>
      <c r="E54" s="3"/>
      <c r="F54" s="455"/>
      <c r="G54" s="606"/>
      <c r="H54" s="606"/>
      <c r="I54" s="606"/>
      <c r="J54" s="606"/>
      <c r="K54" s="606"/>
      <c r="L54" s="606"/>
      <c r="M54" s="606"/>
      <c r="N54" s="606"/>
      <c r="O54" s="606"/>
      <c r="P54" s="606"/>
    </row>
    <row r="55" spans="1:16" ht="15.75" thickBot="1">
      <c r="A55" s="495" t="s">
        <v>301</v>
      </c>
      <c r="B55" s="133">
        <v>320900071</v>
      </c>
      <c r="C55" s="26" t="s">
        <v>60</v>
      </c>
      <c r="D55" s="79" t="s">
        <v>15</v>
      </c>
      <c r="E55" s="3"/>
      <c r="F55" s="130">
        <f>(G55+J55)/2</f>
        <v>1047</v>
      </c>
      <c r="G55" s="61">
        <v>870</v>
      </c>
      <c r="H55" s="134" t="s">
        <v>302</v>
      </c>
      <c r="I55" s="70" t="s">
        <v>303</v>
      </c>
      <c r="J55" s="69">
        <v>1224</v>
      </c>
      <c r="K55" s="134"/>
      <c r="L55" s="70" t="s">
        <v>304</v>
      </c>
      <c r="M55" s="162"/>
      <c r="N55" s="162"/>
      <c r="O55" s="407"/>
      <c r="P55" s="163"/>
    </row>
    <row r="56" spans="1:16" ht="15.75" thickBot="1">
      <c r="B56" s="453"/>
      <c r="C56" s="604" t="s">
        <v>61</v>
      </c>
      <c r="D56" s="605"/>
      <c r="E56" s="3"/>
      <c r="F56" s="455"/>
      <c r="G56" s="606"/>
      <c r="H56" s="606"/>
      <c r="I56" s="606"/>
      <c r="J56" s="606"/>
      <c r="K56" s="606"/>
      <c r="L56" s="606"/>
      <c r="M56" s="606"/>
      <c r="N56" s="606"/>
      <c r="O56" s="606"/>
      <c r="P56" s="606"/>
    </row>
    <row r="57" spans="1:16" ht="15.75" thickBot="1">
      <c r="A57" s="495" t="s">
        <v>305</v>
      </c>
      <c r="B57" s="607">
        <v>32150002</v>
      </c>
      <c r="C57" s="26" t="s">
        <v>62</v>
      </c>
      <c r="D57" s="79" t="s">
        <v>63</v>
      </c>
      <c r="E57" s="3"/>
      <c r="F57" s="164">
        <v>3376</v>
      </c>
      <c r="G57" s="165">
        <v>5306.12</v>
      </c>
      <c r="H57" s="166"/>
      <c r="I57" s="167" t="s">
        <v>306</v>
      </c>
      <c r="J57" s="166"/>
      <c r="K57" s="166"/>
      <c r="L57" s="166"/>
      <c r="M57" s="166"/>
      <c r="N57" s="166"/>
      <c r="O57" s="166"/>
      <c r="P57" s="168"/>
    </row>
    <row r="58" spans="1:16" ht="15.75" thickBot="1">
      <c r="A58" s="495" t="s">
        <v>307</v>
      </c>
      <c r="B58" s="597"/>
      <c r="C58" s="26" t="s">
        <v>64</v>
      </c>
      <c r="D58" s="79" t="s">
        <v>33</v>
      </c>
      <c r="E58" s="3"/>
      <c r="F58" s="164">
        <v>8441.56</v>
      </c>
      <c r="G58" s="169">
        <v>13265.31</v>
      </c>
      <c r="H58" s="170"/>
      <c r="I58" s="171" t="s">
        <v>308</v>
      </c>
      <c r="J58" s="170"/>
      <c r="K58" s="170"/>
      <c r="L58" s="170"/>
      <c r="M58" s="170"/>
      <c r="N58" s="170"/>
      <c r="O58" s="170"/>
      <c r="P58" s="172"/>
    </row>
    <row r="59" spans="1:16" ht="15.75" thickBot="1">
      <c r="B59" s="462"/>
      <c r="C59" s="604"/>
      <c r="D59" s="605"/>
      <c r="E59" s="3"/>
      <c r="F59" s="454"/>
      <c r="G59" s="606"/>
      <c r="H59" s="606"/>
      <c r="I59" s="606"/>
      <c r="J59" s="606"/>
      <c r="K59" s="606"/>
      <c r="L59" s="606"/>
      <c r="M59" s="606"/>
      <c r="N59" s="606"/>
      <c r="O59" s="606"/>
      <c r="P59" s="606"/>
    </row>
    <row r="60" spans="1:16" ht="15.75" thickBot="1">
      <c r="A60" s="495" t="s">
        <v>309</v>
      </c>
      <c r="B60" s="133">
        <v>3212002017</v>
      </c>
      <c r="C60" s="30" t="s">
        <v>65</v>
      </c>
      <c r="D60" s="79" t="s">
        <v>15</v>
      </c>
      <c r="E60" s="3"/>
      <c r="F60" s="130">
        <f>(G60)</f>
        <v>7959.18</v>
      </c>
      <c r="G60" s="61">
        <v>7959.18</v>
      </c>
      <c r="H60" s="134" t="s">
        <v>179</v>
      </c>
      <c r="I60" s="421" t="s">
        <v>310</v>
      </c>
      <c r="J60" s="173"/>
      <c r="K60" s="173"/>
      <c r="L60" s="173"/>
      <c r="M60" s="173"/>
      <c r="N60" s="173"/>
      <c r="O60" s="173"/>
      <c r="P60" s="174"/>
    </row>
    <row r="61" spans="1:16" ht="15.75" thickBot="1">
      <c r="B61" s="453"/>
      <c r="C61" s="604" t="s">
        <v>66</v>
      </c>
      <c r="D61" s="605"/>
      <c r="E61" s="175"/>
      <c r="F61" s="455"/>
      <c r="G61" s="606"/>
      <c r="H61" s="606"/>
      <c r="I61" s="606"/>
      <c r="J61" s="606"/>
      <c r="K61" s="606"/>
      <c r="L61" s="606"/>
      <c r="M61" s="606"/>
      <c r="N61" s="606"/>
      <c r="O61" s="606"/>
      <c r="P61" s="606"/>
    </row>
    <row r="62" spans="1:16" ht="15.75" thickBot="1">
      <c r="A62" s="495" t="s">
        <v>311</v>
      </c>
      <c r="B62" s="48">
        <v>32220001</v>
      </c>
      <c r="C62" s="14" t="s">
        <v>67</v>
      </c>
      <c r="D62" s="49" t="s">
        <v>17</v>
      </c>
      <c r="E62" s="3"/>
      <c r="F62" s="68">
        <f>(G62+J62)/2</f>
        <v>4296.95</v>
      </c>
      <c r="G62" s="61">
        <v>5244.9</v>
      </c>
      <c r="H62" s="134" t="s">
        <v>312</v>
      </c>
      <c r="I62" s="422" t="s">
        <v>313</v>
      </c>
      <c r="J62" s="69">
        <v>3349</v>
      </c>
      <c r="K62" s="134" t="s">
        <v>314</v>
      </c>
      <c r="L62" s="423" t="s">
        <v>315</v>
      </c>
      <c r="M62" s="177"/>
      <c r="N62" s="177"/>
      <c r="O62" s="176"/>
      <c r="P62" s="178"/>
    </row>
    <row r="63" spans="1:16" ht="15.75" thickBot="1">
      <c r="B63" s="462"/>
      <c r="C63" s="604"/>
      <c r="D63" s="605"/>
      <c r="E63" s="3"/>
      <c r="F63" s="455"/>
      <c r="G63" s="606"/>
      <c r="H63" s="606"/>
      <c r="I63" s="606"/>
      <c r="J63" s="606"/>
      <c r="K63" s="606"/>
      <c r="L63" s="606"/>
      <c r="M63" s="606"/>
      <c r="N63" s="606"/>
      <c r="O63" s="606"/>
      <c r="P63" s="606"/>
    </row>
    <row r="64" spans="1:16" ht="15.75" thickBot="1">
      <c r="A64" s="495" t="s">
        <v>316</v>
      </c>
      <c r="B64" s="133">
        <v>321500041</v>
      </c>
      <c r="C64" s="26" t="s">
        <v>68</v>
      </c>
      <c r="D64" s="79" t="s">
        <v>15</v>
      </c>
      <c r="E64" s="3"/>
      <c r="F64" s="130">
        <f>(G64)</f>
        <v>2479.5918000000001</v>
      </c>
      <c r="G64" s="61">
        <f>(247959.18/100)</f>
        <v>2479.5918000000001</v>
      </c>
      <c r="H64" s="134" t="s">
        <v>220</v>
      </c>
      <c r="I64" s="419" t="s">
        <v>317</v>
      </c>
      <c r="J64" s="154"/>
      <c r="K64" s="148"/>
      <c r="L64" s="148"/>
      <c r="M64" s="179"/>
      <c r="N64" s="179"/>
      <c r="O64" s="180"/>
      <c r="P64" s="163"/>
    </row>
    <row r="65" spans="1:16" ht="15.75" thickBot="1">
      <c r="B65" s="462"/>
      <c r="C65" s="604"/>
      <c r="D65" s="605"/>
      <c r="E65" s="3"/>
      <c r="F65" s="455"/>
      <c r="G65" s="606"/>
      <c r="H65" s="606"/>
      <c r="I65" s="606"/>
      <c r="J65" s="606"/>
      <c r="K65" s="606"/>
      <c r="L65" s="606"/>
      <c r="M65" s="606"/>
      <c r="N65" s="606"/>
      <c r="O65" s="606"/>
      <c r="P65" s="606"/>
    </row>
    <row r="66" spans="1:16" ht="15.75" thickBot="1">
      <c r="A66" s="495" t="s">
        <v>318</v>
      </c>
      <c r="B66" s="181"/>
      <c r="C66" s="19" t="s">
        <v>69</v>
      </c>
      <c r="D66" s="182" t="s">
        <v>17</v>
      </c>
      <c r="E66" s="3"/>
      <c r="F66" s="88">
        <f t="shared" ref="F66:F67" si="4">+(G66+J66)/2</f>
        <v>1007.5</v>
      </c>
      <c r="G66" s="80">
        <v>845</v>
      </c>
      <c r="H66" s="52"/>
      <c r="I66" s="424" t="s">
        <v>319</v>
      </c>
      <c r="J66" s="83">
        <v>1170</v>
      </c>
      <c r="K66" s="52"/>
      <c r="L66" s="424" t="s">
        <v>320</v>
      </c>
      <c r="M66" s="183"/>
      <c r="N66" s="183"/>
      <c r="O66" s="183"/>
      <c r="P66" s="184"/>
    </row>
    <row r="67" spans="1:16" ht="15.75" thickBot="1">
      <c r="A67" s="495" t="s">
        <v>321</v>
      </c>
      <c r="B67" s="181"/>
      <c r="C67" s="19" t="s">
        <v>70</v>
      </c>
      <c r="D67" s="182" t="s">
        <v>17</v>
      </c>
      <c r="E67" s="3"/>
      <c r="F67" s="88">
        <f t="shared" si="4"/>
        <v>1445.5</v>
      </c>
      <c r="G67" s="111">
        <v>1141</v>
      </c>
      <c r="H67" s="185"/>
      <c r="I67" s="497" t="s">
        <v>322</v>
      </c>
      <c r="J67" s="114">
        <v>1750</v>
      </c>
      <c r="K67" s="185"/>
      <c r="L67" s="426" t="s">
        <v>323</v>
      </c>
      <c r="M67" s="186"/>
      <c r="N67" s="186"/>
      <c r="O67" s="186"/>
      <c r="P67" s="187"/>
    </row>
    <row r="68" spans="1:16" ht="15.75" thickBot="1">
      <c r="A68" s="495" t="s">
        <v>324</v>
      </c>
      <c r="B68" s="133">
        <v>3201000612</v>
      </c>
      <c r="C68" s="464" t="s">
        <v>580</v>
      </c>
      <c r="D68" s="79" t="s">
        <v>17</v>
      </c>
      <c r="E68" s="3"/>
      <c r="F68" s="88">
        <f>(G68+J68)/2</f>
        <v>478.5</v>
      </c>
      <c r="G68" s="61">
        <v>377</v>
      </c>
      <c r="H68" s="134"/>
      <c r="I68" s="425" t="s">
        <v>325</v>
      </c>
      <c r="J68" s="92">
        <v>580</v>
      </c>
      <c r="K68" s="188"/>
      <c r="L68" s="427" t="s">
        <v>326</v>
      </c>
      <c r="M68" s="93"/>
      <c r="N68" s="93"/>
      <c r="O68" s="189"/>
      <c r="P68" s="190" t="s">
        <v>327</v>
      </c>
    </row>
    <row r="69" spans="1:16" ht="15.75" thickBot="1">
      <c r="B69" s="462"/>
      <c r="C69" s="604"/>
      <c r="D69" s="605"/>
      <c r="E69" s="3"/>
      <c r="F69" s="455"/>
      <c r="G69" s="606"/>
      <c r="H69" s="606"/>
      <c r="I69" s="606"/>
      <c r="J69" s="606"/>
      <c r="K69" s="606"/>
      <c r="L69" s="606"/>
      <c r="M69" s="606"/>
      <c r="N69" s="606"/>
      <c r="O69" s="606"/>
      <c r="P69" s="606"/>
    </row>
    <row r="70" spans="1:16" ht="15.75" thickBot="1">
      <c r="A70" s="495" t="s">
        <v>328</v>
      </c>
      <c r="B70" s="133">
        <v>321500036</v>
      </c>
      <c r="C70" s="502" t="s">
        <v>72</v>
      </c>
      <c r="D70" s="79" t="s">
        <v>73</v>
      </c>
      <c r="E70" s="3"/>
      <c r="F70" s="130">
        <f>+(G70+J70)/2</f>
        <v>2823.8150000000001</v>
      </c>
      <c r="G70" s="61">
        <v>4081.63</v>
      </c>
      <c r="H70" s="134" t="s">
        <v>329</v>
      </c>
      <c r="I70" s="425" t="s">
        <v>330</v>
      </c>
      <c r="J70" s="114">
        <v>1566</v>
      </c>
      <c r="K70" s="191"/>
      <c r="L70" s="428" t="s">
        <v>598</v>
      </c>
      <c r="M70" s="74"/>
      <c r="N70" s="74"/>
      <c r="O70" s="192"/>
      <c r="P70" s="95"/>
    </row>
    <row r="71" spans="1:16" ht="15.75" thickBot="1">
      <c r="B71" s="453"/>
      <c r="C71" s="604" t="s">
        <v>74</v>
      </c>
      <c r="D71" s="605"/>
      <c r="E71" s="3"/>
      <c r="F71" s="455"/>
      <c r="G71" s="606"/>
      <c r="H71" s="606"/>
      <c r="I71" s="606"/>
      <c r="J71" s="606"/>
      <c r="K71" s="606"/>
      <c r="L71" s="606"/>
      <c r="M71" s="606"/>
      <c r="N71" s="606"/>
      <c r="O71" s="606"/>
      <c r="P71" s="606"/>
    </row>
    <row r="72" spans="1:16" ht="15.75" thickBot="1">
      <c r="A72" s="495" t="s">
        <v>331</v>
      </c>
      <c r="B72" s="133">
        <v>32050001</v>
      </c>
      <c r="C72" s="26" t="s">
        <v>75</v>
      </c>
      <c r="D72" s="79" t="s">
        <v>17</v>
      </c>
      <c r="E72" s="3"/>
      <c r="F72" s="68">
        <f>(G72+J72)/2</f>
        <v>40.275500000000001</v>
      </c>
      <c r="G72" s="61">
        <f>(1150/50)</f>
        <v>23</v>
      </c>
      <c r="H72" s="134"/>
      <c r="I72" s="425" t="s">
        <v>332</v>
      </c>
      <c r="J72" s="193">
        <f>(2877.55/50)</f>
        <v>57.551000000000002</v>
      </c>
      <c r="K72" s="159" t="s">
        <v>333</v>
      </c>
      <c r="L72" s="429" t="s">
        <v>334</v>
      </c>
      <c r="M72" s="195"/>
      <c r="N72" s="195"/>
      <c r="O72" s="136"/>
      <c r="P72" s="107" t="s">
        <v>335</v>
      </c>
    </row>
    <row r="73" spans="1:16" ht="15.75" thickBot="1">
      <c r="B73" s="462"/>
      <c r="C73" s="604"/>
      <c r="D73" s="605"/>
      <c r="E73" s="3"/>
      <c r="F73" s="455"/>
      <c r="G73" s="606"/>
      <c r="H73" s="606"/>
      <c r="I73" s="606"/>
      <c r="J73" s="606"/>
      <c r="K73" s="606"/>
      <c r="L73" s="606"/>
      <c r="M73" s="606"/>
      <c r="N73" s="606"/>
      <c r="O73" s="606"/>
      <c r="P73" s="606"/>
    </row>
    <row r="74" spans="1:16" ht="15.75" thickBot="1">
      <c r="A74" s="495" t="s">
        <v>336</v>
      </c>
      <c r="B74" s="48">
        <v>320700121</v>
      </c>
      <c r="C74" s="74" t="s">
        <v>76</v>
      </c>
      <c r="D74" s="196" t="s">
        <v>17</v>
      </c>
      <c r="E74" s="3"/>
      <c r="F74" s="460"/>
      <c r="G74" s="600" t="s">
        <v>337</v>
      </c>
      <c r="H74" s="582"/>
      <c r="I74" s="582"/>
      <c r="J74" s="582"/>
      <c r="K74" s="582"/>
      <c r="L74" s="582"/>
      <c r="M74" s="582"/>
      <c r="N74" s="582"/>
      <c r="O74" s="582"/>
      <c r="P74" s="583"/>
    </row>
    <row r="75" spans="1:16" ht="15.75" thickBot="1">
      <c r="B75" s="453"/>
      <c r="C75" s="604" t="s">
        <v>77</v>
      </c>
      <c r="D75" s="605"/>
      <c r="E75" s="3"/>
      <c r="F75" s="455"/>
      <c r="G75" s="606"/>
      <c r="H75" s="606"/>
      <c r="I75" s="606"/>
      <c r="J75" s="606"/>
      <c r="K75" s="606"/>
      <c r="L75" s="606"/>
      <c r="M75" s="606"/>
      <c r="N75" s="606"/>
      <c r="O75" s="606"/>
      <c r="P75" s="606"/>
    </row>
    <row r="76" spans="1:16" ht="15.75" thickBot="1">
      <c r="B76" s="607">
        <v>32160002</v>
      </c>
      <c r="C76" s="26" t="s">
        <v>78</v>
      </c>
      <c r="D76" s="79" t="s">
        <v>17</v>
      </c>
      <c r="E76" s="3"/>
      <c r="F76" s="50">
        <f t="shared" ref="F76:F78" si="5">(G76+J76+M76)/3</f>
        <v>262.61196666666666</v>
      </c>
      <c r="G76" s="80">
        <f>(21428.57/100)</f>
        <v>214.28569999999999</v>
      </c>
      <c r="H76" s="81" t="s">
        <v>338</v>
      </c>
      <c r="I76" s="424" t="s">
        <v>339</v>
      </c>
      <c r="J76" s="83">
        <f>27551.02/100</f>
        <v>275.5102</v>
      </c>
      <c r="K76" s="81" t="s">
        <v>340</v>
      </c>
      <c r="L76" s="424" t="s">
        <v>341</v>
      </c>
      <c r="M76" s="84">
        <f>(29804/100)</f>
        <v>298.04000000000002</v>
      </c>
      <c r="N76" s="129" t="s">
        <v>298</v>
      </c>
      <c r="O76" s="430" t="s">
        <v>342</v>
      </c>
      <c r="P76" s="198" t="s">
        <v>343</v>
      </c>
    </row>
    <row r="77" spans="1:16" ht="15.75" thickBot="1">
      <c r="A77" s="495" t="s">
        <v>344</v>
      </c>
      <c r="B77" s="596"/>
      <c r="C77" s="26" t="s">
        <v>79</v>
      </c>
      <c r="D77" s="79" t="s">
        <v>17</v>
      </c>
      <c r="E77" s="3"/>
      <c r="F77" s="88">
        <f t="shared" si="5"/>
        <v>281.65959999999995</v>
      </c>
      <c r="G77" s="111">
        <f>(26326.53/100)</f>
        <v>263.26529999999997</v>
      </c>
      <c r="H77" s="112" t="s">
        <v>338</v>
      </c>
      <c r="I77" s="426" t="s">
        <v>345</v>
      </c>
      <c r="J77" s="114">
        <f>28367.35/100</f>
        <v>283.67349999999999</v>
      </c>
      <c r="K77" s="112" t="s">
        <v>340</v>
      </c>
      <c r="L77" s="426" t="s">
        <v>346</v>
      </c>
      <c r="M77" s="119">
        <f>(29804/100)</f>
        <v>298.04000000000002</v>
      </c>
      <c r="N77" s="120" t="s">
        <v>298</v>
      </c>
      <c r="O77" s="497" t="s">
        <v>342</v>
      </c>
      <c r="P77" s="107" t="s">
        <v>347</v>
      </c>
    </row>
    <row r="78" spans="1:16" ht="15.75" thickBot="1">
      <c r="B78" s="597"/>
      <c r="C78" s="26" t="s">
        <v>80</v>
      </c>
      <c r="D78" s="79" t="s">
        <v>17</v>
      </c>
      <c r="E78" s="3"/>
      <c r="F78" s="60">
        <f t="shared" si="5"/>
        <v>306.14936666666671</v>
      </c>
      <c r="G78" s="89">
        <f>30204.08/100</f>
        <v>302.04079999999999</v>
      </c>
      <c r="H78" s="90" t="s">
        <v>298</v>
      </c>
      <c r="I78" s="411" t="s">
        <v>348</v>
      </c>
      <c r="J78" s="92">
        <f>31836.73/100</f>
        <v>318.3673</v>
      </c>
      <c r="K78" s="90" t="s">
        <v>340</v>
      </c>
      <c r="L78" s="91" t="s">
        <v>349</v>
      </c>
      <c r="M78" s="142">
        <f>(29804/100)</f>
        <v>298.04000000000002</v>
      </c>
      <c r="N78" s="199" t="s">
        <v>298</v>
      </c>
      <c r="O78" s="431" t="s">
        <v>342</v>
      </c>
      <c r="P78" s="151" t="s">
        <v>343</v>
      </c>
    </row>
    <row r="79" spans="1:16" ht="15.75" thickBot="1">
      <c r="B79" s="453"/>
      <c r="C79" s="604"/>
      <c r="D79" s="605"/>
      <c r="E79" s="3"/>
      <c r="F79" s="455"/>
      <c r="G79" s="606"/>
      <c r="H79" s="606"/>
      <c r="I79" s="606"/>
      <c r="J79" s="606"/>
      <c r="K79" s="606"/>
      <c r="L79" s="606"/>
      <c r="M79" s="606"/>
      <c r="N79" s="606"/>
      <c r="O79" s="606"/>
      <c r="P79" s="606"/>
    </row>
    <row r="80" spans="1:16" ht="15.75" thickBot="1">
      <c r="B80" s="144">
        <v>321200161</v>
      </c>
      <c r="C80" s="74" t="s">
        <v>81</v>
      </c>
      <c r="D80" s="196" t="s">
        <v>15</v>
      </c>
      <c r="E80" s="3"/>
      <c r="F80" s="460"/>
      <c r="G80" s="600" t="s">
        <v>350</v>
      </c>
      <c r="H80" s="582"/>
      <c r="I80" s="582"/>
      <c r="J80" s="582"/>
      <c r="K80" s="582"/>
      <c r="L80" s="582"/>
      <c r="M80" s="582"/>
      <c r="N80" s="582"/>
      <c r="O80" s="582"/>
      <c r="P80" s="583"/>
    </row>
    <row r="81" spans="1:17" ht="15.75" customHeight="1" thickBot="1">
      <c r="B81" s="144">
        <v>321200172</v>
      </c>
      <c r="C81" s="74" t="s">
        <v>82</v>
      </c>
      <c r="D81" s="196" t="s">
        <v>15</v>
      </c>
      <c r="F81" s="460"/>
      <c r="G81" s="600" t="s">
        <v>350</v>
      </c>
      <c r="H81" s="582"/>
      <c r="I81" s="582"/>
      <c r="J81" s="582"/>
      <c r="K81" s="582"/>
      <c r="L81" s="582"/>
      <c r="M81" s="582"/>
      <c r="N81" s="582"/>
      <c r="O81" s="582"/>
      <c r="P81" s="583"/>
    </row>
    <row r="82" spans="1:17" ht="15.75" customHeight="1" thickBot="1">
      <c r="B82" s="453"/>
      <c r="C82" s="604"/>
      <c r="D82" s="605"/>
      <c r="F82" s="454"/>
      <c r="G82" s="606"/>
      <c r="H82" s="606"/>
      <c r="I82" s="606"/>
      <c r="J82" s="606"/>
      <c r="K82" s="606"/>
      <c r="L82" s="606"/>
      <c r="M82" s="606"/>
      <c r="N82" s="606"/>
      <c r="O82" s="606"/>
      <c r="P82" s="606"/>
    </row>
    <row r="83" spans="1:17" ht="15.75" customHeight="1" thickBot="1">
      <c r="A83" s="495" t="s">
        <v>351</v>
      </c>
      <c r="B83" s="144">
        <v>321200192</v>
      </c>
      <c r="C83" s="418" t="s">
        <v>83</v>
      </c>
      <c r="D83" s="101" t="s">
        <v>17</v>
      </c>
      <c r="E83" s="3"/>
      <c r="F83" s="88">
        <f>+G83</f>
        <v>1750</v>
      </c>
      <c r="G83" s="61">
        <v>1750</v>
      </c>
      <c r="H83" s="134"/>
      <c r="I83" s="493" t="s">
        <v>352</v>
      </c>
      <c r="J83" s="200"/>
      <c r="K83" s="201"/>
      <c r="L83" s="201"/>
      <c r="M83" s="201"/>
      <c r="N83" s="201"/>
      <c r="O83" s="201"/>
      <c r="P83" s="202"/>
    </row>
    <row r="84" spans="1:17" ht="15.75" customHeight="1" thickBot="1">
      <c r="B84" s="453"/>
      <c r="C84" s="604" t="s">
        <v>84</v>
      </c>
      <c r="D84" s="605"/>
      <c r="E84" s="3"/>
      <c r="F84" s="455"/>
      <c r="G84" s="606"/>
      <c r="H84" s="606"/>
      <c r="I84" s="606"/>
      <c r="J84" s="606"/>
      <c r="K84" s="606"/>
      <c r="L84" s="606"/>
      <c r="M84" s="606"/>
      <c r="N84" s="606"/>
      <c r="O84" s="606"/>
      <c r="P84" s="606"/>
    </row>
    <row r="85" spans="1:17" ht="15.75" customHeight="1" thickBot="1">
      <c r="A85" s="495" t="s">
        <v>353</v>
      </c>
      <c r="B85" s="607">
        <v>32020003</v>
      </c>
      <c r="C85" s="26" t="s">
        <v>85</v>
      </c>
      <c r="D85" s="79" t="s">
        <v>86</v>
      </c>
      <c r="E85" s="3" t="s">
        <v>354</v>
      </c>
      <c r="F85" s="50">
        <f>(G85+J85)/2</f>
        <v>7531.12</v>
      </c>
      <c r="G85" s="80">
        <v>10612.24</v>
      </c>
      <c r="H85" s="81" t="s">
        <v>209</v>
      </c>
      <c r="I85" s="82" t="s">
        <v>355</v>
      </c>
      <c r="J85" s="83">
        <v>4450</v>
      </c>
      <c r="K85" s="203" t="s">
        <v>356</v>
      </c>
      <c r="L85" s="82" t="s">
        <v>357</v>
      </c>
      <c r="M85" s="85"/>
      <c r="N85" s="85"/>
      <c r="O85" s="86"/>
      <c r="P85" s="107" t="s">
        <v>358</v>
      </c>
    </row>
    <row r="86" spans="1:17" ht="15.75" customHeight="1" thickBot="1">
      <c r="A86" s="495" t="s">
        <v>359</v>
      </c>
      <c r="B86" s="597"/>
      <c r="C86" s="26" t="s">
        <v>87</v>
      </c>
      <c r="D86" s="79" t="s">
        <v>88</v>
      </c>
      <c r="E86" s="3"/>
      <c r="F86" s="88">
        <f>+G86</f>
        <v>372.24491999999998</v>
      </c>
      <c r="G86" s="111">
        <f>(62040.82/500)*3</f>
        <v>372.24491999999998</v>
      </c>
      <c r="H86" s="90" t="s">
        <v>209</v>
      </c>
      <c r="I86" s="432" t="s">
        <v>360</v>
      </c>
      <c r="J86" s="204"/>
      <c r="K86" s="205"/>
      <c r="L86" s="188"/>
      <c r="M86" s="93"/>
      <c r="N86" s="93"/>
      <c r="O86" s="94"/>
      <c r="P86" s="151" t="s">
        <v>361</v>
      </c>
    </row>
    <row r="87" spans="1:17" ht="15.75" customHeight="1" thickBot="1">
      <c r="A87" s="206" t="s">
        <v>362</v>
      </c>
      <c r="B87" s="207">
        <v>320200024</v>
      </c>
      <c r="C87" s="208" t="s">
        <v>89</v>
      </c>
      <c r="D87" s="209" t="s">
        <v>86</v>
      </c>
      <c r="E87" s="206"/>
      <c r="F87" s="210">
        <f>(G87+J87)/2</f>
        <v>7531.12</v>
      </c>
      <c r="G87" s="211">
        <v>10612.24</v>
      </c>
      <c r="H87" s="212" t="s">
        <v>209</v>
      </c>
      <c r="I87" s="213" t="s">
        <v>355</v>
      </c>
      <c r="J87" s="214">
        <v>4450</v>
      </c>
      <c r="K87" s="215" t="s">
        <v>356</v>
      </c>
      <c r="L87" s="433" t="s">
        <v>357</v>
      </c>
      <c r="M87" s="216"/>
      <c r="N87" s="216"/>
      <c r="O87" s="217"/>
      <c r="P87" s="218" t="s">
        <v>363</v>
      </c>
      <c r="Q87" s="206"/>
    </row>
    <row r="88" spans="1:17" ht="15.75" customHeight="1" thickBot="1">
      <c r="B88" s="453"/>
      <c r="C88" s="604"/>
      <c r="D88" s="605"/>
      <c r="E88" s="3"/>
      <c r="F88" s="454"/>
      <c r="G88" s="606"/>
      <c r="H88" s="606"/>
      <c r="I88" s="606"/>
      <c r="J88" s="606"/>
      <c r="K88" s="606"/>
      <c r="L88" s="606"/>
      <c r="M88" s="606"/>
      <c r="N88" s="606"/>
      <c r="O88" s="606"/>
      <c r="P88" s="606"/>
    </row>
    <row r="89" spans="1:17" ht="15.75" customHeight="1" thickBot="1">
      <c r="A89" s="495" t="s">
        <v>364</v>
      </c>
      <c r="B89" s="133">
        <v>320500026</v>
      </c>
      <c r="C89" s="26" t="s">
        <v>90</v>
      </c>
      <c r="D89" s="79" t="s">
        <v>91</v>
      </c>
      <c r="E89" s="3"/>
      <c r="F89" s="68">
        <f>(G89+J89+M89)/3</f>
        <v>595.33333333333337</v>
      </c>
      <c r="G89" s="219">
        <v>541</v>
      </c>
      <c r="H89" s="134" t="s">
        <v>365</v>
      </c>
      <c r="I89" s="503" t="s">
        <v>366</v>
      </c>
      <c r="J89" s="69">
        <v>900</v>
      </c>
      <c r="K89" s="134" t="s">
        <v>367</v>
      </c>
      <c r="L89" s="413" t="s">
        <v>368</v>
      </c>
      <c r="M89" s="221">
        <f>(1380/2)/2</f>
        <v>345</v>
      </c>
      <c r="N89" s="72" t="s">
        <v>369</v>
      </c>
      <c r="O89" s="414" t="s">
        <v>370</v>
      </c>
      <c r="P89" s="87" t="s">
        <v>371</v>
      </c>
    </row>
    <row r="90" spans="1:17" ht="15.75" customHeight="1" thickBot="1">
      <c r="B90" s="453"/>
      <c r="C90" s="604" t="s">
        <v>92</v>
      </c>
      <c r="D90" s="605"/>
      <c r="E90" s="3"/>
      <c r="F90" s="455"/>
      <c r="G90" s="606"/>
      <c r="H90" s="606"/>
      <c r="I90" s="606"/>
      <c r="J90" s="606"/>
      <c r="K90" s="606"/>
      <c r="L90" s="606"/>
      <c r="M90" s="606"/>
      <c r="N90" s="606"/>
      <c r="O90" s="606"/>
      <c r="P90" s="606"/>
    </row>
    <row r="91" spans="1:17" ht="15.75" customHeight="1" thickBot="1">
      <c r="A91" s="495" t="s">
        <v>372</v>
      </c>
      <c r="B91" s="144">
        <v>320100112</v>
      </c>
      <c r="C91" s="19" t="s">
        <v>93</v>
      </c>
      <c r="D91" s="101" t="s">
        <v>94</v>
      </c>
      <c r="E91" s="3"/>
      <c r="F91" s="68">
        <f t="shared" ref="F91:F93" si="6">(G91+J91)/2</f>
        <v>4372.4500000000007</v>
      </c>
      <c r="G91" s="61">
        <v>4255.1000000000004</v>
      </c>
      <c r="H91" s="62" t="s">
        <v>373</v>
      </c>
      <c r="I91" s="70" t="s">
        <v>374</v>
      </c>
      <c r="J91" s="69">
        <v>4489.8</v>
      </c>
      <c r="K91" s="222" t="s">
        <v>191</v>
      </c>
      <c r="L91" s="424" t="s">
        <v>375</v>
      </c>
      <c r="M91" s="223"/>
      <c r="N91" s="183"/>
      <c r="O91" s="224"/>
      <c r="P91" s="225" t="s">
        <v>300</v>
      </c>
    </row>
    <row r="92" spans="1:17" ht="15.75" customHeight="1" thickBot="1">
      <c r="A92" s="495" t="s">
        <v>376</v>
      </c>
      <c r="B92" s="144">
        <v>320100123</v>
      </c>
      <c r="C92" s="19" t="s">
        <v>95</v>
      </c>
      <c r="D92" s="101" t="s">
        <v>96</v>
      </c>
      <c r="E92" s="3"/>
      <c r="F92" s="88">
        <f t="shared" si="6"/>
        <v>187.7551</v>
      </c>
      <c r="G92" s="111">
        <f>(11020.41/50)</f>
        <v>220.40819999999999</v>
      </c>
      <c r="H92" s="185" t="s">
        <v>377</v>
      </c>
      <c r="I92" s="226" t="s">
        <v>378</v>
      </c>
      <c r="J92" s="114">
        <f>(7755.1/50)</f>
        <v>155.102</v>
      </c>
      <c r="K92" s="159" t="s">
        <v>379</v>
      </c>
      <c r="L92" s="428" t="s">
        <v>380</v>
      </c>
      <c r="M92" s="186"/>
      <c r="N92" s="186"/>
      <c r="O92" s="227"/>
      <c r="P92" s="100" t="s">
        <v>381</v>
      </c>
    </row>
    <row r="93" spans="1:17" ht="15.75" customHeight="1" thickBot="1">
      <c r="A93" s="495" t="s">
        <v>382</v>
      </c>
      <c r="B93" s="144">
        <v>3201001710</v>
      </c>
      <c r="C93" s="19" t="s">
        <v>97</v>
      </c>
      <c r="D93" s="101" t="s">
        <v>94</v>
      </c>
      <c r="E93" s="175"/>
      <c r="F93" s="68">
        <f t="shared" si="6"/>
        <v>6389.7950000000001</v>
      </c>
      <c r="G93" s="61">
        <v>3800</v>
      </c>
      <c r="H93" s="62" t="s">
        <v>233</v>
      </c>
      <c r="I93" s="413" t="s">
        <v>383</v>
      </c>
      <c r="J93" s="69">
        <v>8979.59</v>
      </c>
      <c r="K93" s="222" t="s">
        <v>179</v>
      </c>
      <c r="L93" s="91" t="s">
        <v>384</v>
      </c>
      <c r="M93" s="228"/>
      <c r="N93" s="228"/>
      <c r="O93" s="229"/>
      <c r="P93" s="100" t="s">
        <v>385</v>
      </c>
    </row>
    <row r="94" spans="1:17" ht="15.75" customHeight="1" thickBot="1">
      <c r="B94" s="453"/>
      <c r="C94" s="604" t="s">
        <v>98</v>
      </c>
      <c r="D94" s="605"/>
      <c r="E94" s="175"/>
      <c r="F94" s="455"/>
      <c r="G94" s="606"/>
      <c r="H94" s="606"/>
      <c r="I94" s="606"/>
      <c r="J94" s="606"/>
      <c r="K94" s="606"/>
      <c r="L94" s="606"/>
      <c r="M94" s="606"/>
      <c r="N94" s="606"/>
      <c r="O94" s="606"/>
      <c r="P94" s="606"/>
    </row>
    <row r="95" spans="1:17" ht="18.75" customHeight="1" thickBot="1">
      <c r="A95" s="495" t="s">
        <v>386</v>
      </c>
      <c r="B95" s="607">
        <v>32070006</v>
      </c>
      <c r="C95" s="435" t="s">
        <v>99</v>
      </c>
      <c r="D95" s="230" t="s">
        <v>15</v>
      </c>
      <c r="E95" s="3"/>
      <c r="F95" s="50">
        <f>(G95)</f>
        <v>240</v>
      </c>
      <c r="G95" s="80">
        <v>240</v>
      </c>
      <c r="H95" s="487" t="s">
        <v>594</v>
      </c>
      <c r="I95" s="486" t="s">
        <v>593</v>
      </c>
      <c r="J95" s="231"/>
      <c r="K95" s="232"/>
      <c r="L95" s="232"/>
      <c r="M95" s="233"/>
      <c r="N95" s="233"/>
      <c r="O95" s="234"/>
      <c r="P95" s="235"/>
    </row>
    <row r="96" spans="1:17" ht="15.75" customHeight="1" thickBot="1">
      <c r="A96" s="495" t="s">
        <v>387</v>
      </c>
      <c r="B96" s="596"/>
      <c r="C96" s="464" t="s">
        <v>100</v>
      </c>
      <c r="D96" s="79" t="s">
        <v>17</v>
      </c>
      <c r="E96" s="3"/>
      <c r="F96" s="130">
        <f>(G96+J96)/2</f>
        <v>94.545400000000001</v>
      </c>
      <c r="G96" s="236">
        <v>80</v>
      </c>
      <c r="H96" s="237" t="s">
        <v>388</v>
      </c>
      <c r="I96" s="436" t="s">
        <v>389</v>
      </c>
      <c r="J96" s="69">
        <f>(2727.27/25)</f>
        <v>109.0908</v>
      </c>
      <c r="K96" s="237" t="s">
        <v>189</v>
      </c>
      <c r="L96" s="488" t="s">
        <v>390</v>
      </c>
      <c r="M96" s="238"/>
      <c r="N96" s="238"/>
      <c r="O96" s="239"/>
      <c r="P96" s="240" t="s">
        <v>391</v>
      </c>
    </row>
    <row r="97" spans="1:16" ht="15.75" thickBot="1">
      <c r="A97" s="495" t="s">
        <v>392</v>
      </c>
      <c r="B97" s="596"/>
      <c r="C97" s="26" t="s">
        <v>101</v>
      </c>
      <c r="D97" s="79" t="s">
        <v>17</v>
      </c>
      <c r="E97" s="3"/>
      <c r="F97" s="108">
        <f t="shared" ref="F97:F99" si="7">(G97)</f>
        <v>1161.2245</v>
      </c>
      <c r="G97" s="111">
        <f>(116122.45/100)</f>
        <v>1161.2245</v>
      </c>
      <c r="H97" s="112" t="s">
        <v>393</v>
      </c>
      <c r="I97" s="437" t="s">
        <v>394</v>
      </c>
      <c r="J97" s="241"/>
      <c r="K97" s="242"/>
      <c r="L97" s="191"/>
      <c r="M97" s="74"/>
      <c r="N97" s="74"/>
      <c r="O97" s="192"/>
      <c r="P97" s="243"/>
    </row>
    <row r="98" spans="1:16" ht="15.75" thickBot="1">
      <c r="A98" s="495" t="s">
        <v>395</v>
      </c>
      <c r="B98" s="596"/>
      <c r="C98" s="26" t="s">
        <v>102</v>
      </c>
      <c r="D98" s="79" t="s">
        <v>15</v>
      </c>
      <c r="E98" s="3"/>
      <c r="F98" s="244">
        <f t="shared" si="7"/>
        <v>80</v>
      </c>
      <c r="G98" s="89">
        <v>80</v>
      </c>
      <c r="H98" s="90" t="s">
        <v>388</v>
      </c>
      <c r="I98" s="432" t="s">
        <v>396</v>
      </c>
      <c r="J98" s="204"/>
      <c r="K98" s="205"/>
      <c r="L98" s="188"/>
      <c r="M98" s="93"/>
      <c r="N98" s="93"/>
      <c r="O98" s="189"/>
      <c r="P98" s="245"/>
    </row>
    <row r="99" spans="1:16" ht="15.75" thickBot="1">
      <c r="A99" s="495" t="s">
        <v>397</v>
      </c>
      <c r="B99" s="597"/>
      <c r="C99" s="74" t="s">
        <v>103</v>
      </c>
      <c r="D99" s="196" t="s">
        <v>17</v>
      </c>
      <c r="E99" s="3"/>
      <c r="F99" s="246">
        <f t="shared" si="7"/>
        <v>436.73470000000003</v>
      </c>
      <c r="G99" s="247">
        <f>(43673.47/100)</f>
        <v>436.73470000000003</v>
      </c>
      <c r="H99" s="248" t="s">
        <v>393</v>
      </c>
      <c r="I99" s="249" t="s">
        <v>398</v>
      </c>
      <c r="J99" s="250"/>
      <c r="K99" s="250"/>
      <c r="L99" s="250"/>
      <c r="M99" s="250"/>
      <c r="N99" s="250"/>
      <c r="O99" s="251"/>
      <c r="P99" s="252" t="s">
        <v>399</v>
      </c>
    </row>
    <row r="100" spans="1:16" ht="15.75" thickBot="1">
      <c r="B100" s="253"/>
      <c r="C100" s="39"/>
      <c r="D100" s="254"/>
      <c r="E100" s="3"/>
      <c r="F100" s="456"/>
      <c r="G100" s="606"/>
      <c r="H100" s="606"/>
      <c r="I100" s="606"/>
      <c r="J100" s="606"/>
      <c r="K100" s="606"/>
      <c r="L100" s="606"/>
      <c r="M100" s="606"/>
      <c r="N100" s="606"/>
      <c r="O100" s="606"/>
      <c r="P100" s="606"/>
    </row>
    <row r="101" spans="1:16" ht="15.75" thickBot="1">
      <c r="A101" s="495" t="s">
        <v>400</v>
      </c>
      <c r="B101" s="255">
        <v>321600081</v>
      </c>
      <c r="C101" s="30" t="s">
        <v>104</v>
      </c>
      <c r="D101" s="230" t="s">
        <v>17</v>
      </c>
      <c r="E101" s="3"/>
      <c r="F101" s="108">
        <f>(G101+J101)/2</f>
        <v>5390.5</v>
      </c>
      <c r="G101" s="61">
        <v>3331</v>
      </c>
      <c r="H101" s="256"/>
      <c r="I101" s="257" t="s">
        <v>401</v>
      </c>
      <c r="J101" s="69">
        <v>7450</v>
      </c>
      <c r="K101" s="258" t="s">
        <v>402</v>
      </c>
      <c r="L101" s="631" t="s">
        <v>403</v>
      </c>
      <c r="M101" s="632"/>
      <c r="N101" s="632"/>
      <c r="O101" s="632"/>
      <c r="P101" s="633"/>
    </row>
    <row r="102" spans="1:16" ht="15.75" thickBot="1">
      <c r="B102" s="453"/>
      <c r="C102" s="604" t="s">
        <v>98</v>
      </c>
      <c r="D102" s="605"/>
      <c r="E102" s="3"/>
      <c r="F102" s="455"/>
      <c r="G102" s="606"/>
      <c r="H102" s="606"/>
      <c r="I102" s="606"/>
      <c r="J102" s="606"/>
      <c r="K102" s="606"/>
      <c r="L102" s="606"/>
      <c r="M102" s="606"/>
      <c r="N102" s="606"/>
      <c r="O102" s="606"/>
      <c r="P102" s="606"/>
    </row>
    <row r="103" spans="1:16" ht="15.75" thickBot="1">
      <c r="A103" s="495" t="s">
        <v>404</v>
      </c>
      <c r="B103" s="144">
        <v>32030001</v>
      </c>
      <c r="C103" s="26" t="s">
        <v>106</v>
      </c>
      <c r="D103" s="79" t="s">
        <v>17</v>
      </c>
      <c r="E103" s="3"/>
      <c r="F103" s="68">
        <f>(G103+J103)/2</f>
        <v>29.414999999999999</v>
      </c>
      <c r="G103" s="219">
        <f>(2691/100)</f>
        <v>26.91</v>
      </c>
      <c r="H103" s="134" t="s">
        <v>405</v>
      </c>
      <c r="I103" s="434" t="s">
        <v>406</v>
      </c>
      <c r="J103" s="69">
        <f>(3192/100)</f>
        <v>31.92</v>
      </c>
      <c r="K103" s="134"/>
      <c r="L103" s="70" t="s">
        <v>407</v>
      </c>
      <c r="M103" s="259"/>
      <c r="N103" s="259"/>
      <c r="O103" s="407"/>
      <c r="P103" s="107" t="s">
        <v>408</v>
      </c>
    </row>
    <row r="104" spans="1:16" ht="15.75" thickBot="1">
      <c r="B104" s="462"/>
      <c r="C104" s="604"/>
      <c r="D104" s="605"/>
      <c r="E104" s="3"/>
      <c r="F104" s="455"/>
      <c r="G104" s="606"/>
      <c r="H104" s="606"/>
      <c r="I104" s="606"/>
      <c r="J104" s="606"/>
      <c r="K104" s="606"/>
      <c r="L104" s="606"/>
      <c r="M104" s="606"/>
      <c r="N104" s="606"/>
      <c r="O104" s="606"/>
      <c r="P104" s="606"/>
    </row>
    <row r="105" spans="1:16" ht="15.75" thickBot="1">
      <c r="B105" s="144">
        <v>321500154</v>
      </c>
      <c r="C105" s="74" t="s">
        <v>107</v>
      </c>
      <c r="D105" s="196" t="s">
        <v>15</v>
      </c>
      <c r="E105" s="3"/>
      <c r="F105" s="460"/>
      <c r="G105" s="600" t="s">
        <v>409</v>
      </c>
      <c r="H105" s="582"/>
      <c r="I105" s="582"/>
      <c r="J105" s="582"/>
      <c r="K105" s="582"/>
      <c r="L105" s="582"/>
      <c r="M105" s="582"/>
      <c r="N105" s="582"/>
      <c r="O105" s="582"/>
      <c r="P105" s="583"/>
    </row>
    <row r="106" spans="1:16" ht="15.75" thickBot="1">
      <c r="B106" s="453"/>
      <c r="C106" s="604" t="s">
        <v>108</v>
      </c>
      <c r="D106" s="605"/>
      <c r="E106" s="3"/>
      <c r="F106" s="455"/>
      <c r="G106" s="606"/>
      <c r="H106" s="606"/>
      <c r="I106" s="606"/>
      <c r="J106" s="606"/>
      <c r="K106" s="606"/>
      <c r="L106" s="606"/>
      <c r="M106" s="606"/>
      <c r="N106" s="606"/>
      <c r="O106" s="606"/>
      <c r="P106" s="606"/>
    </row>
    <row r="107" spans="1:16" ht="15.75" thickBot="1">
      <c r="A107" s="495" t="s">
        <v>410</v>
      </c>
      <c r="B107" s="613">
        <v>32070007</v>
      </c>
      <c r="C107" s="14" t="s">
        <v>109</v>
      </c>
      <c r="D107" s="49" t="s">
        <v>17</v>
      </c>
      <c r="E107" s="3"/>
      <c r="F107" s="50">
        <f>(G107+J107+M107)/3</f>
        <v>15.871233333333331</v>
      </c>
      <c r="G107" s="80">
        <f>(1418.37/100)</f>
        <v>14.183699999999998</v>
      </c>
      <c r="H107" s="81" t="s">
        <v>189</v>
      </c>
      <c r="I107" s="438" t="s">
        <v>411</v>
      </c>
      <c r="J107" s="83">
        <f>(1043/100)</f>
        <v>10.43</v>
      </c>
      <c r="K107" s="55" t="s">
        <v>412</v>
      </c>
      <c r="L107" s="442" t="s">
        <v>413</v>
      </c>
      <c r="M107" s="260">
        <f>(2300/100)</f>
        <v>23</v>
      </c>
      <c r="N107" s="261" t="s">
        <v>412</v>
      </c>
      <c r="O107" s="444" t="s">
        <v>414</v>
      </c>
      <c r="P107" s="100" t="s">
        <v>415</v>
      </c>
    </row>
    <row r="108" spans="1:16" ht="15.75" thickBot="1">
      <c r="A108" s="495" t="s">
        <v>416</v>
      </c>
      <c r="B108" s="596"/>
      <c r="C108" s="14" t="s">
        <v>110</v>
      </c>
      <c r="D108" s="49" t="s">
        <v>17</v>
      </c>
      <c r="E108" s="3"/>
      <c r="F108" s="88">
        <f t="shared" ref="F108:F110" si="8">(G108+J108)/2</f>
        <v>24.071449999999999</v>
      </c>
      <c r="G108" s="111">
        <f>(1914.29/100)</f>
        <v>19.142900000000001</v>
      </c>
      <c r="H108" s="112" t="s">
        <v>417</v>
      </c>
      <c r="I108" s="263" t="s">
        <v>418</v>
      </c>
      <c r="J108" s="114">
        <f>(2900/100)</f>
        <v>29</v>
      </c>
      <c r="K108" s="159" t="s">
        <v>412</v>
      </c>
      <c r="L108" s="470" t="s">
        <v>419</v>
      </c>
      <c r="M108" s="19"/>
      <c r="N108" s="19"/>
      <c r="O108" s="265"/>
      <c r="P108" s="100" t="s">
        <v>415</v>
      </c>
    </row>
    <row r="109" spans="1:16" ht="15.75" thickBot="1">
      <c r="A109" s="495" t="s">
        <v>420</v>
      </c>
      <c r="B109" s="596"/>
      <c r="C109" s="14" t="s">
        <v>111</v>
      </c>
      <c r="D109" s="49" t="s">
        <v>17</v>
      </c>
      <c r="E109" s="3"/>
      <c r="F109" s="88">
        <f t="shared" si="8"/>
        <v>52.775500000000001</v>
      </c>
      <c r="G109" s="111">
        <f>(2877.55/50)</f>
        <v>57.551000000000002</v>
      </c>
      <c r="H109" s="112" t="s">
        <v>417</v>
      </c>
      <c r="I109" s="439" t="s">
        <v>421</v>
      </c>
      <c r="J109" s="266">
        <f>(2400/50)</f>
        <v>48</v>
      </c>
      <c r="K109" s="267" t="s">
        <v>412</v>
      </c>
      <c r="L109" s="471" t="s">
        <v>422</v>
      </c>
      <c r="M109" s="269"/>
      <c r="N109" s="269"/>
      <c r="O109" s="262"/>
      <c r="P109" s="100" t="s">
        <v>423</v>
      </c>
    </row>
    <row r="110" spans="1:16" ht="15.75" thickBot="1">
      <c r="A110" s="495" t="s">
        <v>424</v>
      </c>
      <c r="B110" s="596"/>
      <c r="C110" s="14" t="s">
        <v>112</v>
      </c>
      <c r="D110" s="49" t="s">
        <v>17</v>
      </c>
      <c r="E110" s="3"/>
      <c r="F110" s="88">
        <f t="shared" si="8"/>
        <v>101</v>
      </c>
      <c r="G110" s="111">
        <f>(3500/25)</f>
        <v>140</v>
      </c>
      <c r="H110" s="112" t="s">
        <v>425</v>
      </c>
      <c r="I110" s="440" t="s">
        <v>426</v>
      </c>
      <c r="J110" s="114">
        <f>(1550/25)</f>
        <v>62</v>
      </c>
      <c r="K110" s="159" t="s">
        <v>427</v>
      </c>
      <c r="L110" s="470" t="s">
        <v>428</v>
      </c>
      <c r="M110" s="19"/>
      <c r="N110" s="19"/>
      <c r="O110" s="265"/>
      <c r="P110" s="100"/>
    </row>
    <row r="111" spans="1:16" ht="15.75" thickBot="1">
      <c r="A111" s="495" t="s">
        <v>429</v>
      </c>
      <c r="B111" s="597"/>
      <c r="C111" s="14" t="s">
        <v>113</v>
      </c>
      <c r="D111" s="49" t="s">
        <v>17</v>
      </c>
      <c r="E111" s="3"/>
      <c r="F111" s="60">
        <f>(G111)</f>
        <v>14.061199999999999</v>
      </c>
      <c r="G111" s="89">
        <f>(1406.12/100)</f>
        <v>14.061199999999999</v>
      </c>
      <c r="H111" s="90" t="s">
        <v>189</v>
      </c>
      <c r="I111" s="441" t="s">
        <v>430</v>
      </c>
      <c r="J111" s="270"/>
      <c r="K111" s="271"/>
      <c r="L111" s="268"/>
      <c r="M111" s="269"/>
      <c r="N111" s="269"/>
      <c r="O111" s="262"/>
      <c r="P111" s="100" t="s">
        <v>415</v>
      </c>
    </row>
    <row r="112" spans="1:16" ht="15.75" thickBot="1">
      <c r="B112" s="453"/>
      <c r="C112" s="604"/>
      <c r="D112" s="605"/>
      <c r="E112" s="3"/>
      <c r="F112" s="455"/>
      <c r="G112" s="606"/>
      <c r="H112" s="606"/>
      <c r="I112" s="606"/>
      <c r="J112" s="606"/>
      <c r="K112" s="606"/>
      <c r="L112" s="606"/>
      <c r="M112" s="606"/>
      <c r="N112" s="606"/>
      <c r="O112" s="606"/>
      <c r="P112" s="606"/>
    </row>
    <row r="113" spans="1:17" ht="15.75" customHeight="1" thickBot="1">
      <c r="A113" s="495" t="s">
        <v>431</v>
      </c>
      <c r="B113" s="133">
        <v>321100011</v>
      </c>
      <c r="C113" s="26" t="s">
        <v>114</v>
      </c>
      <c r="D113" s="79" t="s">
        <v>17</v>
      </c>
      <c r="E113" s="3"/>
      <c r="F113" s="88">
        <f>(G113+J113)/2</f>
        <v>63.693899999999999</v>
      </c>
      <c r="G113" s="61">
        <v>58</v>
      </c>
      <c r="H113" s="134"/>
      <c r="I113" s="413" t="s">
        <v>432</v>
      </c>
      <c r="J113" s="69">
        <f>(3469.39/50)</f>
        <v>69.387799999999999</v>
      </c>
      <c r="K113" s="134" t="s">
        <v>433</v>
      </c>
      <c r="L113" s="635" t="s">
        <v>434</v>
      </c>
      <c r="M113" s="632"/>
      <c r="N113" s="632"/>
      <c r="O113" s="632"/>
      <c r="P113" s="633"/>
    </row>
    <row r="114" spans="1:17" ht="15.75" customHeight="1" thickBot="1">
      <c r="B114" s="453"/>
      <c r="C114" s="604" t="s">
        <v>115</v>
      </c>
      <c r="D114" s="605"/>
      <c r="E114" s="3"/>
      <c r="F114" s="455"/>
      <c r="G114" s="606"/>
      <c r="H114" s="606"/>
      <c r="I114" s="606"/>
      <c r="J114" s="606"/>
      <c r="K114" s="606"/>
      <c r="L114" s="606"/>
      <c r="M114" s="606"/>
      <c r="N114" s="606"/>
      <c r="O114" s="606"/>
      <c r="P114" s="606"/>
    </row>
    <row r="115" spans="1:17" ht="15.75" customHeight="1" thickBot="1">
      <c r="A115" s="495" t="s">
        <v>435</v>
      </c>
      <c r="B115" s="607">
        <v>32090019</v>
      </c>
      <c r="C115" s="26" t="s">
        <v>116</v>
      </c>
      <c r="D115" s="79" t="s">
        <v>15</v>
      </c>
      <c r="E115" s="3"/>
      <c r="F115" s="108">
        <f t="shared" ref="F115:F117" si="9">(G115)</f>
        <v>1887.76</v>
      </c>
      <c r="G115" s="80">
        <v>1887.76</v>
      </c>
      <c r="H115" s="81" t="s">
        <v>436</v>
      </c>
      <c r="I115" s="424" t="s">
        <v>437</v>
      </c>
      <c r="J115" s="272"/>
      <c r="K115" s="52"/>
      <c r="L115" s="57"/>
      <c r="M115" s="56"/>
      <c r="N115" s="56"/>
      <c r="O115" s="273"/>
      <c r="P115" s="274"/>
    </row>
    <row r="116" spans="1:17" ht="15.75" customHeight="1" thickBot="1">
      <c r="A116" s="495" t="s">
        <v>438</v>
      </c>
      <c r="B116" s="596"/>
      <c r="C116" s="26" t="s">
        <v>117</v>
      </c>
      <c r="D116" s="79" t="s">
        <v>15</v>
      </c>
      <c r="E116" s="3"/>
      <c r="F116" s="108">
        <f t="shared" si="9"/>
        <v>1887.76</v>
      </c>
      <c r="G116" s="111">
        <v>1887.76</v>
      </c>
      <c r="H116" s="112" t="s">
        <v>436</v>
      </c>
      <c r="I116" s="426" t="s">
        <v>439</v>
      </c>
      <c r="J116" s="275"/>
      <c r="K116" s="185"/>
      <c r="L116" s="264"/>
      <c r="M116" s="276"/>
      <c r="N116" s="276"/>
      <c r="O116" s="25"/>
      <c r="P116" s="277"/>
    </row>
    <row r="117" spans="1:17" ht="15.75" customHeight="1" thickBot="1">
      <c r="A117" s="495" t="s">
        <v>440</v>
      </c>
      <c r="B117" s="597"/>
      <c r="C117" s="26" t="s">
        <v>118</v>
      </c>
      <c r="D117" s="79" t="s">
        <v>15</v>
      </c>
      <c r="E117" s="3"/>
      <c r="F117" s="108">
        <f t="shared" si="9"/>
        <v>1887.76</v>
      </c>
      <c r="G117" s="111">
        <v>1887.76</v>
      </c>
      <c r="H117" s="112" t="s">
        <v>436</v>
      </c>
      <c r="I117" s="426" t="s">
        <v>441</v>
      </c>
      <c r="J117" s="275"/>
      <c r="K117" s="185"/>
      <c r="L117" s="264"/>
      <c r="M117" s="276"/>
      <c r="N117" s="276"/>
      <c r="O117" s="25"/>
      <c r="P117" s="278"/>
    </row>
    <row r="118" spans="1:17" ht="15.75" customHeight="1" thickBot="1">
      <c r="A118" s="495" t="s">
        <v>442</v>
      </c>
      <c r="B118" s="634">
        <v>32120004</v>
      </c>
      <c r="C118" s="26" t="s">
        <v>119</v>
      </c>
      <c r="D118" s="79" t="s">
        <v>17</v>
      </c>
      <c r="E118" s="3"/>
      <c r="F118" s="108">
        <f t="shared" ref="F118:F119" si="10">+(G118+J118)/2</f>
        <v>159.7449</v>
      </c>
      <c r="G118" s="111">
        <f>(56122.45/250)</f>
        <v>224.4898</v>
      </c>
      <c r="H118" s="112" t="s">
        <v>189</v>
      </c>
      <c r="I118" s="428" t="s">
        <v>443</v>
      </c>
      <c r="J118" s="114">
        <v>95</v>
      </c>
      <c r="K118" s="191"/>
      <c r="L118" s="428" t="s">
        <v>444</v>
      </c>
      <c r="M118" s="74"/>
      <c r="N118" s="74"/>
      <c r="O118" s="140"/>
      <c r="P118" s="107" t="s">
        <v>445</v>
      </c>
    </row>
    <row r="119" spans="1:17" ht="15.75" customHeight="1" thickBot="1">
      <c r="A119" s="495" t="s">
        <v>446</v>
      </c>
      <c r="B119" s="597"/>
      <c r="C119" s="418" t="s">
        <v>120</v>
      </c>
      <c r="D119" s="230" t="s">
        <v>17</v>
      </c>
      <c r="E119" s="3"/>
      <c r="F119" s="108">
        <f t="shared" si="10"/>
        <v>185.65305999999998</v>
      </c>
      <c r="G119" s="111">
        <f>36326.53/250</f>
        <v>145.30611999999999</v>
      </c>
      <c r="H119" s="112" t="s">
        <v>189</v>
      </c>
      <c r="I119" s="489" t="s">
        <v>595</v>
      </c>
      <c r="J119" s="114">
        <v>226</v>
      </c>
      <c r="K119" s="191"/>
      <c r="L119" s="428" t="s">
        <v>447</v>
      </c>
      <c r="M119" s="74"/>
      <c r="N119" s="74"/>
      <c r="O119" s="140"/>
      <c r="P119" s="107" t="s">
        <v>448</v>
      </c>
    </row>
    <row r="120" spans="1:17" ht="15.75" customHeight="1" thickBot="1">
      <c r="A120" s="494" t="s">
        <v>449</v>
      </c>
      <c r="B120" s="613">
        <v>32120005</v>
      </c>
      <c r="C120" s="186" t="s">
        <v>121</v>
      </c>
      <c r="D120" s="279" t="s">
        <v>17</v>
      </c>
      <c r="E120" s="494"/>
      <c r="F120" s="108">
        <f>(G120+J120)/2</f>
        <v>784</v>
      </c>
      <c r="G120" s="111">
        <v>568</v>
      </c>
      <c r="H120" s="112"/>
      <c r="I120" s="489" t="s">
        <v>458</v>
      </c>
      <c r="J120" s="114">
        <v>1000</v>
      </c>
      <c r="K120" s="191"/>
      <c r="L120" s="428" t="s">
        <v>451</v>
      </c>
      <c r="M120" s="74"/>
      <c r="N120" s="74"/>
      <c r="O120" s="192"/>
      <c r="P120" s="163"/>
      <c r="Q120" s="494"/>
    </row>
    <row r="121" spans="1:17" ht="15.75" customHeight="1" thickBot="1">
      <c r="A121" s="495" t="s">
        <v>452</v>
      </c>
      <c r="B121" s="596"/>
      <c r="C121" s="490" t="s">
        <v>122</v>
      </c>
      <c r="D121" s="49" t="s">
        <v>123</v>
      </c>
      <c r="E121" s="3"/>
      <c r="F121" s="108">
        <f t="shared" ref="F121:F122" si="11">+(G121+J121)/2</f>
        <v>419</v>
      </c>
      <c r="G121" s="111">
        <v>270</v>
      </c>
      <c r="H121" s="491" t="s">
        <v>453</v>
      </c>
      <c r="I121" s="504" t="s">
        <v>454</v>
      </c>
      <c r="J121" s="114">
        <v>568</v>
      </c>
      <c r="K121" s="191"/>
      <c r="L121" s="428" t="s">
        <v>455</v>
      </c>
      <c r="M121" s="74"/>
      <c r="N121" s="74"/>
      <c r="O121" s="140"/>
      <c r="P121" s="107" t="s">
        <v>456</v>
      </c>
    </row>
    <row r="122" spans="1:17" ht="15.75" customHeight="1" thickBot="1">
      <c r="A122" s="495" t="s">
        <v>457</v>
      </c>
      <c r="B122" s="596"/>
      <c r="C122" s="14" t="s">
        <v>124</v>
      </c>
      <c r="D122" s="49" t="s">
        <v>123</v>
      </c>
      <c r="E122" s="3"/>
      <c r="F122" s="108">
        <f t="shared" si="11"/>
        <v>759</v>
      </c>
      <c r="G122" s="111">
        <v>950</v>
      </c>
      <c r="H122" s="491" t="s">
        <v>453</v>
      </c>
      <c r="I122" s="489" t="s">
        <v>604</v>
      </c>
      <c r="J122" s="114">
        <v>568</v>
      </c>
      <c r="K122" s="191"/>
      <c r="L122" s="428" t="s">
        <v>458</v>
      </c>
      <c r="M122" s="74"/>
      <c r="N122" s="74"/>
      <c r="O122" s="192"/>
      <c r="P122" s="107" t="s">
        <v>456</v>
      </c>
    </row>
    <row r="123" spans="1:17" ht="15.75" customHeight="1" thickBot="1">
      <c r="A123" s="495" t="s">
        <v>459</v>
      </c>
      <c r="B123" s="597"/>
      <c r="C123" s="14" t="s">
        <v>125</v>
      </c>
      <c r="D123" s="49" t="s">
        <v>17</v>
      </c>
      <c r="E123" s="3"/>
      <c r="F123" s="108">
        <f>(G123+J123)/2</f>
        <v>620</v>
      </c>
      <c r="G123" s="89">
        <v>240</v>
      </c>
      <c r="H123" s="492"/>
      <c r="I123" s="505" t="s">
        <v>450</v>
      </c>
      <c r="J123" s="92">
        <v>1000</v>
      </c>
      <c r="K123" s="188"/>
      <c r="L123" s="427" t="s">
        <v>451</v>
      </c>
      <c r="M123" s="93"/>
      <c r="N123" s="93"/>
      <c r="O123" s="189"/>
      <c r="P123" s="245"/>
    </row>
    <row r="124" spans="1:17" ht="15.75" customHeight="1" thickBot="1">
      <c r="B124" s="453"/>
      <c r="C124" s="604" t="s">
        <v>126</v>
      </c>
      <c r="D124" s="605"/>
      <c r="F124" s="455"/>
      <c r="G124" s="606"/>
      <c r="H124" s="606"/>
      <c r="I124" s="606"/>
      <c r="J124" s="606"/>
      <c r="K124" s="606"/>
      <c r="L124" s="606"/>
      <c r="M124" s="606"/>
      <c r="N124" s="606"/>
      <c r="O124" s="606"/>
      <c r="P124" s="606"/>
    </row>
    <row r="125" spans="1:17" ht="15.75" customHeight="1" thickBot="1">
      <c r="B125" s="144">
        <v>32120011</v>
      </c>
      <c r="C125" s="74" t="s">
        <v>127</v>
      </c>
      <c r="D125" s="196" t="s">
        <v>17</v>
      </c>
      <c r="E125" s="3"/>
      <c r="F125" s="460"/>
      <c r="G125" s="600" t="s">
        <v>460</v>
      </c>
      <c r="H125" s="582"/>
      <c r="I125" s="582"/>
      <c r="J125" s="582"/>
      <c r="K125" s="582"/>
      <c r="L125" s="582"/>
      <c r="M125" s="582"/>
      <c r="N125" s="582"/>
      <c r="O125" s="582"/>
      <c r="P125" s="583"/>
    </row>
    <row r="126" spans="1:17" ht="15.75" customHeight="1" thickBot="1">
      <c r="B126" s="453"/>
      <c r="C126" s="604" t="s">
        <v>128</v>
      </c>
      <c r="D126" s="605"/>
      <c r="E126" s="3"/>
      <c r="F126" s="455"/>
      <c r="G126" s="606"/>
      <c r="H126" s="606"/>
      <c r="I126" s="606"/>
      <c r="J126" s="606"/>
      <c r="K126" s="606"/>
      <c r="L126" s="606"/>
      <c r="M126" s="606"/>
      <c r="N126" s="606"/>
      <c r="O126" s="606"/>
      <c r="P126" s="606"/>
    </row>
    <row r="127" spans="1:17" ht="15.75" customHeight="1" thickBot="1">
      <c r="A127" s="495" t="s">
        <v>461</v>
      </c>
      <c r="B127" s="607">
        <v>32080004</v>
      </c>
      <c r="C127" s="280" t="s">
        <v>129</v>
      </c>
      <c r="D127" s="281" t="s">
        <v>17</v>
      </c>
      <c r="E127" s="3"/>
      <c r="F127" s="108">
        <f t="shared" ref="F127:F130" si="12">(G127)</f>
        <v>451</v>
      </c>
      <c r="G127" s="80">
        <v>451</v>
      </c>
      <c r="H127" s="81" t="s">
        <v>462</v>
      </c>
      <c r="I127" s="109" t="s">
        <v>463</v>
      </c>
      <c r="J127" s="282"/>
      <c r="K127" s="283"/>
      <c r="L127" s="283"/>
      <c r="M127" s="85"/>
      <c r="N127" s="85"/>
      <c r="O127" s="197"/>
      <c r="P127" s="243"/>
    </row>
    <row r="128" spans="1:17" ht="15.75" customHeight="1" thickBot="1">
      <c r="A128" s="495" t="s">
        <v>464</v>
      </c>
      <c r="B128" s="596"/>
      <c r="C128" s="26" t="s">
        <v>130</v>
      </c>
      <c r="D128" s="79" t="s">
        <v>17</v>
      </c>
      <c r="E128" s="3"/>
      <c r="F128" s="108">
        <f t="shared" si="12"/>
        <v>451</v>
      </c>
      <c r="G128" s="111">
        <v>451</v>
      </c>
      <c r="H128" s="81" t="s">
        <v>462</v>
      </c>
      <c r="I128" s="428" t="s">
        <v>463</v>
      </c>
      <c r="J128" s="284"/>
      <c r="K128" s="191"/>
      <c r="L128" s="191"/>
      <c r="M128" s="74"/>
      <c r="N128" s="74"/>
      <c r="O128" s="192"/>
      <c r="P128" s="95"/>
    </row>
    <row r="129" spans="1:16" ht="15.75" thickBot="1">
      <c r="A129" s="495" t="s">
        <v>465</v>
      </c>
      <c r="B129" s="597"/>
      <c r="C129" s="26" t="s">
        <v>131</v>
      </c>
      <c r="D129" s="79" t="s">
        <v>17</v>
      </c>
      <c r="E129" s="3"/>
      <c r="F129" s="108">
        <f t="shared" si="12"/>
        <v>451</v>
      </c>
      <c r="G129" s="111">
        <v>451</v>
      </c>
      <c r="H129" s="81" t="s">
        <v>462</v>
      </c>
      <c r="I129" s="428" t="s">
        <v>463</v>
      </c>
      <c r="J129" s="284"/>
      <c r="K129" s="191"/>
      <c r="L129" s="191"/>
      <c r="M129" s="74"/>
      <c r="N129" s="74"/>
      <c r="O129" s="192"/>
      <c r="P129" s="95"/>
    </row>
    <row r="130" spans="1:16" ht="15.75" thickBot="1">
      <c r="A130" s="495" t="s">
        <v>466</v>
      </c>
      <c r="B130" s="144">
        <v>320800057</v>
      </c>
      <c r="C130" s="19" t="s">
        <v>132</v>
      </c>
      <c r="D130" s="101" t="s">
        <v>17</v>
      </c>
      <c r="E130" s="3"/>
      <c r="F130" s="88">
        <f t="shared" si="12"/>
        <v>630</v>
      </c>
      <c r="G130" s="89">
        <v>630</v>
      </c>
      <c r="H130" s="81" t="s">
        <v>462</v>
      </c>
      <c r="I130" s="443" t="s">
        <v>467</v>
      </c>
      <c r="J130" s="286"/>
      <c r="K130" s="285"/>
      <c r="L130" s="285"/>
      <c r="M130" s="105"/>
      <c r="N130" s="105"/>
      <c r="O130" s="287"/>
      <c r="P130" s="288"/>
    </row>
    <row r="131" spans="1:16" ht="15.75" thickBot="1">
      <c r="B131" s="453"/>
      <c r="C131" s="604"/>
      <c r="D131" s="605"/>
      <c r="E131" s="3"/>
      <c r="F131" s="455"/>
      <c r="G131" s="606"/>
      <c r="H131" s="606"/>
      <c r="I131" s="606"/>
      <c r="J131" s="606"/>
      <c r="K131" s="606"/>
      <c r="L131" s="606"/>
      <c r="M131" s="606"/>
      <c r="N131" s="606"/>
      <c r="O131" s="606"/>
      <c r="P131" s="606"/>
    </row>
    <row r="132" spans="1:16" ht="15.75" thickBot="1">
      <c r="A132" s="495" t="s">
        <v>468</v>
      </c>
      <c r="B132" s="133">
        <v>320900102</v>
      </c>
      <c r="C132" s="26" t="s">
        <v>133</v>
      </c>
      <c r="D132" s="79" t="s">
        <v>15</v>
      </c>
      <c r="E132" s="3"/>
      <c r="F132" s="108">
        <f>(G132)</f>
        <v>587</v>
      </c>
      <c r="G132" s="61">
        <v>587</v>
      </c>
      <c r="H132" s="134"/>
      <c r="I132" s="419" t="s">
        <v>469</v>
      </c>
      <c r="J132" s="154"/>
      <c r="K132" s="148"/>
      <c r="L132" s="148"/>
      <c r="M132" s="259"/>
      <c r="N132" s="259"/>
      <c r="O132" s="220"/>
      <c r="P132" s="163"/>
    </row>
    <row r="133" spans="1:16" ht="15.75" thickBot="1">
      <c r="B133" s="453"/>
      <c r="C133" s="604" t="s">
        <v>134</v>
      </c>
      <c r="D133" s="605"/>
      <c r="E133" s="3"/>
      <c r="F133" s="455"/>
      <c r="G133" s="606"/>
      <c r="H133" s="606"/>
      <c r="I133" s="606"/>
      <c r="J133" s="606"/>
      <c r="K133" s="606"/>
      <c r="L133" s="606"/>
      <c r="M133" s="606"/>
      <c r="N133" s="606"/>
      <c r="O133" s="606"/>
      <c r="P133" s="606"/>
    </row>
    <row r="134" spans="1:16" ht="15.75" thickBot="1">
      <c r="A134" s="495" t="s">
        <v>470</v>
      </c>
      <c r="B134" s="133">
        <v>320900135</v>
      </c>
      <c r="C134" s="26" t="s">
        <v>135</v>
      </c>
      <c r="D134" s="79" t="s">
        <v>17</v>
      </c>
      <c r="E134" s="3"/>
      <c r="F134" s="128">
        <f t="shared" ref="F134:F135" si="13">(G134)</f>
        <v>188.77550000000002</v>
      </c>
      <c r="G134" s="80">
        <f>(15102.04/8)/10</f>
        <v>188.77550000000002</v>
      </c>
      <c r="H134" s="81" t="s">
        <v>471</v>
      </c>
      <c r="I134" s="420" t="s">
        <v>472</v>
      </c>
      <c r="J134" s="282"/>
      <c r="K134" s="283"/>
      <c r="L134" s="283"/>
      <c r="M134" s="85"/>
      <c r="N134" s="85"/>
      <c r="O134" s="86"/>
      <c r="P134" s="107" t="s">
        <v>473</v>
      </c>
    </row>
    <row r="135" spans="1:16" ht="15.75" thickBot="1">
      <c r="A135" s="495" t="s">
        <v>474</v>
      </c>
      <c r="B135" s="133">
        <v>320900131</v>
      </c>
      <c r="C135" s="26" t="s">
        <v>136</v>
      </c>
      <c r="D135" s="79" t="s">
        <v>17</v>
      </c>
      <c r="E135" s="3"/>
      <c r="F135" s="244">
        <f t="shared" si="13"/>
        <v>255.10218750000001</v>
      </c>
      <c r="G135" s="89">
        <f>(8163.27/2)/16</f>
        <v>255.10218750000001</v>
      </c>
      <c r="H135" s="90" t="s">
        <v>471</v>
      </c>
      <c r="I135" s="427" t="s">
        <v>475</v>
      </c>
      <c r="J135" s="289"/>
      <c r="K135" s="188"/>
      <c r="L135" s="188"/>
      <c r="M135" s="93"/>
      <c r="N135" s="93"/>
      <c r="O135" s="94"/>
      <c r="P135" s="107" t="s">
        <v>476</v>
      </c>
    </row>
    <row r="136" spans="1:16" ht="15.75" thickBot="1">
      <c r="B136" s="453"/>
      <c r="C136" s="604"/>
      <c r="D136" s="605"/>
      <c r="E136" s="3"/>
      <c r="F136" s="455"/>
      <c r="G136" s="606"/>
      <c r="H136" s="606"/>
      <c r="I136" s="606"/>
      <c r="J136" s="606"/>
      <c r="K136" s="606"/>
      <c r="L136" s="606"/>
      <c r="M136" s="606"/>
      <c r="N136" s="606"/>
      <c r="O136" s="606"/>
      <c r="P136" s="606"/>
    </row>
    <row r="137" spans="1:16" ht="15.75" thickBot="1">
      <c r="A137" s="495" t="s">
        <v>477</v>
      </c>
      <c r="B137" s="133">
        <v>320900212</v>
      </c>
      <c r="C137" s="26" t="s">
        <v>137</v>
      </c>
      <c r="D137" s="79" t="s">
        <v>15</v>
      </c>
      <c r="E137" s="3"/>
      <c r="F137" s="68">
        <f>(G137)</f>
        <v>750</v>
      </c>
      <c r="G137" s="61">
        <v>750</v>
      </c>
      <c r="H137" s="290" t="s">
        <v>478</v>
      </c>
      <c r="I137" s="445" t="s">
        <v>479</v>
      </c>
      <c r="J137" s="270"/>
      <c r="K137" s="291"/>
      <c r="L137" s="292"/>
      <c r="M137" s="293"/>
      <c r="N137" s="293"/>
      <c r="O137" s="293"/>
      <c r="P137" s="77"/>
    </row>
    <row r="138" spans="1:16" ht="15.75" thickBot="1">
      <c r="B138" s="453"/>
      <c r="C138" s="604"/>
      <c r="D138" s="605"/>
      <c r="E138" s="3"/>
      <c r="F138" s="455"/>
      <c r="G138" s="606"/>
      <c r="H138" s="606"/>
      <c r="I138" s="606"/>
      <c r="J138" s="606"/>
      <c r="K138" s="606"/>
      <c r="L138" s="606"/>
      <c r="M138" s="606"/>
      <c r="N138" s="606"/>
      <c r="O138" s="606"/>
      <c r="P138" s="606"/>
    </row>
    <row r="139" spans="1:16" ht="15.75" thickBot="1">
      <c r="A139" s="495" t="s">
        <v>480</v>
      </c>
      <c r="B139" s="133">
        <v>320500044</v>
      </c>
      <c r="C139" s="26" t="s">
        <v>138</v>
      </c>
      <c r="D139" s="79" t="s">
        <v>63</v>
      </c>
      <c r="E139" s="3"/>
      <c r="F139" s="68">
        <f>+(G139+J139)/2</f>
        <v>392.15</v>
      </c>
      <c r="G139" s="83">
        <f>(3980/10)</f>
        <v>398</v>
      </c>
      <c r="H139" s="81" t="s">
        <v>481</v>
      </c>
      <c r="I139" s="424" t="s">
        <v>482</v>
      </c>
      <c r="J139" s="83">
        <v>386.3</v>
      </c>
      <c r="K139" s="494"/>
      <c r="L139" s="424" t="s">
        <v>599</v>
      </c>
      <c r="M139" s="85"/>
      <c r="N139" s="85"/>
      <c r="O139" s="86"/>
      <c r="P139" s="198" t="s">
        <v>483</v>
      </c>
    </row>
    <row r="140" spans="1:16" ht="15.75" thickBot="1">
      <c r="A140" s="495" t="s">
        <v>484</v>
      </c>
      <c r="B140" s="133">
        <v>320500031</v>
      </c>
      <c r="C140" s="26" t="s">
        <v>139</v>
      </c>
      <c r="D140" s="79" t="s">
        <v>63</v>
      </c>
      <c r="E140" s="3"/>
      <c r="F140" s="88">
        <f>(G140+J140)/2</f>
        <v>7592.5</v>
      </c>
      <c r="G140" s="89">
        <v>4900</v>
      </c>
      <c r="H140" s="90" t="s">
        <v>485</v>
      </c>
      <c r="I140" s="411" t="s">
        <v>486</v>
      </c>
      <c r="J140" s="92">
        <v>10285</v>
      </c>
      <c r="K140" s="90" t="s">
        <v>487</v>
      </c>
      <c r="L140" s="427" t="s">
        <v>488</v>
      </c>
      <c r="M140" s="294"/>
      <c r="N140" s="294"/>
      <c r="O140" s="188"/>
      <c r="P140" s="194"/>
    </row>
    <row r="141" spans="1:16" ht="15.75" thickBot="1">
      <c r="A141" s="495" t="s">
        <v>489</v>
      </c>
      <c r="B141" s="144">
        <v>321500066</v>
      </c>
      <c r="C141" s="14" t="s">
        <v>140</v>
      </c>
      <c r="D141" s="49" t="s">
        <v>141</v>
      </c>
      <c r="E141" s="3"/>
      <c r="F141" s="88">
        <f>(G141)</f>
        <v>31900</v>
      </c>
      <c r="G141" s="89">
        <v>31900</v>
      </c>
      <c r="H141" s="126"/>
      <c r="I141" s="446" t="s">
        <v>490</v>
      </c>
      <c r="J141" s="295"/>
      <c r="K141" s="126"/>
      <c r="L141" s="126"/>
      <c r="M141" s="126"/>
      <c r="N141" s="126"/>
      <c r="O141" s="296"/>
      <c r="P141" s="297" t="s">
        <v>491</v>
      </c>
    </row>
    <row r="142" spans="1:16" ht="15.75" thickBot="1">
      <c r="B142" s="453"/>
      <c r="C142" s="604"/>
      <c r="D142" s="605"/>
      <c r="E142" s="3"/>
      <c r="F142" s="457"/>
      <c r="G142" s="606"/>
      <c r="H142" s="606"/>
      <c r="I142" s="606"/>
      <c r="J142" s="606"/>
      <c r="K142" s="606"/>
      <c r="L142" s="606"/>
      <c r="M142" s="606"/>
      <c r="N142" s="606"/>
      <c r="O142" s="606"/>
      <c r="P142" s="606"/>
    </row>
    <row r="143" spans="1:16" ht="15.75" thickBot="1">
      <c r="A143" s="495" t="s">
        <v>492</v>
      </c>
      <c r="B143" s="133">
        <v>321600051</v>
      </c>
      <c r="C143" s="26" t="s">
        <v>142</v>
      </c>
      <c r="D143" s="79" t="s">
        <v>17</v>
      </c>
      <c r="E143" s="3"/>
      <c r="F143" s="50">
        <f>(G143+J143+M143)/3</f>
        <v>200.83333333333334</v>
      </c>
      <c r="G143" s="80">
        <f>(1315/10)</f>
        <v>131.5</v>
      </c>
      <c r="H143" s="81" t="s">
        <v>298</v>
      </c>
      <c r="I143" s="424" t="s">
        <v>493</v>
      </c>
      <c r="J143" s="83">
        <v>241</v>
      </c>
      <c r="K143" s="81"/>
      <c r="L143" s="420" t="s">
        <v>494</v>
      </c>
      <c r="M143" s="143">
        <f>(1150/5)</f>
        <v>230</v>
      </c>
      <c r="N143" s="110" t="s">
        <v>495</v>
      </c>
      <c r="O143" s="636" t="s">
        <v>496</v>
      </c>
      <c r="P143" s="637"/>
    </row>
    <row r="144" spans="1:16" ht="15.75" thickBot="1">
      <c r="A144" s="495" t="s">
        <v>497</v>
      </c>
      <c r="B144" s="133">
        <v>320900041</v>
      </c>
      <c r="C144" s="464" t="s">
        <v>143</v>
      </c>
      <c r="D144" s="79" t="s">
        <v>15</v>
      </c>
      <c r="E144" s="3"/>
      <c r="F144" s="60">
        <f>(G144)</f>
        <v>60</v>
      </c>
      <c r="G144" s="89">
        <f>(6000/100)</f>
        <v>60</v>
      </c>
      <c r="H144" s="90" t="s">
        <v>498</v>
      </c>
      <c r="I144" s="482" t="s">
        <v>605</v>
      </c>
      <c r="J144" s="92"/>
      <c r="K144" s="90"/>
      <c r="L144" s="188"/>
      <c r="M144" s="294"/>
      <c r="N144" s="294"/>
      <c r="O144" s="188"/>
      <c r="P144" s="298"/>
    </row>
    <row r="145" spans="1:16" ht="15.75" thickBot="1">
      <c r="B145" s="453"/>
      <c r="C145" s="604"/>
      <c r="D145" s="605"/>
      <c r="E145" s="3"/>
      <c r="F145" s="457"/>
      <c r="G145" s="606"/>
      <c r="H145" s="606"/>
      <c r="I145" s="606"/>
      <c r="J145" s="606"/>
      <c r="K145" s="606"/>
      <c r="L145" s="606"/>
      <c r="M145" s="606"/>
      <c r="N145" s="606"/>
      <c r="O145" s="606"/>
      <c r="P145" s="606"/>
    </row>
    <row r="146" spans="1:16" ht="15.75" thickBot="1">
      <c r="A146" s="495" t="s">
        <v>499</v>
      </c>
      <c r="B146" s="144">
        <v>321500062</v>
      </c>
      <c r="C146" s="19" t="s">
        <v>144</v>
      </c>
      <c r="D146" s="101" t="s">
        <v>63</v>
      </c>
      <c r="E146" s="3"/>
      <c r="F146" s="68">
        <f>(G146)</f>
        <v>75510.2</v>
      </c>
      <c r="G146" s="61">
        <v>75510.2</v>
      </c>
      <c r="H146" s="134" t="s">
        <v>220</v>
      </c>
      <c r="I146" s="640" t="s">
        <v>500</v>
      </c>
      <c r="J146" s="632"/>
      <c r="K146" s="632"/>
      <c r="L146" s="632"/>
      <c r="M146" s="632"/>
      <c r="N146" s="632"/>
      <c r="O146" s="632"/>
      <c r="P146" s="633"/>
    </row>
    <row r="147" spans="1:16" ht="15.75" thickBot="1">
      <c r="B147" s="453"/>
      <c r="C147" s="604" t="s">
        <v>145</v>
      </c>
      <c r="D147" s="605"/>
      <c r="E147" s="3"/>
      <c r="F147" s="457"/>
      <c r="G147" s="606"/>
      <c r="H147" s="606"/>
      <c r="I147" s="606"/>
      <c r="J147" s="606"/>
      <c r="K147" s="606"/>
      <c r="L147" s="606"/>
      <c r="M147" s="606"/>
      <c r="N147" s="606"/>
      <c r="O147" s="606"/>
      <c r="P147" s="606"/>
    </row>
    <row r="148" spans="1:16" ht="15.75" thickBot="1">
      <c r="B148" s="48">
        <v>3211000211</v>
      </c>
      <c r="C148" s="74" t="s">
        <v>146</v>
      </c>
      <c r="D148" s="196" t="s">
        <v>17</v>
      </c>
      <c r="E148" s="3"/>
      <c r="F148" s="460"/>
      <c r="G148" s="600" t="s">
        <v>501</v>
      </c>
      <c r="H148" s="582"/>
      <c r="I148" s="582"/>
      <c r="J148" s="582"/>
      <c r="K148" s="582"/>
      <c r="L148" s="582"/>
      <c r="M148" s="582"/>
      <c r="N148" s="582"/>
      <c r="O148" s="582"/>
      <c r="P148" s="583"/>
    </row>
    <row r="149" spans="1:16" ht="15.75" thickBot="1">
      <c r="B149" s="48">
        <v>3211000212</v>
      </c>
      <c r="C149" s="74" t="s">
        <v>147</v>
      </c>
      <c r="D149" s="196" t="s">
        <v>15</v>
      </c>
      <c r="E149" s="3"/>
      <c r="F149" s="460"/>
      <c r="G149" s="600" t="s">
        <v>501</v>
      </c>
      <c r="H149" s="582"/>
      <c r="I149" s="582"/>
      <c r="J149" s="582"/>
      <c r="K149" s="582"/>
      <c r="L149" s="582"/>
      <c r="M149" s="582"/>
      <c r="N149" s="582"/>
      <c r="O149" s="582"/>
      <c r="P149" s="583"/>
    </row>
    <row r="150" spans="1:16" ht="15.75" thickBot="1">
      <c r="B150" s="453"/>
      <c r="C150" s="604" t="s">
        <v>148</v>
      </c>
      <c r="D150" s="605"/>
      <c r="E150" s="3"/>
      <c r="F150" s="457"/>
      <c r="G150" s="606"/>
      <c r="H150" s="606"/>
      <c r="I150" s="606"/>
      <c r="J150" s="606"/>
      <c r="K150" s="606"/>
      <c r="L150" s="606"/>
      <c r="M150" s="606"/>
      <c r="N150" s="606"/>
      <c r="O150" s="606"/>
      <c r="P150" s="606"/>
    </row>
    <row r="151" spans="1:16" ht="15.75" thickBot="1">
      <c r="A151" s="495" t="s">
        <v>502</v>
      </c>
      <c r="B151" s="595">
        <v>32130006</v>
      </c>
      <c r="C151" s="19" t="s">
        <v>149</v>
      </c>
      <c r="D151" s="101" t="s">
        <v>15</v>
      </c>
      <c r="E151" s="3"/>
      <c r="F151" s="246">
        <f>G151</f>
        <v>124</v>
      </c>
      <c r="G151" s="247">
        <v>124</v>
      </c>
      <c r="H151" s="638"/>
      <c r="I151" s="447" t="s">
        <v>503</v>
      </c>
      <c r="J151" s="300"/>
      <c r="K151" s="299"/>
      <c r="L151" s="299"/>
      <c r="M151" s="233"/>
      <c r="N151" s="233"/>
      <c r="O151" s="234"/>
      <c r="P151" s="243"/>
    </row>
    <row r="152" spans="1:16" ht="15.75" thickBot="1">
      <c r="A152" s="495" t="s">
        <v>504</v>
      </c>
      <c r="B152" s="597"/>
      <c r="C152" s="105" t="s">
        <v>150</v>
      </c>
      <c r="D152" s="301" t="s">
        <v>17</v>
      </c>
      <c r="E152" s="3"/>
      <c r="F152" s="246">
        <f>(G152)</f>
        <v>59</v>
      </c>
      <c r="G152" s="247">
        <v>59</v>
      </c>
      <c r="H152" s="573"/>
      <c r="I152" s="447" t="s">
        <v>503</v>
      </c>
      <c r="J152" s="302"/>
      <c r="K152" s="303"/>
      <c r="L152" s="303"/>
      <c r="M152" s="304"/>
      <c r="N152" s="304"/>
      <c r="O152" s="305"/>
      <c r="P152" s="95"/>
    </row>
    <row r="153" spans="1:16" ht="15.75" thickBot="1">
      <c r="A153" s="495" t="s">
        <v>505</v>
      </c>
      <c r="B153" s="595">
        <v>322300033</v>
      </c>
      <c r="C153" s="19" t="s">
        <v>506</v>
      </c>
      <c r="D153" s="101" t="s">
        <v>15</v>
      </c>
      <c r="E153" s="3"/>
      <c r="F153" s="465">
        <f>+(G153+J153)/2</f>
        <v>719.13249999999994</v>
      </c>
      <c r="G153" s="466">
        <f>(7632.65/10)</f>
        <v>763.26499999999999</v>
      </c>
      <c r="H153" s="467" t="s">
        <v>507</v>
      </c>
      <c r="I153" s="468" t="s">
        <v>508</v>
      </c>
      <c r="J153" s="466">
        <v>675</v>
      </c>
      <c r="K153" s="639"/>
      <c r="L153" s="472" t="s">
        <v>509</v>
      </c>
      <c r="M153" s="639"/>
      <c r="N153" s="639"/>
      <c r="O153" s="639"/>
      <c r="P153" s="643"/>
    </row>
    <row r="154" spans="1:16" ht="15.75" thickBot="1">
      <c r="A154" s="495" t="s">
        <v>510</v>
      </c>
      <c r="B154" s="596"/>
      <c r="C154" s="418" t="s">
        <v>511</v>
      </c>
      <c r="D154" s="101" t="s">
        <v>15</v>
      </c>
      <c r="E154" s="3"/>
      <c r="F154" s="465">
        <f>+(G154+J154)/2</f>
        <v>719.13249999999994</v>
      </c>
      <c r="G154" s="466">
        <f>(7632.65/10)</f>
        <v>763.26499999999999</v>
      </c>
      <c r="H154" s="467" t="s">
        <v>507</v>
      </c>
      <c r="I154" s="468" t="s">
        <v>508</v>
      </c>
      <c r="J154" s="466">
        <v>675</v>
      </c>
      <c r="K154" s="572"/>
      <c r="L154" s="472" t="s">
        <v>509</v>
      </c>
      <c r="M154" s="572"/>
      <c r="N154" s="572"/>
      <c r="O154" s="572"/>
      <c r="P154" s="644"/>
    </row>
    <row r="155" spans="1:16" ht="15.75" thickBot="1">
      <c r="A155" s="495" t="s">
        <v>512</v>
      </c>
      <c r="B155" s="596"/>
      <c r="C155" s="19" t="s">
        <v>513</v>
      </c>
      <c r="D155" s="101" t="s">
        <v>15</v>
      </c>
      <c r="E155" s="3"/>
      <c r="F155" s="465">
        <f>+(G155+J155)/2</f>
        <v>719.13249999999994</v>
      </c>
      <c r="G155" s="466">
        <f>(7632.65/10)</f>
        <v>763.26499999999999</v>
      </c>
      <c r="H155" s="467" t="s">
        <v>507</v>
      </c>
      <c r="I155" s="468" t="s">
        <v>508</v>
      </c>
      <c r="J155" s="466">
        <v>675</v>
      </c>
      <c r="K155" s="573"/>
      <c r="L155" s="472" t="s">
        <v>509</v>
      </c>
      <c r="M155" s="573"/>
      <c r="N155" s="573"/>
      <c r="O155" s="573"/>
      <c r="P155" s="645"/>
    </row>
    <row r="156" spans="1:16" ht="15.75" thickBot="1">
      <c r="A156" s="495" t="s">
        <v>514</v>
      </c>
      <c r="B156" s="596"/>
      <c r="C156" s="139" t="s">
        <v>515</v>
      </c>
      <c r="D156" s="306" t="s">
        <v>15</v>
      </c>
      <c r="E156" s="3"/>
      <c r="F156" s="60">
        <f t="shared" ref="F156:F157" si="14">(G156)</f>
        <v>763.26499999999999</v>
      </c>
      <c r="G156" s="111">
        <f>(7632.65/10)</f>
        <v>763.26499999999999</v>
      </c>
      <c r="H156" s="307" t="s">
        <v>507</v>
      </c>
      <c r="I156" s="448" t="s">
        <v>516</v>
      </c>
      <c r="J156" s="308"/>
      <c r="K156" s="309"/>
      <c r="L156" s="285"/>
      <c r="M156" s="310"/>
      <c r="N156" s="310"/>
      <c r="O156" s="285"/>
      <c r="P156" s="311"/>
    </row>
    <row r="157" spans="1:16" ht="15.75" thickBot="1">
      <c r="A157" s="495" t="s">
        <v>517</v>
      </c>
      <c r="B157" s="597"/>
      <c r="C157" s="19" t="s">
        <v>518</v>
      </c>
      <c r="D157" s="101" t="s">
        <v>15</v>
      </c>
      <c r="E157" s="3"/>
      <c r="F157" s="60">
        <f t="shared" si="14"/>
        <v>1015.3059999999999</v>
      </c>
      <c r="G157" s="89">
        <f>(10153.06/10)</f>
        <v>1015.3059999999999</v>
      </c>
      <c r="H157" s="307" t="s">
        <v>507</v>
      </c>
      <c r="I157" s="448" t="s">
        <v>519</v>
      </c>
      <c r="J157" s="308"/>
      <c r="K157" s="309"/>
      <c r="L157" s="285"/>
      <c r="M157" s="310"/>
      <c r="N157" s="310"/>
      <c r="O157" s="285"/>
      <c r="P157" s="311"/>
    </row>
    <row r="158" spans="1:16" ht="15.75" thickBot="1">
      <c r="A158" s="495" t="s">
        <v>520</v>
      </c>
      <c r="B158" s="133">
        <v>322300054</v>
      </c>
      <c r="C158" s="26" t="s">
        <v>152</v>
      </c>
      <c r="D158" s="79" t="s">
        <v>17</v>
      </c>
      <c r="E158" s="3"/>
      <c r="F158" s="60">
        <f>(G158+J158)/2</f>
        <v>90.306100000000001</v>
      </c>
      <c r="G158" s="89">
        <f>(6530.61/50)</f>
        <v>130.6122</v>
      </c>
      <c r="H158" s="90" t="s">
        <v>189</v>
      </c>
      <c r="I158" s="411" t="s">
        <v>521</v>
      </c>
      <c r="J158" s="92">
        <v>50</v>
      </c>
      <c r="K158" s="90"/>
      <c r="L158" s="427" t="s">
        <v>522</v>
      </c>
      <c r="M158" s="294"/>
      <c r="N158" s="294"/>
      <c r="O158" s="188"/>
      <c r="P158" s="298"/>
    </row>
    <row r="159" spans="1:16" ht="15.75" thickBot="1">
      <c r="B159" s="453"/>
      <c r="C159" s="604" t="s">
        <v>153</v>
      </c>
      <c r="D159" s="605"/>
      <c r="E159" s="3"/>
      <c r="F159" s="458"/>
      <c r="G159" s="606"/>
      <c r="H159" s="606"/>
      <c r="I159" s="606"/>
      <c r="J159" s="606"/>
      <c r="K159" s="606"/>
      <c r="L159" s="606"/>
      <c r="M159" s="606"/>
      <c r="N159" s="606"/>
      <c r="O159" s="606"/>
      <c r="P159" s="606"/>
    </row>
    <row r="160" spans="1:16" ht="15.75" thickBot="1">
      <c r="A160" s="495" t="s">
        <v>523</v>
      </c>
      <c r="B160" s="607">
        <v>32020006</v>
      </c>
      <c r="C160" s="26" t="s">
        <v>154</v>
      </c>
      <c r="D160" s="79" t="s">
        <v>63</v>
      </c>
      <c r="E160" s="3"/>
      <c r="F160" s="128">
        <f t="shared" ref="F160:F162" si="15">+(G160+J160)/2</f>
        <v>422.25</v>
      </c>
      <c r="G160" s="312">
        <v>574</v>
      </c>
      <c r="H160" s="81" t="s">
        <v>524</v>
      </c>
      <c r="I160" s="420" t="s">
        <v>525</v>
      </c>
      <c r="J160" s="83">
        <f>1623/6</f>
        <v>270.5</v>
      </c>
      <c r="K160" s="55" t="s">
        <v>526</v>
      </c>
      <c r="L160" s="420" t="s">
        <v>527</v>
      </c>
      <c r="M160" s="85"/>
      <c r="N160" s="85"/>
      <c r="O160" s="86"/>
      <c r="P160" s="107" t="s">
        <v>528</v>
      </c>
    </row>
    <row r="161" spans="1:16" ht="15.75" thickBot="1">
      <c r="A161" s="495" t="s">
        <v>529</v>
      </c>
      <c r="B161" s="596"/>
      <c r="C161" s="26" t="s">
        <v>155</v>
      </c>
      <c r="D161" s="79" t="s">
        <v>63</v>
      </c>
      <c r="E161" s="3"/>
      <c r="F161" s="108">
        <f t="shared" si="15"/>
        <v>727</v>
      </c>
      <c r="G161" s="111">
        <v>854</v>
      </c>
      <c r="H161" s="112" t="s">
        <v>530</v>
      </c>
      <c r="I161" s="428" t="s">
        <v>600</v>
      </c>
      <c r="J161" s="114">
        <f>+(3600/6)</f>
        <v>600</v>
      </c>
      <c r="K161" s="90" t="s">
        <v>220</v>
      </c>
      <c r="L161" s="428" t="s">
        <v>531</v>
      </c>
      <c r="M161" s="74"/>
      <c r="N161" s="74"/>
      <c r="O161" s="192"/>
      <c r="P161" s="313"/>
    </row>
    <row r="162" spans="1:16" ht="15.75" thickBot="1">
      <c r="A162" s="495" t="s">
        <v>532</v>
      </c>
      <c r="B162" s="597"/>
      <c r="C162" s="26" t="s">
        <v>156</v>
      </c>
      <c r="D162" s="79" t="s">
        <v>63</v>
      </c>
      <c r="E162" s="3"/>
      <c r="F162" s="244">
        <f t="shared" si="15"/>
        <v>903.16666666666663</v>
      </c>
      <c r="G162" s="89">
        <f>7400/6</f>
        <v>1233.3333333333333</v>
      </c>
      <c r="H162" s="90" t="s">
        <v>220</v>
      </c>
      <c r="I162" s="427" t="s">
        <v>533</v>
      </c>
      <c r="J162" s="83">
        <v>573</v>
      </c>
      <c r="K162" s="55" t="s">
        <v>220</v>
      </c>
      <c r="L162" s="420" t="s">
        <v>534</v>
      </c>
      <c r="M162" s="93"/>
      <c r="N162" s="93"/>
      <c r="O162" s="94"/>
      <c r="P162" s="107" t="s">
        <v>535</v>
      </c>
    </row>
    <row r="163" spans="1:16" ht="15.75" thickBot="1">
      <c r="B163" s="463"/>
      <c r="C163" s="604"/>
      <c r="D163" s="605"/>
      <c r="E163" s="3"/>
      <c r="F163" s="455"/>
      <c r="G163" s="606"/>
      <c r="H163" s="606"/>
      <c r="I163" s="606"/>
      <c r="J163" s="606"/>
      <c r="K163" s="606"/>
      <c r="L163" s="606"/>
      <c r="M163" s="606"/>
      <c r="N163" s="606"/>
      <c r="O163" s="606"/>
      <c r="P163" s="606"/>
    </row>
    <row r="164" spans="1:16" ht="15.75" thickBot="1">
      <c r="A164" s="495" t="s">
        <v>536</v>
      </c>
      <c r="B164" s="133">
        <v>320900052</v>
      </c>
      <c r="C164" s="26" t="s">
        <v>157</v>
      </c>
      <c r="D164" s="79" t="s">
        <v>17</v>
      </c>
      <c r="E164" s="3"/>
      <c r="F164" s="68">
        <f>(G164+J164+M164)/3</f>
        <v>4077.8633333333332</v>
      </c>
      <c r="G164" s="61">
        <v>1654</v>
      </c>
      <c r="H164" s="134" t="s">
        <v>537</v>
      </c>
      <c r="I164" s="413" t="s">
        <v>538</v>
      </c>
      <c r="J164" s="69">
        <v>8979.59</v>
      </c>
      <c r="K164" s="134" t="s">
        <v>539</v>
      </c>
      <c r="L164" s="419" t="s">
        <v>540</v>
      </c>
      <c r="M164" s="152">
        <v>1600</v>
      </c>
      <c r="N164" s="156" t="s">
        <v>541</v>
      </c>
      <c r="O164" s="642" t="s">
        <v>542</v>
      </c>
      <c r="P164" s="633"/>
    </row>
    <row r="165" spans="1:16" ht="15.75" thickBot="1">
      <c r="B165" s="453"/>
      <c r="C165" s="604"/>
      <c r="D165" s="605"/>
      <c r="E165" s="3"/>
      <c r="F165" s="457"/>
      <c r="G165" s="606"/>
      <c r="H165" s="606"/>
      <c r="I165" s="606"/>
      <c r="J165" s="606"/>
      <c r="K165" s="606"/>
      <c r="L165" s="606"/>
      <c r="M165" s="606"/>
      <c r="N165" s="606"/>
      <c r="O165" s="606"/>
      <c r="P165" s="606"/>
    </row>
    <row r="166" spans="1:16" ht="15.75" thickBot="1">
      <c r="A166" s="495" t="s">
        <v>543</v>
      </c>
      <c r="B166" s="48">
        <v>3212000815</v>
      </c>
      <c r="C166" s="14" t="s">
        <v>158</v>
      </c>
      <c r="D166" s="49" t="s">
        <v>17</v>
      </c>
      <c r="E166" s="3"/>
      <c r="F166" s="68">
        <f>(G166)</f>
        <v>2653.06</v>
      </c>
      <c r="G166" s="61">
        <v>2653.06</v>
      </c>
      <c r="H166" s="134" t="s">
        <v>544</v>
      </c>
      <c r="I166" s="423" t="s">
        <v>545</v>
      </c>
      <c r="J166" s="314"/>
      <c r="K166" s="176"/>
      <c r="L166" s="176"/>
      <c r="M166" s="177"/>
      <c r="N166" s="177"/>
      <c r="O166" s="176"/>
      <c r="P166" s="178"/>
    </row>
    <row r="167" spans="1:16" ht="15.75" thickBot="1">
      <c r="B167" s="48">
        <v>321200332</v>
      </c>
      <c r="C167" s="74" t="s">
        <v>159</v>
      </c>
      <c r="D167" s="196" t="s">
        <v>15</v>
      </c>
      <c r="F167" s="460"/>
      <c r="G167" s="600" t="s">
        <v>350</v>
      </c>
      <c r="H167" s="582"/>
      <c r="I167" s="582"/>
      <c r="J167" s="582"/>
      <c r="K167" s="582"/>
      <c r="L167" s="582"/>
      <c r="M167" s="582"/>
      <c r="N167" s="582"/>
      <c r="O167" s="582"/>
      <c r="P167" s="583"/>
    </row>
    <row r="168" spans="1:16" ht="15.75" thickBot="1">
      <c r="B168" s="453"/>
      <c r="C168" s="604" t="s">
        <v>160</v>
      </c>
      <c r="D168" s="605"/>
      <c r="E168" s="3"/>
      <c r="F168" s="457"/>
      <c r="G168" s="606"/>
      <c r="H168" s="606"/>
      <c r="I168" s="606"/>
      <c r="J168" s="606"/>
      <c r="K168" s="606"/>
      <c r="L168" s="606"/>
      <c r="M168" s="606"/>
      <c r="N168" s="606"/>
      <c r="O168" s="606"/>
      <c r="P168" s="606"/>
    </row>
    <row r="169" spans="1:16" ht="15.75" thickBot="1">
      <c r="A169" s="495" t="s">
        <v>546</v>
      </c>
      <c r="B169" s="607">
        <v>32060005</v>
      </c>
      <c r="C169" s="26" t="s">
        <v>161</v>
      </c>
      <c r="D169" s="315" t="s">
        <v>33</v>
      </c>
      <c r="E169" s="3"/>
      <c r="F169" s="50">
        <f t="shared" ref="F169:F173" si="16">((G169+J169)/2)</f>
        <v>596</v>
      </c>
      <c r="G169" s="80">
        <v>500</v>
      </c>
      <c r="H169" s="81" t="s">
        <v>216</v>
      </c>
      <c r="I169" s="424" t="s">
        <v>547</v>
      </c>
      <c r="J169" s="83">
        <v>692</v>
      </c>
      <c r="K169" s="81" t="s">
        <v>216</v>
      </c>
      <c r="L169" s="424" t="s">
        <v>548</v>
      </c>
      <c r="M169" s="85"/>
      <c r="N169" s="85"/>
      <c r="O169" s="86"/>
      <c r="P169" s="107" t="s">
        <v>549</v>
      </c>
    </row>
    <row r="170" spans="1:16" ht="15.75" thickBot="1">
      <c r="A170" s="495" t="s">
        <v>550</v>
      </c>
      <c r="B170" s="596"/>
      <c r="C170" s="26" t="s">
        <v>162</v>
      </c>
      <c r="D170" s="315" t="s">
        <v>33</v>
      </c>
      <c r="E170" s="3"/>
      <c r="F170" s="88">
        <f t="shared" si="16"/>
        <v>811.5</v>
      </c>
      <c r="G170" s="111">
        <v>943</v>
      </c>
      <c r="H170" s="112" t="s">
        <v>216</v>
      </c>
      <c r="I170" s="426" t="s">
        <v>551</v>
      </c>
      <c r="J170" s="114">
        <v>680</v>
      </c>
      <c r="K170" s="112" t="s">
        <v>216</v>
      </c>
      <c r="L170" s="426" t="s">
        <v>552</v>
      </c>
      <c r="M170" s="74"/>
      <c r="N170" s="74"/>
      <c r="O170" s="140"/>
      <c r="P170" s="107" t="s">
        <v>553</v>
      </c>
    </row>
    <row r="171" spans="1:16" ht="16.5" thickBot="1">
      <c r="A171" s="495" t="s">
        <v>554</v>
      </c>
      <c r="B171" s="597"/>
      <c r="C171" s="26" t="s">
        <v>163</v>
      </c>
      <c r="D171" s="315" t="s">
        <v>33</v>
      </c>
      <c r="E171" s="316"/>
      <c r="F171" s="88">
        <f t="shared" si="16"/>
        <v>1063.5</v>
      </c>
      <c r="G171" s="111">
        <v>1237</v>
      </c>
      <c r="H171" s="112" t="s">
        <v>216</v>
      </c>
      <c r="I171" s="426" t="s">
        <v>555</v>
      </c>
      <c r="J171" s="114">
        <v>890</v>
      </c>
      <c r="K171" s="112" t="s">
        <v>216</v>
      </c>
      <c r="L171" s="426" t="s">
        <v>556</v>
      </c>
      <c r="M171" s="74"/>
      <c r="N171" s="74"/>
      <c r="O171" s="140"/>
      <c r="P171" s="107" t="s">
        <v>557</v>
      </c>
    </row>
    <row r="172" spans="1:16" ht="16.5" thickBot="1">
      <c r="A172" s="495" t="s">
        <v>558</v>
      </c>
      <c r="B172" s="607">
        <v>32020004</v>
      </c>
      <c r="C172" s="26" t="s">
        <v>164</v>
      </c>
      <c r="D172" s="315" t="s">
        <v>63</v>
      </c>
      <c r="E172" s="316"/>
      <c r="F172" s="88">
        <f t="shared" si="16"/>
        <v>97.5</v>
      </c>
      <c r="G172" s="111">
        <v>90</v>
      </c>
      <c r="H172" s="317" t="s">
        <v>559</v>
      </c>
      <c r="I172" s="426" t="s">
        <v>560</v>
      </c>
      <c r="J172" s="114">
        <v>105</v>
      </c>
      <c r="K172" s="112" t="s">
        <v>561</v>
      </c>
      <c r="L172" s="428" t="s">
        <v>562</v>
      </c>
      <c r="M172" s="318"/>
      <c r="N172" s="318"/>
      <c r="O172" s="191"/>
      <c r="P172" s="319"/>
    </row>
    <row r="173" spans="1:16" ht="15.75" thickBot="1">
      <c r="A173" s="495" t="s">
        <v>563</v>
      </c>
      <c r="B173" s="641"/>
      <c r="C173" s="320" t="s">
        <v>165</v>
      </c>
      <c r="D173" s="321" t="s">
        <v>63</v>
      </c>
      <c r="E173" s="3"/>
      <c r="F173" s="88">
        <f t="shared" si="16"/>
        <v>139.5</v>
      </c>
      <c r="G173" s="322">
        <v>127</v>
      </c>
      <c r="H173" s="323" t="s">
        <v>559</v>
      </c>
      <c r="I173" s="449" t="s">
        <v>564</v>
      </c>
      <c r="J173" s="324">
        <v>152</v>
      </c>
      <c r="K173" s="325" t="s">
        <v>561</v>
      </c>
      <c r="L173" s="450" t="s">
        <v>565</v>
      </c>
      <c r="M173" s="327"/>
      <c r="N173" s="327"/>
      <c r="O173" s="326"/>
      <c r="P173" s="328"/>
    </row>
  </sheetData>
  <mergeCells count="166">
    <mergeCell ref="B169:B171"/>
    <mergeCell ref="B172:B173"/>
    <mergeCell ref="O164:P164"/>
    <mergeCell ref="C165:D165"/>
    <mergeCell ref="G165:P165"/>
    <mergeCell ref="G167:P167"/>
    <mergeCell ref="C168:D168"/>
    <mergeCell ref="G168:P168"/>
    <mergeCell ref="O153:O155"/>
    <mergeCell ref="P153:P155"/>
    <mergeCell ref="C159:D159"/>
    <mergeCell ref="G159:P159"/>
    <mergeCell ref="B160:B162"/>
    <mergeCell ref="C163:D163"/>
    <mergeCell ref="G163:P163"/>
    <mergeCell ref="B151:B152"/>
    <mergeCell ref="H151:H152"/>
    <mergeCell ref="B153:B157"/>
    <mergeCell ref="K153:K155"/>
    <mergeCell ref="M153:M155"/>
    <mergeCell ref="N153:N155"/>
    <mergeCell ref="I146:P146"/>
    <mergeCell ref="C147:D147"/>
    <mergeCell ref="G147:P147"/>
    <mergeCell ref="G148:P148"/>
    <mergeCell ref="G149:P149"/>
    <mergeCell ref="C150:D150"/>
    <mergeCell ref="G150:P150"/>
    <mergeCell ref="C138:D138"/>
    <mergeCell ref="G138:P138"/>
    <mergeCell ref="C142:D142"/>
    <mergeCell ref="G142:P142"/>
    <mergeCell ref="O143:P143"/>
    <mergeCell ref="C145:D145"/>
    <mergeCell ref="G145:P145"/>
    <mergeCell ref="B127:B129"/>
    <mergeCell ref="C131:D131"/>
    <mergeCell ref="G131:P131"/>
    <mergeCell ref="C133:D133"/>
    <mergeCell ref="G133:P133"/>
    <mergeCell ref="C136:D136"/>
    <mergeCell ref="G136:P136"/>
    <mergeCell ref="B118:B119"/>
    <mergeCell ref="B120:B123"/>
    <mergeCell ref="C124:D124"/>
    <mergeCell ref="G124:P124"/>
    <mergeCell ref="G125:P125"/>
    <mergeCell ref="C126:D126"/>
    <mergeCell ref="G126:P126"/>
    <mergeCell ref="C112:D112"/>
    <mergeCell ref="G112:P112"/>
    <mergeCell ref="L113:P113"/>
    <mergeCell ref="C114:D114"/>
    <mergeCell ref="G114:P114"/>
    <mergeCell ref="B115:B117"/>
    <mergeCell ref="C104:D104"/>
    <mergeCell ref="G104:P104"/>
    <mergeCell ref="G105:P105"/>
    <mergeCell ref="C106:D106"/>
    <mergeCell ref="G106:P106"/>
    <mergeCell ref="B107:B111"/>
    <mergeCell ref="C94:D94"/>
    <mergeCell ref="G94:P94"/>
    <mergeCell ref="B95:B99"/>
    <mergeCell ref="G100:P100"/>
    <mergeCell ref="L101:P101"/>
    <mergeCell ref="C102:D102"/>
    <mergeCell ref="G102:P102"/>
    <mergeCell ref="C84:D84"/>
    <mergeCell ref="G84:P84"/>
    <mergeCell ref="B85:B86"/>
    <mergeCell ref="C88:D88"/>
    <mergeCell ref="G88:P88"/>
    <mergeCell ref="C90:D90"/>
    <mergeCell ref="G90:P90"/>
    <mergeCell ref="C79:D79"/>
    <mergeCell ref="G79:P79"/>
    <mergeCell ref="G80:P80"/>
    <mergeCell ref="G81:P81"/>
    <mergeCell ref="C82:D82"/>
    <mergeCell ref="G82:P82"/>
    <mergeCell ref="C73:D73"/>
    <mergeCell ref="G73:P73"/>
    <mergeCell ref="G74:P74"/>
    <mergeCell ref="C75:D75"/>
    <mergeCell ref="G75:P75"/>
    <mergeCell ref="B76:B78"/>
    <mergeCell ref="C65:D65"/>
    <mergeCell ref="G65:P65"/>
    <mergeCell ref="C69:D69"/>
    <mergeCell ref="G69:P69"/>
    <mergeCell ref="C71:D71"/>
    <mergeCell ref="G71:P71"/>
    <mergeCell ref="B57:B58"/>
    <mergeCell ref="C59:D59"/>
    <mergeCell ref="G59:P59"/>
    <mergeCell ref="C61:D61"/>
    <mergeCell ref="G61:P61"/>
    <mergeCell ref="C63:D63"/>
    <mergeCell ref="G63:P63"/>
    <mergeCell ref="C52:D52"/>
    <mergeCell ref="G52:P52"/>
    <mergeCell ref="C54:D54"/>
    <mergeCell ref="G54:P54"/>
    <mergeCell ref="C56:D56"/>
    <mergeCell ref="G56:P56"/>
    <mergeCell ref="C44:D44"/>
    <mergeCell ref="G44:P44"/>
    <mergeCell ref="C46:D46"/>
    <mergeCell ref="G46:P46"/>
    <mergeCell ref="B47:B51"/>
    <mergeCell ref="L47:P47"/>
    <mergeCell ref="L48:P48"/>
    <mergeCell ref="L49:P49"/>
    <mergeCell ref="L50:P50"/>
    <mergeCell ref="L51:P51"/>
    <mergeCell ref="L38:P38"/>
    <mergeCell ref="C39:D39"/>
    <mergeCell ref="G39:P39"/>
    <mergeCell ref="C40:D40"/>
    <mergeCell ref="G40:P40"/>
    <mergeCell ref="C42:D42"/>
    <mergeCell ref="G42:Q42"/>
    <mergeCell ref="C31:D31"/>
    <mergeCell ref="G31:P31"/>
    <mergeCell ref="C35:D35"/>
    <mergeCell ref="G35:P35"/>
    <mergeCell ref="B36:B37"/>
    <mergeCell ref="O36:P36"/>
    <mergeCell ref="G37:P37"/>
    <mergeCell ref="C26:D26"/>
    <mergeCell ref="G26:P26"/>
    <mergeCell ref="B27:B28"/>
    <mergeCell ref="O27:P27"/>
    <mergeCell ref="O28:P28"/>
    <mergeCell ref="C29:D29"/>
    <mergeCell ref="G29:P29"/>
    <mergeCell ref="C21:D21"/>
    <mergeCell ref="G21:P21"/>
    <mergeCell ref="B22:B23"/>
    <mergeCell ref="L22:P22"/>
    <mergeCell ref="O23:P23"/>
    <mergeCell ref="B24:B25"/>
    <mergeCell ref="C15:D15"/>
    <mergeCell ref="G15:P15"/>
    <mergeCell ref="B16:B17"/>
    <mergeCell ref="C18:D18"/>
    <mergeCell ref="G18:P18"/>
    <mergeCell ref="B19:B20"/>
    <mergeCell ref="B6:D6"/>
    <mergeCell ref="F6:P6"/>
    <mergeCell ref="C7:D7"/>
    <mergeCell ref="F7:P7"/>
    <mergeCell ref="B9:B14"/>
    <mergeCell ref="G10:P10"/>
    <mergeCell ref="G12:P12"/>
    <mergeCell ref="G14:P14"/>
    <mergeCell ref="C1:Q1"/>
    <mergeCell ref="B3:C3"/>
    <mergeCell ref="D3:E3"/>
    <mergeCell ref="F3:G3"/>
    <mergeCell ref="H3:I3"/>
    <mergeCell ref="J3:K3"/>
    <mergeCell ref="L3:M3"/>
    <mergeCell ref="N3:O3"/>
    <mergeCell ref="P3:Q3"/>
  </mergeCells>
  <hyperlinks>
    <hyperlink ref="I8" r:id="rId1"/>
    <hyperlink ref="L8" r:id="rId2"/>
    <hyperlink ref="I9" r:id="rId3"/>
    <hyperlink ref="I11" r:id="rId4"/>
    <hyperlink ref="L11" r:id="rId5"/>
    <hyperlink ref="I13" r:id="rId6"/>
    <hyperlink ref="I16" r:id="rId7"/>
    <hyperlink ref="I17" r:id="rId8"/>
    <hyperlink ref="I19" r:id="rId9"/>
    <hyperlink ref="L19" r:id="rId10"/>
    <hyperlink ref="O19" r:id="rId11"/>
    <hyperlink ref="I20" r:id="rId12"/>
    <hyperlink ref="L20" r:id="rId13"/>
    <hyperlink ref="I22" r:id="rId14"/>
    <hyperlink ref="L22" r:id="rId15" location="position=1&amp;search_layout=stack&amp;type=item&amp;tracking_id=5aa2351b-d0ee-4e1b-af50-92b53d2c6d2d"/>
    <hyperlink ref="I23" r:id="rId16"/>
    <hyperlink ref="L23" r:id="rId17"/>
    <hyperlink ref="O23" r:id="rId18" location="position=3&amp;search_layout=stack&amp;type=item&amp;tracking_id=122e6606-c91c-4169-9433-c2fafd512ba0"/>
    <hyperlink ref="I24" r:id="rId19"/>
    <hyperlink ref="L24" r:id="rId20"/>
    <hyperlink ref="O24" r:id="rId21" location="position=4&amp;search_layout=stack&amp;type=item&amp;tracking_id=77054436-6e98-4191-b4ee-f45c3346c70f"/>
    <hyperlink ref="I25" r:id="rId22"/>
    <hyperlink ref="L25" r:id="rId23"/>
    <hyperlink ref="I27" r:id="rId24" location="position=1&amp;search_layout=stack&amp;type=item&amp;tracking_id=ec7797df-3e4d-4220-90cc-6644425bf5a2"/>
    <hyperlink ref="L27" r:id="rId25"/>
    <hyperlink ref="O27" r:id="rId26"/>
    <hyperlink ref="L28" r:id="rId27"/>
    <hyperlink ref="O28" r:id="rId28"/>
    <hyperlink ref="I30" r:id="rId29" location="position=1&amp;search_layout=stack&amp;type=item&amp;tracking_id=26c9d2d1-aa72-46b5-bfd4-c6383639bad9"/>
    <hyperlink ref="I32" r:id="rId30"/>
    <hyperlink ref="L32" r:id="rId31"/>
    <hyperlink ref="I33" r:id="rId32"/>
    <hyperlink ref="L33" r:id="rId33"/>
    <hyperlink ref="I34" r:id="rId34"/>
    <hyperlink ref="L34" r:id="rId35"/>
    <hyperlink ref="I36" r:id="rId36"/>
    <hyperlink ref="L36" r:id="rId37"/>
    <hyperlink ref="O36" r:id="rId38" location="position=23&amp;search_layout=stack&amp;type=item&amp;tracking_id=bcf55261-9a5b-4a18-86a6-4b12314ccceb"/>
    <hyperlink ref="I38" r:id="rId39"/>
    <hyperlink ref="L38" r:id="rId40"/>
    <hyperlink ref="I41" r:id="rId41" location="position=1&amp;search_layout=stack&amp;type=item&amp;tracking_id=221e3683-c93b-4582-b29e-6e45c6851180"/>
    <hyperlink ref="I43" r:id="rId42"/>
    <hyperlink ref="L43" r:id="rId43" location="position=1&amp;search_layout=stack&amp;type=item&amp;tracking_id=c3b53cc0-b0de-416b-bcc3-d2db57cf3b27"/>
    <hyperlink ref="O43" r:id="rId44"/>
    <hyperlink ref="I45" r:id="rId45" location="position=1&amp;search_layout=stack&amp;type=item&amp;tracking_id=622e4d85-b43d-4b8b-aaaa-51e931ca9843"/>
    <hyperlink ref="I47" r:id="rId46"/>
    <hyperlink ref="L47" r:id="rId47"/>
    <hyperlink ref="I48" r:id="rId48"/>
    <hyperlink ref="L48" r:id="rId49"/>
    <hyperlink ref="L49" r:id="rId50"/>
    <hyperlink ref="L50" r:id="rId51"/>
    <hyperlink ref="I53" r:id="rId52"/>
    <hyperlink ref="L53" r:id="rId53"/>
    <hyperlink ref="I55" r:id="rId54"/>
    <hyperlink ref="L55" r:id="rId55"/>
    <hyperlink ref="I57" r:id="rId56"/>
    <hyperlink ref="I58" r:id="rId57"/>
    <hyperlink ref="I62" r:id="rId58"/>
    <hyperlink ref="L62" r:id="rId59"/>
    <hyperlink ref="L78" r:id="rId60"/>
    <hyperlink ref="I85" r:id="rId61"/>
    <hyperlink ref="L85" r:id="rId62"/>
    <hyperlink ref="I87" r:id="rId63"/>
    <hyperlink ref="I89" r:id="rId64"/>
    <hyperlink ref="I91" r:id="rId65"/>
    <hyperlink ref="I92" r:id="rId66"/>
    <hyperlink ref="L93" r:id="rId67"/>
    <hyperlink ref="I95" r:id="rId68" location="position=2&amp;search_layout=stack&amp;type=item&amp;tracking_id=57f49db4-9aee-44c5-9095-2a62687ea517"/>
    <hyperlink ref="I96" r:id="rId69"/>
    <hyperlink ref="I99" r:id="rId70"/>
    <hyperlink ref="I101" r:id="rId71"/>
    <hyperlink ref="L101" r:id="rId72" location="position=2&amp;search_layout=stack&amp;type=item&amp;tracking_id=b079918a-0923-4ef0-a7bc-cd168f966715"/>
    <hyperlink ref="I103" r:id="rId73"/>
    <hyperlink ref="L103" r:id="rId74"/>
    <hyperlink ref="I107" r:id="rId75"/>
    <hyperlink ref="I108" r:id="rId76"/>
    <hyperlink ref="I109" r:id="rId77"/>
    <hyperlink ref="I111" r:id="rId78"/>
    <hyperlink ref="I113" r:id="rId79"/>
    <hyperlink ref="I121" r:id="rId80"/>
    <hyperlink ref="I127" r:id="rId81"/>
    <hyperlink ref="I153" r:id="rId82"/>
    <hyperlink ref="I166" r:id="rId83"/>
    <hyperlink ref="O30" r:id="rId84"/>
    <hyperlink ref="I154" r:id="rId85"/>
    <hyperlink ref="I155" r:id="rId86"/>
    <hyperlink ref="L13" r:id="rId87"/>
    <hyperlink ref="O13" r:id="rId88"/>
    <hyperlink ref="I49" r:id="rId89"/>
    <hyperlink ref="I50" r:id="rId90"/>
    <hyperlink ref="I51" r:id="rId91"/>
    <hyperlink ref="L51" r:id="rId92"/>
    <hyperlink ref="I60" r:id="rId93"/>
    <hyperlink ref="I64" r:id="rId94"/>
    <hyperlink ref="I66" r:id="rId95"/>
    <hyperlink ref="I67" r:id="rId96"/>
    <hyperlink ref="I68" r:id="rId97"/>
    <hyperlink ref="L66" r:id="rId98" location="position=21&amp;search_layout=stack&amp;type=item&amp;tracking_id=0b2e9a7f-529f-4b1f-894a-35cbc3e4ea57"/>
    <hyperlink ref="L67" r:id="rId99" location="position=6&amp;search_layout=stack&amp;type=item&amp;tracking_id=5d5ddbbf-cc65-4aec-9d7c-a7b4551a530c"/>
    <hyperlink ref="L68" r:id="rId100" location="position=30&amp;search_layout=stack&amp;type=item&amp;tracking_id=45721ac5-008c-420d-91ec-d16ba69bbf1e"/>
    <hyperlink ref="I70" r:id="rId101"/>
    <hyperlink ref="L70" r:id="rId102"/>
    <hyperlink ref="I72" r:id="rId103"/>
    <hyperlink ref="L72" r:id="rId104"/>
    <hyperlink ref="I76" r:id="rId105"/>
    <hyperlink ref="I77" r:id="rId106"/>
    <hyperlink ref="I78" r:id="rId107"/>
    <hyperlink ref="L76" r:id="rId108"/>
    <hyperlink ref="L77" r:id="rId109"/>
    <hyperlink ref="O76" r:id="rId110"/>
    <hyperlink ref="O77" r:id="rId111"/>
    <hyperlink ref="O78" r:id="rId112"/>
    <hyperlink ref="I83" r:id="rId113"/>
    <hyperlink ref="I86" r:id="rId114"/>
    <hyperlink ref="L87" r:id="rId115"/>
    <hyperlink ref="L89" r:id="rId116"/>
    <hyperlink ref="O89" r:id="rId117" location="position=4&amp;search_layout=stack&amp;type=item&amp;tracking_id=4e9e71f7-3bb5-4140-9504-a2190b3ce9db"/>
    <hyperlink ref="I93" r:id="rId118" location="searchVariation=59540783082&amp;position=2&amp;search_layout=stack&amp;type=item&amp;tracking_id=13144c16-d71b-4ade-a9f4-c5dc0b72b11b"/>
    <hyperlink ref="L91" r:id="rId119"/>
    <hyperlink ref="L92" r:id="rId120"/>
    <hyperlink ref="I97" r:id="rId121"/>
    <hyperlink ref="I98" r:id="rId122"/>
    <hyperlink ref="L96" r:id="rId123"/>
    <hyperlink ref="I110" r:id="rId124" location="searchVariation=50638615865&amp;position=1&amp;search_layout=stack&amp;type=item&amp;tracking_id=b47d3cab-1071-4ad2-97ed-4a8b1c4179c0"/>
    <hyperlink ref="L107" r:id="rId125"/>
    <hyperlink ref="L108" r:id="rId126" location="searchVariation=50638348833&amp;position=3&amp;search_layout=stack&amp;type=item&amp;tracking_id=23682066-0608-4318-9631-44fce24e804f"/>
    <hyperlink ref="L109" r:id="rId127" location="searchVariation=50639296659&amp;position=27&amp;search_layout=stack&amp;type=item&amp;tracking_id=b581924e-6b78-4e94-bc7d-192e82dd69ec"/>
    <hyperlink ref="L110" r:id="rId128"/>
    <hyperlink ref="O107" r:id="rId129" location="searchVariation=50638209526&amp;position=10&amp;search_layout=stack&amp;type=item&amp;tracking_id=6daac8f4-dc44-4bd5-ab5b-995b83254133"/>
    <hyperlink ref="L113" r:id="rId130"/>
    <hyperlink ref="I115" r:id="rId131"/>
    <hyperlink ref="I116" r:id="rId132"/>
    <hyperlink ref="I117" r:id="rId133"/>
    <hyperlink ref="I118" r:id="rId134"/>
    <hyperlink ref="I119" r:id="rId135"/>
    <hyperlink ref="I122" r:id="rId136" location="position=1&amp;search_layout=stack&amp;type=item&amp;tracking_id=688708a5-e42d-4ff5-9938-1ee3a70f6c44"/>
    <hyperlink ref="I123" r:id="rId137"/>
    <hyperlink ref="L118" r:id="rId138"/>
    <hyperlink ref="L119" r:id="rId139"/>
    <hyperlink ref="L120" r:id="rId140" location="position=5&amp;search_layout=stack&amp;type=item&amp;tracking_id=78294b9d-cafd-4586-9d8b-8bea49a452ea"/>
    <hyperlink ref="L121" r:id="rId141"/>
    <hyperlink ref="L122" r:id="rId142"/>
    <hyperlink ref="L123" r:id="rId143" location="position=5&amp;search_layout=stack&amp;type=item&amp;tracking_id=78294b9d-cafd-4586-9d8b-8bea49a452ea"/>
    <hyperlink ref="I128" r:id="rId144"/>
    <hyperlink ref="I129" r:id="rId145"/>
    <hyperlink ref="I130" r:id="rId146"/>
    <hyperlink ref="I132" r:id="rId147"/>
    <hyperlink ref="I134" r:id="rId148"/>
    <hyperlink ref="I135" r:id="rId149"/>
    <hyperlink ref="I137" r:id="rId150"/>
    <hyperlink ref="I139" r:id="rId151"/>
    <hyperlink ref="I140" r:id="rId152"/>
    <hyperlink ref="I141" r:id="rId153" location="position=14&amp;search_layout=stack&amp;type=item&amp;tracking_id=a3333a02-bdfe-4512-872d-35e5a6e63887"/>
    <hyperlink ref="L139" r:id="rId154"/>
    <hyperlink ref="L140" r:id="rId155"/>
    <hyperlink ref="I143" r:id="rId156"/>
    <hyperlink ref="I144" r:id="rId157"/>
    <hyperlink ref="L143" r:id="rId158"/>
    <hyperlink ref="O143" r:id="rId159" location="position=1&amp;search_layout=stack&amp;type=item&amp;tracking_id=d269d3a5-cf58-4423-8db1-4c39264c184d"/>
    <hyperlink ref="I146" r:id="rId160"/>
    <hyperlink ref="I151" r:id="rId161"/>
    <hyperlink ref="I152" r:id="rId162"/>
    <hyperlink ref="I157" r:id="rId163"/>
    <hyperlink ref="I158" r:id="rId164"/>
    <hyperlink ref="L153" r:id="rId165"/>
    <hyperlink ref="L154" r:id="rId166"/>
    <hyperlink ref="L155" r:id="rId167"/>
    <hyperlink ref="L158" r:id="rId168"/>
    <hyperlink ref="I160" r:id="rId169"/>
    <hyperlink ref="I161" r:id="rId170"/>
    <hyperlink ref="I162" r:id="rId171"/>
    <hyperlink ref="L160" r:id="rId172"/>
    <hyperlink ref="L161" r:id="rId173"/>
    <hyperlink ref="L162" r:id="rId174"/>
    <hyperlink ref="I164" r:id="rId175"/>
    <hyperlink ref="L164" r:id="rId176"/>
    <hyperlink ref="O164" r:id="rId177" location="position=3&amp;search_layout=stack&amp;type=item&amp;tracking_id=ae3e8879-4057-4a0e-88ad-f7c3d73658c0"/>
    <hyperlink ref="I169" r:id="rId178"/>
    <hyperlink ref="I170" r:id="rId179"/>
    <hyperlink ref="I171" r:id="rId180"/>
    <hyperlink ref="I172" r:id="rId181"/>
    <hyperlink ref="I173" r:id="rId182"/>
    <hyperlink ref="L169" r:id="rId183"/>
    <hyperlink ref="L170" r:id="rId184"/>
    <hyperlink ref="L171" r:id="rId185"/>
    <hyperlink ref="L172" r:id="rId186"/>
    <hyperlink ref="L173" r:id="rId187"/>
    <hyperlink ref="L16" r:id="rId188" location="position=3&amp;search_layout=stack&amp;type=item&amp;tracking_id=b1377160-a1b4-4e65-9b75-b0f100f44cb1"/>
    <hyperlink ref="L17" r:id="rId189" location="position=1&amp;search_layout=stack&amp;type=item&amp;tracking_id=b1377160-a1b4-4e65-9b75-b0f100f44cb1"/>
    <hyperlink ref="I28" r:id="rId190" location="position=1&amp;search_layout=stack&amp;type=item&amp;tracking_id=ec7797df-3e4d-4220-90cc-6644425bf5a2" display="https://www.tiendahospimed.com.ar/MLA-768780653-bajalengua-de-madera-adulto-o-pediatrico-600-unidades-_JM#position=1&amp;search_layout=stack&amp;type=item&amp;tracking_id=ec7797df-3e4d-4220-90cc-6644425bf5a2"/>
    <hyperlink ref="L30" r:id="rId191"/>
    <hyperlink ref="I120" r:id="rId192"/>
    <hyperlink ref="I156" r:id="rId193"/>
  </hyperlinks>
  <pageMargins left="0.7" right="0.7" top="0.75" bottom="0.75" header="0.3" footer="0.3"/>
  <pageSetup orientation="portrait" r:id="rId19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topLeftCell="B1" workbookViewId="0">
      <selection activeCell="B3" sqref="B3:C3"/>
    </sheetView>
  </sheetViews>
  <sheetFormatPr baseColWidth="10" defaultColWidth="14.42578125" defaultRowHeight="15"/>
  <cols>
    <col min="1" max="1" width="10.7109375" style="516" hidden="1" customWidth="1"/>
    <col min="2" max="2" width="10.7109375" style="516" customWidth="1"/>
    <col min="3" max="3" width="53.7109375" style="516" customWidth="1"/>
    <col min="4" max="4" width="12.85546875" style="516" customWidth="1"/>
    <col min="5" max="5" width="10.7109375" style="516" customWidth="1"/>
    <col min="6" max="6" width="20.28515625" style="516" customWidth="1"/>
    <col min="7" max="7" width="13.42578125" style="516" customWidth="1"/>
    <col min="8" max="9" width="10.7109375" style="516" customWidth="1"/>
    <col min="10" max="10" width="11.7109375" style="516" customWidth="1"/>
    <col min="11" max="15" width="10.7109375" style="516" customWidth="1"/>
    <col min="16" max="16" width="37.85546875" style="516" customWidth="1"/>
    <col min="17" max="17" width="2" style="516" customWidth="1"/>
    <col min="18" max="16384" width="14.42578125" style="516"/>
  </cols>
  <sheetData>
    <row r="1" spans="1:17" ht="15.75" thickBot="1">
      <c r="C1" s="601" t="s">
        <v>166</v>
      </c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3"/>
    </row>
    <row r="2" spans="1:17">
      <c r="F2" s="517"/>
      <c r="G2" s="517"/>
      <c r="J2" s="517"/>
    </row>
    <row r="3" spans="1:17">
      <c r="B3" s="602" t="s">
        <v>626</v>
      </c>
      <c r="C3" s="570"/>
      <c r="D3" s="589"/>
      <c r="E3" s="590"/>
      <c r="F3" s="603"/>
      <c r="G3" s="590"/>
      <c r="H3" s="589"/>
      <c r="I3" s="590"/>
      <c r="J3" s="589"/>
      <c r="K3" s="590"/>
      <c r="L3" s="589"/>
      <c r="M3" s="590"/>
      <c r="N3" s="589"/>
      <c r="O3" s="590"/>
      <c r="P3" s="589"/>
      <c r="Q3" s="590"/>
    </row>
    <row r="4" spans="1:17" ht="15.75" thickBot="1">
      <c r="B4" s="41"/>
      <c r="C4" s="41"/>
      <c r="D4" s="41"/>
      <c r="E4" s="41"/>
      <c r="F4" s="42"/>
      <c r="G4" s="42"/>
      <c r="H4" s="41"/>
      <c r="I4" s="41"/>
      <c r="J4" s="42"/>
      <c r="K4" s="41"/>
      <c r="L4" s="41"/>
      <c r="M4" s="41"/>
      <c r="N4" s="41"/>
      <c r="O4" s="41"/>
      <c r="P4" s="41"/>
      <c r="Q4" s="41"/>
    </row>
    <row r="5" spans="1:17" ht="15.75" thickBot="1">
      <c r="B5" s="6" t="s">
        <v>2</v>
      </c>
      <c r="C5" s="7" t="s">
        <v>3</v>
      </c>
      <c r="D5" s="8" t="s">
        <v>4</v>
      </c>
      <c r="E5" s="43"/>
      <c r="F5" s="8" t="s">
        <v>167</v>
      </c>
      <c r="G5" s="44" t="s">
        <v>168</v>
      </c>
      <c r="H5" s="45" t="s">
        <v>169</v>
      </c>
      <c r="I5" s="8" t="s">
        <v>170</v>
      </c>
      <c r="J5" s="44" t="s">
        <v>171</v>
      </c>
      <c r="K5" s="8" t="s">
        <v>172</v>
      </c>
      <c r="L5" s="6" t="s">
        <v>173</v>
      </c>
      <c r="M5" s="46" t="s">
        <v>174</v>
      </c>
      <c r="N5" s="47" t="s">
        <v>175</v>
      </c>
      <c r="O5" s="6" t="s">
        <v>176</v>
      </c>
      <c r="P5" s="8" t="s">
        <v>177</v>
      </c>
    </row>
    <row r="6" spans="1:17" ht="15.75" thickBot="1">
      <c r="B6" s="589"/>
      <c r="C6" s="590"/>
      <c r="D6" s="590"/>
      <c r="E6" s="3"/>
      <c r="F6" s="591" t="s">
        <v>178</v>
      </c>
      <c r="G6" s="590"/>
      <c r="H6" s="590"/>
      <c r="I6" s="590"/>
      <c r="J6" s="590"/>
      <c r="K6" s="590"/>
      <c r="L6" s="590"/>
      <c r="M6" s="590"/>
      <c r="N6" s="590"/>
      <c r="O6" s="590"/>
      <c r="P6" s="590"/>
    </row>
    <row r="7" spans="1:17" ht="15.75" thickBot="1">
      <c r="B7" s="452"/>
      <c r="C7" s="592" t="s">
        <v>13</v>
      </c>
      <c r="D7" s="593"/>
      <c r="E7" s="3"/>
      <c r="F7" s="594"/>
      <c r="G7" s="582"/>
      <c r="H7" s="582"/>
      <c r="I7" s="582"/>
      <c r="J7" s="582"/>
      <c r="K7" s="582"/>
      <c r="L7" s="582"/>
      <c r="M7" s="582"/>
      <c r="N7" s="582"/>
      <c r="O7" s="582"/>
      <c r="P7" s="583"/>
    </row>
    <row r="8" spans="1:17" ht="15.75" thickBot="1">
      <c r="B8" s="48">
        <v>321200019</v>
      </c>
      <c r="C8" s="14" t="s">
        <v>14</v>
      </c>
      <c r="D8" s="49" t="s">
        <v>15</v>
      </c>
      <c r="E8" s="3"/>
      <c r="F8" s="50">
        <f>+(G8+J8)/2</f>
        <v>928.57</v>
      </c>
      <c r="G8" s="51">
        <v>612.24</v>
      </c>
      <c r="H8" s="52" t="s">
        <v>179</v>
      </c>
      <c r="I8" s="53" t="s">
        <v>180</v>
      </c>
      <c r="J8" s="54">
        <v>1244.9000000000001</v>
      </c>
      <c r="K8" s="55" t="s">
        <v>181</v>
      </c>
      <c r="L8" s="53" t="s">
        <v>182</v>
      </c>
      <c r="M8" s="56"/>
      <c r="N8" s="56"/>
      <c r="O8" s="57"/>
      <c r="P8" s="58"/>
    </row>
    <row r="9" spans="1:17" ht="15.75" thickBot="1">
      <c r="A9" s="516" t="s">
        <v>183</v>
      </c>
      <c r="B9" s="595">
        <v>320700022</v>
      </c>
      <c r="C9" s="26" t="s">
        <v>18</v>
      </c>
      <c r="D9" s="59" t="s">
        <v>15</v>
      </c>
      <c r="E9" s="3"/>
      <c r="F9" s="60">
        <f>(G9)</f>
        <v>7.5510000000000002</v>
      </c>
      <c r="G9" s="61">
        <f>(755.1/100)</f>
        <v>7.5510000000000002</v>
      </c>
      <c r="H9" s="62" t="s">
        <v>184</v>
      </c>
      <c r="I9" s="63" t="s">
        <v>185</v>
      </c>
      <c r="J9" s="64"/>
      <c r="K9" s="64"/>
      <c r="L9" s="64"/>
      <c r="M9" s="64"/>
      <c r="N9" s="64"/>
      <c r="O9" s="65"/>
      <c r="P9" s="66"/>
    </row>
    <row r="10" spans="1:17" ht="15.75" thickBot="1">
      <c r="A10" s="516" t="s">
        <v>186</v>
      </c>
      <c r="B10" s="596"/>
      <c r="C10" s="26" t="s">
        <v>19</v>
      </c>
      <c r="D10" s="59" t="s">
        <v>15</v>
      </c>
      <c r="E10" s="3"/>
      <c r="F10" s="524">
        <f>+(G10+J10)/2</f>
        <v>40.699800000000003</v>
      </c>
      <c r="G10" s="525">
        <f>897.96/100</f>
        <v>8.9795999999999996</v>
      </c>
      <c r="H10" s="526" t="s">
        <v>607</v>
      </c>
      <c r="I10" s="548" t="s">
        <v>606</v>
      </c>
      <c r="J10" s="69">
        <f>7242/100</f>
        <v>72.42</v>
      </c>
      <c r="K10" s="544"/>
      <c r="L10" s="552" t="s">
        <v>608</v>
      </c>
      <c r="M10" s="522"/>
      <c r="N10" s="522"/>
      <c r="O10" s="522"/>
      <c r="P10" s="523"/>
    </row>
    <row r="11" spans="1:17" ht="15.75" thickBot="1">
      <c r="A11" s="516" t="s">
        <v>188</v>
      </c>
      <c r="B11" s="596"/>
      <c r="C11" s="26" t="s">
        <v>20</v>
      </c>
      <c r="D11" s="59" t="s">
        <v>15</v>
      </c>
      <c r="E11" s="3"/>
      <c r="F11" s="68">
        <f>(G11+J11)/2</f>
        <v>7.2959499999999995</v>
      </c>
      <c r="G11" s="69">
        <f>(789.8/100)</f>
        <v>7.8979999999999997</v>
      </c>
      <c r="H11" s="62" t="s">
        <v>189</v>
      </c>
      <c r="I11" s="549" t="s">
        <v>190</v>
      </c>
      <c r="J11" s="69">
        <f>(669.39/100)</f>
        <v>6.6939000000000002</v>
      </c>
      <c r="K11" s="62" t="s">
        <v>191</v>
      </c>
      <c r="L11" s="70" t="s">
        <v>192</v>
      </c>
      <c r="M11" s="71"/>
      <c r="N11" s="72"/>
      <c r="O11" s="407"/>
      <c r="P11" s="73" t="s">
        <v>193</v>
      </c>
    </row>
    <row r="12" spans="1:17" ht="15.75" thickBot="1">
      <c r="A12" s="516" t="s">
        <v>194</v>
      </c>
      <c r="B12" s="596"/>
      <c r="C12" s="74" t="s">
        <v>21</v>
      </c>
      <c r="D12" s="75" t="s">
        <v>15</v>
      </c>
      <c r="E12" s="76"/>
      <c r="F12" s="88">
        <f>+G12</f>
        <v>72.52</v>
      </c>
      <c r="G12" s="528">
        <f>7252/100</f>
        <v>72.52</v>
      </c>
      <c r="H12" s="530" t="s">
        <v>611</v>
      </c>
      <c r="I12" s="550" t="s">
        <v>610</v>
      </c>
      <c r="J12" s="543"/>
      <c r="K12" s="544"/>
      <c r="L12" s="544"/>
      <c r="M12" s="544"/>
      <c r="N12" s="522"/>
      <c r="O12" s="522"/>
      <c r="P12" s="527"/>
    </row>
    <row r="13" spans="1:17" ht="15.75" thickBot="1">
      <c r="A13" s="516" t="s">
        <v>195</v>
      </c>
      <c r="B13" s="596"/>
      <c r="C13" s="26" t="s">
        <v>22</v>
      </c>
      <c r="D13" s="59" t="s">
        <v>15</v>
      </c>
      <c r="E13" s="3"/>
      <c r="F13" s="68">
        <f>(G13+J13)/2</f>
        <v>6.8141999999999996</v>
      </c>
      <c r="G13" s="69">
        <f>(591.84/100)</f>
        <v>5.9184000000000001</v>
      </c>
      <c r="H13" s="62" t="s">
        <v>189</v>
      </c>
      <c r="I13" s="63" t="s">
        <v>196</v>
      </c>
      <c r="J13" s="69">
        <f>771/100</f>
        <v>7.71</v>
      </c>
      <c r="K13" s="62" t="s">
        <v>191</v>
      </c>
      <c r="L13" s="558" t="s">
        <v>198</v>
      </c>
      <c r="M13" s="77"/>
    </row>
    <row r="14" spans="1:17" ht="15.75" thickBot="1">
      <c r="A14" s="516" t="s">
        <v>199</v>
      </c>
      <c r="B14" s="597"/>
      <c r="C14" s="26" t="s">
        <v>23</v>
      </c>
      <c r="D14" s="59" t="s">
        <v>15</v>
      </c>
      <c r="E14" s="3"/>
      <c r="F14" s="88">
        <f>+(G14+J14)/2</f>
        <v>12.694900000000001</v>
      </c>
      <c r="G14" s="528">
        <f>1448.98/100</f>
        <v>14.489800000000001</v>
      </c>
      <c r="H14" s="526" t="s">
        <v>189</v>
      </c>
      <c r="I14" s="529" t="s">
        <v>609</v>
      </c>
      <c r="J14" s="531">
        <f>1090/100</f>
        <v>10.9</v>
      </c>
      <c r="K14" s="526" t="s">
        <v>425</v>
      </c>
      <c r="L14" s="548" t="s">
        <v>612</v>
      </c>
      <c r="M14" s="522"/>
      <c r="N14" s="522"/>
      <c r="O14" s="522"/>
      <c r="P14" s="527"/>
    </row>
    <row r="15" spans="1:17" ht="15.75" thickBot="1">
      <c r="B15" s="453"/>
      <c r="C15" s="604" t="s">
        <v>24</v>
      </c>
      <c r="D15" s="605"/>
      <c r="E15" s="3"/>
      <c r="F15" s="454"/>
      <c r="G15" s="647"/>
      <c r="H15" s="606"/>
      <c r="I15" s="606"/>
      <c r="J15" s="606"/>
      <c r="K15" s="606"/>
      <c r="L15" s="606"/>
      <c r="M15" s="606"/>
      <c r="N15" s="606"/>
      <c r="O15" s="606"/>
      <c r="P15" s="606"/>
    </row>
    <row r="16" spans="1:17" ht="15.75" thickBot="1">
      <c r="A16" s="516" t="s">
        <v>200</v>
      </c>
      <c r="B16" s="607">
        <v>31290027</v>
      </c>
      <c r="C16" s="26" t="s">
        <v>25</v>
      </c>
      <c r="D16" s="79" t="s">
        <v>26</v>
      </c>
      <c r="E16" s="3"/>
      <c r="F16" s="50">
        <f t="shared" ref="F16:F17" si="0">+(G16+J16)/2</f>
        <v>1246.9616666666666</v>
      </c>
      <c r="G16" s="80">
        <f>795.92*2</f>
        <v>1591.84</v>
      </c>
      <c r="H16" s="81" t="s">
        <v>201</v>
      </c>
      <c r="I16" s="82" t="s">
        <v>202</v>
      </c>
      <c r="J16" s="83">
        <f>2706.25/3</f>
        <v>902.08333333333337</v>
      </c>
      <c r="K16" s="416" t="s">
        <v>583</v>
      </c>
      <c r="L16" s="481" t="s">
        <v>582</v>
      </c>
      <c r="M16" s="410"/>
      <c r="N16" s="85"/>
      <c r="O16" s="86"/>
      <c r="P16" s="87" t="s">
        <v>203</v>
      </c>
    </row>
    <row r="17" spans="1:16" ht="15.75" thickBot="1">
      <c r="A17" s="516" t="s">
        <v>204</v>
      </c>
      <c r="B17" s="597"/>
      <c r="C17" s="26" t="s">
        <v>27</v>
      </c>
      <c r="D17" s="79" t="s">
        <v>28</v>
      </c>
      <c r="E17" s="3"/>
      <c r="F17" s="88">
        <f t="shared" si="0"/>
        <v>1009.6949999999999</v>
      </c>
      <c r="G17" s="89">
        <v>969.39</v>
      </c>
      <c r="H17" s="90" t="s">
        <v>201</v>
      </c>
      <c r="I17" s="91" t="s">
        <v>205</v>
      </c>
      <c r="J17" s="92">
        <f>3150/3</f>
        <v>1050</v>
      </c>
      <c r="K17" s="483" t="s">
        <v>583</v>
      </c>
      <c r="L17" s="482" t="s">
        <v>584</v>
      </c>
      <c r="M17" s="93"/>
      <c r="N17" s="93"/>
      <c r="O17" s="94"/>
      <c r="P17" s="95"/>
    </row>
    <row r="18" spans="1:16" ht="15.75" thickBot="1">
      <c r="B18" s="453"/>
      <c r="C18" s="604" t="s">
        <v>29</v>
      </c>
      <c r="D18" s="605"/>
      <c r="E18" s="3"/>
      <c r="F18" s="455"/>
      <c r="G18" s="606"/>
      <c r="H18" s="606"/>
      <c r="I18" s="606"/>
      <c r="J18" s="606"/>
      <c r="K18" s="606"/>
      <c r="L18" s="606"/>
      <c r="M18" s="606"/>
      <c r="N18" s="606"/>
      <c r="O18" s="606"/>
      <c r="P18" s="606"/>
    </row>
    <row r="19" spans="1:16" ht="15.75" thickBot="1">
      <c r="A19" s="516" t="s">
        <v>206</v>
      </c>
      <c r="B19" s="613">
        <v>32020001</v>
      </c>
      <c r="C19" s="14" t="s">
        <v>30</v>
      </c>
      <c r="D19" s="49" t="s">
        <v>31</v>
      </c>
      <c r="E19" s="3"/>
      <c r="F19" s="88">
        <f>(G19+J19+M19)/3</f>
        <v>1547.1156666666666</v>
      </c>
      <c r="G19" s="469">
        <f>19387.76/10</f>
        <v>1938.7759999999998</v>
      </c>
      <c r="H19" s="96" t="s">
        <v>207</v>
      </c>
      <c r="I19" s="97" t="s">
        <v>208</v>
      </c>
      <c r="J19" s="83">
        <f>(14285.71/10)</f>
        <v>1428.5709999999999</v>
      </c>
      <c r="K19" s="81" t="s">
        <v>209</v>
      </c>
      <c r="L19" s="98" t="s">
        <v>210</v>
      </c>
      <c r="M19" s="84">
        <v>1274</v>
      </c>
      <c r="N19" s="99" t="s">
        <v>207</v>
      </c>
      <c r="O19" s="97" t="s">
        <v>211</v>
      </c>
      <c r="P19" s="100" t="s">
        <v>212</v>
      </c>
    </row>
    <row r="20" spans="1:16" ht="15.75" thickBot="1">
      <c r="A20" s="516" t="s">
        <v>213</v>
      </c>
      <c r="B20" s="597"/>
      <c r="C20" s="19" t="s">
        <v>32</v>
      </c>
      <c r="D20" s="101" t="s">
        <v>33</v>
      </c>
      <c r="E20" s="3"/>
      <c r="F20" s="88">
        <f>+(G20+J20)/2</f>
        <v>298.5</v>
      </c>
      <c r="G20" s="89">
        <f>(8925/25)</f>
        <v>357</v>
      </c>
      <c r="H20" s="90" t="s">
        <v>214</v>
      </c>
      <c r="I20" s="102" t="s">
        <v>215</v>
      </c>
      <c r="J20" s="83">
        <v>240</v>
      </c>
      <c r="K20" s="553" t="s">
        <v>216</v>
      </c>
      <c r="L20" s="554" t="s">
        <v>217</v>
      </c>
      <c r="M20" s="105"/>
      <c r="N20" s="105"/>
      <c r="O20" s="106"/>
      <c r="P20" s="107" t="s">
        <v>218</v>
      </c>
    </row>
    <row r="21" spans="1:16" ht="15.75" thickBot="1">
      <c r="B21" s="453"/>
      <c r="C21" s="604" t="s">
        <v>34</v>
      </c>
      <c r="D21" s="605"/>
      <c r="E21" s="3"/>
      <c r="F21" s="455"/>
      <c r="G21" s="606"/>
      <c r="H21" s="606"/>
      <c r="I21" s="606"/>
      <c r="J21" s="606"/>
      <c r="K21" s="606"/>
      <c r="L21" s="606"/>
      <c r="M21" s="606"/>
      <c r="N21" s="606"/>
      <c r="O21" s="606"/>
      <c r="P21" s="606"/>
    </row>
    <row r="22" spans="1:16" ht="15.75" thickBot="1">
      <c r="A22" s="516" t="s">
        <v>219</v>
      </c>
      <c r="B22" s="607">
        <v>321000014</v>
      </c>
      <c r="C22" s="26" t="s">
        <v>35</v>
      </c>
      <c r="D22" s="79" t="s">
        <v>17</v>
      </c>
      <c r="E22" s="3"/>
      <c r="F22" s="108">
        <f>G22</f>
        <v>1020</v>
      </c>
      <c r="G22" s="54">
        <f>(10200/10)</f>
        <v>1020</v>
      </c>
      <c r="H22" s="110" t="s">
        <v>220</v>
      </c>
      <c r="I22" s="608" t="s">
        <v>222</v>
      </c>
      <c r="J22" s="609"/>
      <c r="K22" s="609"/>
      <c r="L22" s="609"/>
      <c r="M22" s="610"/>
    </row>
    <row r="23" spans="1:16" ht="15.75" thickBot="1">
      <c r="A23" s="516" t="s">
        <v>223</v>
      </c>
      <c r="B23" s="597"/>
      <c r="C23" s="26" t="s">
        <v>36</v>
      </c>
      <c r="D23" s="79" t="s">
        <v>15</v>
      </c>
      <c r="E23" s="3"/>
      <c r="F23" s="88">
        <f t="shared" ref="F23:F24" si="1">(G23+J23+M23)/3</f>
        <v>2030.4080000000001</v>
      </c>
      <c r="G23" s="111">
        <v>1500</v>
      </c>
      <c r="H23" s="112" t="s">
        <v>224</v>
      </c>
      <c r="I23" s="113" t="s">
        <v>225</v>
      </c>
      <c r="J23" s="114">
        <f>(15306.12/5)</f>
        <v>3061.2240000000002</v>
      </c>
      <c r="K23" s="112" t="s">
        <v>226</v>
      </c>
      <c r="L23" s="115" t="s">
        <v>227</v>
      </c>
      <c r="M23" s="116">
        <f>(15300/10)</f>
        <v>1530</v>
      </c>
      <c r="N23" s="117" t="s">
        <v>224</v>
      </c>
      <c r="O23" s="611" t="s">
        <v>228</v>
      </c>
      <c r="P23" s="612"/>
    </row>
    <row r="24" spans="1:16" ht="15.75" thickBot="1">
      <c r="A24" s="516" t="s">
        <v>229</v>
      </c>
      <c r="B24" s="607">
        <v>32020007</v>
      </c>
      <c r="C24" s="26" t="s">
        <v>37</v>
      </c>
      <c r="D24" s="79" t="s">
        <v>17</v>
      </c>
      <c r="E24" s="3"/>
      <c r="F24" s="88">
        <f t="shared" si="1"/>
        <v>118.36503333333333</v>
      </c>
      <c r="G24" s="89">
        <f>(15306.12/200)</f>
        <v>76.530600000000007</v>
      </c>
      <c r="H24" s="90" t="s">
        <v>209</v>
      </c>
      <c r="I24" s="113" t="s">
        <v>230</v>
      </c>
      <c r="J24" s="114">
        <f>(798/10)</f>
        <v>79.8</v>
      </c>
      <c r="K24" s="112" t="s">
        <v>231</v>
      </c>
      <c r="L24" s="118" t="s">
        <v>232</v>
      </c>
      <c r="M24" s="119">
        <f>(3975.29/20)</f>
        <v>198.7645</v>
      </c>
      <c r="N24" s="120" t="s">
        <v>233</v>
      </c>
      <c r="O24" s="518" t="s">
        <v>234</v>
      </c>
      <c r="P24" s="107" t="s">
        <v>235</v>
      </c>
    </row>
    <row r="25" spans="1:16" ht="15.75" thickBot="1">
      <c r="A25" s="516" t="s">
        <v>236</v>
      </c>
      <c r="B25" s="597"/>
      <c r="C25" s="14" t="s">
        <v>38</v>
      </c>
      <c r="D25" s="49" t="s">
        <v>15</v>
      </c>
      <c r="E25" s="3"/>
      <c r="F25" s="88">
        <f>G25</f>
        <v>387.75510000000003</v>
      </c>
      <c r="G25" s="89">
        <f>(38775.51/100)</f>
        <v>387.75510000000003</v>
      </c>
      <c r="H25" s="121" t="s">
        <v>237</v>
      </c>
      <c r="I25" s="122" t="s">
        <v>238</v>
      </c>
      <c r="J25" s="125"/>
      <c r="K25" s="125"/>
      <c r="L25" s="126"/>
      <c r="M25" s="127"/>
    </row>
    <row r="26" spans="1:16" ht="15.75" thickBot="1">
      <c r="B26" s="453"/>
      <c r="C26" s="604" t="s">
        <v>39</v>
      </c>
      <c r="D26" s="605"/>
      <c r="E26" s="3"/>
      <c r="F26" s="455"/>
      <c r="G26" s="606"/>
      <c r="H26" s="606"/>
      <c r="I26" s="606"/>
      <c r="J26" s="606"/>
      <c r="K26" s="606"/>
      <c r="L26" s="606"/>
      <c r="M26" s="606"/>
      <c r="N26" s="606"/>
      <c r="O26" s="606"/>
      <c r="P26" s="606"/>
    </row>
    <row r="27" spans="1:16" ht="15.75" thickBot="1">
      <c r="A27" s="516" t="s">
        <v>241</v>
      </c>
      <c r="B27" s="607">
        <v>32090001</v>
      </c>
      <c r="C27" s="559" t="s">
        <v>40</v>
      </c>
      <c r="D27" s="79" t="s">
        <v>41</v>
      </c>
      <c r="E27" s="3"/>
      <c r="F27" s="128">
        <f t="shared" ref="F27:F28" si="2">(G27+J27+M27)/3</f>
        <v>761</v>
      </c>
      <c r="G27" s="80">
        <f>5520/6</f>
        <v>920</v>
      </c>
      <c r="H27" s="416" t="s">
        <v>242</v>
      </c>
      <c r="I27" s="481" t="s">
        <v>585</v>
      </c>
      <c r="J27" s="83">
        <v>613</v>
      </c>
      <c r="K27" s="81" t="s">
        <v>242</v>
      </c>
      <c r="L27" s="82" t="s">
        <v>243</v>
      </c>
      <c r="M27" s="84">
        <v>750</v>
      </c>
      <c r="N27" s="129" t="s">
        <v>242</v>
      </c>
      <c r="O27" s="608" t="s">
        <v>244</v>
      </c>
      <c r="P27" s="610"/>
    </row>
    <row r="28" spans="1:16" ht="15.75" thickBot="1">
      <c r="A28" s="516" t="s">
        <v>245</v>
      </c>
      <c r="B28" s="597"/>
      <c r="C28" s="559" t="s">
        <v>42</v>
      </c>
      <c r="D28" s="79" t="s">
        <v>41</v>
      </c>
      <c r="E28" s="3"/>
      <c r="F28" s="130">
        <f t="shared" si="2"/>
        <v>761</v>
      </c>
      <c r="G28" s="80">
        <f>5520/6</f>
        <v>920</v>
      </c>
      <c r="H28" s="483" t="s">
        <v>242</v>
      </c>
      <c r="I28" s="481" t="s">
        <v>586</v>
      </c>
      <c r="J28" s="92">
        <v>613</v>
      </c>
      <c r="K28" s="90" t="s">
        <v>242</v>
      </c>
      <c r="L28" s="82" t="s">
        <v>243</v>
      </c>
      <c r="M28" s="131">
        <v>750</v>
      </c>
      <c r="N28" s="132" t="s">
        <v>242</v>
      </c>
      <c r="O28" s="616" t="s">
        <v>246</v>
      </c>
      <c r="P28" s="617"/>
    </row>
    <row r="29" spans="1:16" ht="15.75" thickBot="1">
      <c r="B29" s="453"/>
      <c r="C29" s="604" t="s">
        <v>43</v>
      </c>
      <c r="D29" s="605"/>
      <c r="E29" s="3"/>
      <c r="F29" s="455"/>
      <c r="G29" s="606"/>
      <c r="H29" s="606"/>
      <c r="I29" s="606"/>
      <c r="J29" s="606"/>
      <c r="K29" s="606"/>
      <c r="L29" s="606"/>
      <c r="M29" s="606"/>
      <c r="N29" s="606"/>
      <c r="O29" s="606"/>
      <c r="P29" s="606"/>
    </row>
    <row r="30" spans="1:16" ht="15.75" thickBot="1">
      <c r="A30" s="516" t="s">
        <v>247</v>
      </c>
      <c r="B30" s="133">
        <v>32010001</v>
      </c>
      <c r="C30" s="26" t="s">
        <v>44</v>
      </c>
      <c r="D30" s="79" t="s">
        <v>17</v>
      </c>
      <c r="E30" s="3"/>
      <c r="F30" s="68">
        <f>(M30+J30)/2</f>
        <v>13.629999999999999</v>
      </c>
      <c r="G30" s="61">
        <f>2285.79/50</f>
        <v>45.715800000000002</v>
      </c>
      <c r="H30" s="412" t="s">
        <v>579</v>
      </c>
      <c r="I30" s="484" t="s">
        <v>587</v>
      </c>
      <c r="J30" s="69">
        <f>700/50</f>
        <v>14</v>
      </c>
      <c r="K30" s="412" t="s">
        <v>589</v>
      </c>
      <c r="L30" s="485" t="s">
        <v>588</v>
      </c>
      <c r="M30" s="131">
        <f>663/50</f>
        <v>13.26</v>
      </c>
      <c r="N30" s="415" t="s">
        <v>220</v>
      </c>
      <c r="O30" s="510" t="s">
        <v>601</v>
      </c>
      <c r="P30" s="107" t="s">
        <v>248</v>
      </c>
    </row>
    <row r="31" spans="1:16" ht="15.75" thickBot="1">
      <c r="B31" s="453"/>
      <c r="C31" s="604" t="s">
        <v>45</v>
      </c>
      <c r="D31" s="605"/>
      <c r="E31" s="3"/>
      <c r="F31" s="455"/>
      <c r="G31" s="606"/>
      <c r="H31" s="606"/>
      <c r="I31" s="606"/>
      <c r="J31" s="606"/>
      <c r="K31" s="606"/>
      <c r="L31" s="606"/>
      <c r="M31" s="606"/>
      <c r="N31" s="606"/>
      <c r="O31" s="606"/>
      <c r="P31" s="606"/>
    </row>
    <row r="32" spans="1:16" ht="15.75" thickBot="1">
      <c r="A32" s="516" t="s">
        <v>249</v>
      </c>
      <c r="B32" s="133">
        <v>320100049</v>
      </c>
      <c r="C32" s="26" t="s">
        <v>46</v>
      </c>
      <c r="D32" s="79" t="s">
        <v>17</v>
      </c>
      <c r="E32" s="3"/>
      <c r="F32" s="50">
        <f>(G32+J32)/2</f>
        <v>1873.99</v>
      </c>
      <c r="G32" s="137">
        <f>(24489.8/10)</f>
        <v>2448.98</v>
      </c>
      <c r="H32" s="81" t="s">
        <v>250</v>
      </c>
      <c r="I32" s="138" t="s">
        <v>251</v>
      </c>
      <c r="J32" s="83">
        <v>1299</v>
      </c>
      <c r="K32" s="81"/>
      <c r="L32" s="82" t="s">
        <v>252</v>
      </c>
      <c r="M32" s="139"/>
      <c r="N32" s="85"/>
      <c r="O32" s="86"/>
      <c r="P32" s="107" t="s">
        <v>253</v>
      </c>
    </row>
    <row r="33" spans="1:17" ht="15.75" customHeight="1" thickBot="1">
      <c r="A33" s="516" t="s">
        <v>254</v>
      </c>
      <c r="B33" s="133">
        <v>320100053</v>
      </c>
      <c r="C33" s="30" t="s">
        <v>47</v>
      </c>
      <c r="D33" s="79" t="s">
        <v>48</v>
      </c>
      <c r="E33" s="3"/>
      <c r="F33" s="108">
        <f>+(G33+J33)/2</f>
        <v>44.375709999999998</v>
      </c>
      <c r="G33" s="111">
        <f>(17485.71/500)</f>
        <v>34.971419999999995</v>
      </c>
      <c r="H33" s="112" t="s">
        <v>255</v>
      </c>
      <c r="I33" s="113" t="s">
        <v>256</v>
      </c>
      <c r="J33" s="114">
        <f>2689/50</f>
        <v>53.78</v>
      </c>
      <c r="K33" s="112"/>
      <c r="L33" s="113" t="s">
        <v>257</v>
      </c>
      <c r="M33" s="74"/>
      <c r="N33" s="74"/>
      <c r="O33" s="140"/>
      <c r="P33" s="107" t="s">
        <v>258</v>
      </c>
    </row>
    <row r="34" spans="1:17" ht="15.75" customHeight="1" thickBot="1">
      <c r="A34" s="516" t="s">
        <v>259</v>
      </c>
      <c r="B34" s="133">
        <v>320100073</v>
      </c>
      <c r="C34" s="26" t="s">
        <v>49</v>
      </c>
      <c r="D34" s="79" t="s">
        <v>17</v>
      </c>
      <c r="E34" s="3"/>
      <c r="F34" s="60">
        <f>(G34+J34)/2</f>
        <v>23.560205</v>
      </c>
      <c r="G34" s="89">
        <f>(21020.41/1000)</f>
        <v>21.020409999999998</v>
      </c>
      <c r="H34" s="90" t="s">
        <v>250</v>
      </c>
      <c r="I34" s="141" t="s">
        <v>260</v>
      </c>
      <c r="J34" s="92">
        <f>(2610/100)</f>
        <v>26.1</v>
      </c>
      <c r="K34" s="90" t="s">
        <v>261</v>
      </c>
      <c r="L34" s="91" t="s">
        <v>262</v>
      </c>
      <c r="M34" s="417"/>
      <c r="N34" s="93"/>
      <c r="O34" s="94"/>
      <c r="P34" s="107" t="s">
        <v>263</v>
      </c>
    </row>
    <row r="35" spans="1:17" ht="15.75" customHeight="1" thickBot="1">
      <c r="B35" s="453"/>
      <c r="C35" s="604"/>
      <c r="D35" s="605"/>
      <c r="E35" s="3"/>
      <c r="F35" s="455"/>
      <c r="G35" s="606"/>
      <c r="H35" s="606"/>
      <c r="I35" s="606"/>
      <c r="J35" s="606"/>
      <c r="K35" s="606"/>
      <c r="L35" s="606"/>
      <c r="M35" s="606"/>
      <c r="N35" s="606"/>
      <c r="O35" s="606"/>
      <c r="P35" s="606"/>
    </row>
    <row r="36" spans="1:17" ht="15.75" customHeight="1" thickBot="1">
      <c r="A36" s="516" t="s">
        <v>264</v>
      </c>
      <c r="B36" s="607">
        <v>32130001</v>
      </c>
      <c r="C36" s="26" t="s">
        <v>50</v>
      </c>
      <c r="D36" s="79" t="s">
        <v>17</v>
      </c>
      <c r="F36" s="68">
        <f>(G36+J36+M36)/3</f>
        <v>731.88211111111104</v>
      </c>
      <c r="G36" s="80">
        <f>(33469.39/30)</f>
        <v>1115.6463333333334</v>
      </c>
      <c r="H36" s="81" t="s">
        <v>265</v>
      </c>
      <c r="I36" s="82" t="s">
        <v>266</v>
      </c>
      <c r="J36" s="83">
        <v>110</v>
      </c>
      <c r="K36" s="81"/>
      <c r="L36" s="109" t="s">
        <v>267</v>
      </c>
      <c r="M36" s="143">
        <f>(29100/30)</f>
        <v>970</v>
      </c>
      <c r="N36" s="110" t="s">
        <v>224</v>
      </c>
      <c r="O36" s="614" t="s">
        <v>268</v>
      </c>
      <c r="P36" s="615"/>
    </row>
    <row r="37" spans="1:17" ht="15.75" customHeight="1" thickBot="1">
      <c r="B37" s="597"/>
      <c r="C37" s="418" t="s">
        <v>51</v>
      </c>
      <c r="D37" s="101" t="s">
        <v>17</v>
      </c>
      <c r="E37" s="3"/>
      <c r="F37" s="78"/>
      <c r="G37" s="600" t="s">
        <v>269</v>
      </c>
      <c r="H37" s="582"/>
      <c r="I37" s="582"/>
      <c r="J37" s="582"/>
      <c r="K37" s="582"/>
      <c r="L37" s="582"/>
      <c r="M37" s="582"/>
      <c r="N37" s="582"/>
      <c r="O37" s="582"/>
      <c r="P37" s="583"/>
    </row>
    <row r="38" spans="1:17" ht="15.75" customHeight="1" thickBot="1">
      <c r="A38" s="516" t="s">
        <v>270</v>
      </c>
      <c r="B38" s="133">
        <v>322300022</v>
      </c>
      <c r="C38" s="26" t="s">
        <v>52</v>
      </c>
      <c r="D38" s="79" t="s">
        <v>17</v>
      </c>
      <c r="E38" s="3"/>
      <c r="F38" s="60">
        <f>(G38+J38)/2</f>
        <v>693.33333333333337</v>
      </c>
      <c r="G38" s="89">
        <v>1220</v>
      </c>
      <c r="H38" s="90" t="s">
        <v>271</v>
      </c>
      <c r="I38" s="91" t="s">
        <v>272</v>
      </c>
      <c r="J38" s="92">
        <f>40000/240</f>
        <v>166.66666666666666</v>
      </c>
      <c r="K38" s="483" t="s">
        <v>591</v>
      </c>
      <c r="L38" s="618" t="s">
        <v>590</v>
      </c>
      <c r="M38" s="619"/>
      <c r="N38" s="619"/>
      <c r="O38" s="619"/>
      <c r="P38" s="620"/>
    </row>
    <row r="39" spans="1:17" ht="15.75" customHeight="1" thickBot="1">
      <c r="B39" s="144">
        <v>321500181</v>
      </c>
      <c r="C39" s="646" t="s">
        <v>53</v>
      </c>
      <c r="D39" s="622"/>
      <c r="E39" s="3"/>
      <c r="F39" s="459"/>
      <c r="G39" s="600" t="s">
        <v>273</v>
      </c>
      <c r="H39" s="582"/>
      <c r="I39" s="582"/>
      <c r="J39" s="582"/>
      <c r="K39" s="582"/>
      <c r="L39" s="582"/>
      <c r="M39" s="582"/>
      <c r="N39" s="582"/>
      <c r="O39" s="582"/>
      <c r="P39" s="583"/>
    </row>
    <row r="40" spans="1:17" ht="15.75" customHeight="1" thickBot="1">
      <c r="B40" s="453"/>
      <c r="C40" s="604" t="s">
        <v>54</v>
      </c>
      <c r="D40" s="605"/>
      <c r="E40" s="3"/>
      <c r="F40" s="455"/>
      <c r="G40" s="606"/>
      <c r="H40" s="606"/>
      <c r="I40" s="606"/>
      <c r="J40" s="606"/>
      <c r="K40" s="606"/>
      <c r="L40" s="606"/>
      <c r="M40" s="606"/>
      <c r="N40" s="606"/>
      <c r="O40" s="606"/>
      <c r="P40" s="606"/>
    </row>
    <row r="41" spans="1:17" ht="15.75" customHeight="1" thickBot="1">
      <c r="A41" s="516" t="s">
        <v>274</v>
      </c>
      <c r="B41" s="133">
        <v>321220013</v>
      </c>
      <c r="C41" s="26" t="s">
        <v>55</v>
      </c>
      <c r="D41" s="79" t="s">
        <v>15</v>
      </c>
      <c r="E41" s="3"/>
      <c r="F41" s="130">
        <f>(G41)</f>
        <v>159.011</v>
      </c>
      <c r="G41" s="145">
        <f>(3180.22/20)</f>
        <v>159.011</v>
      </c>
      <c r="H41" s="146"/>
      <c r="I41" s="147" t="s">
        <v>275</v>
      </c>
      <c r="J41" s="517"/>
      <c r="K41" s="148"/>
      <c r="L41" s="515"/>
      <c r="M41" s="149"/>
      <c r="N41" s="149"/>
      <c r="O41" s="150"/>
      <c r="P41" s="151" t="s">
        <v>276</v>
      </c>
    </row>
    <row r="42" spans="1:17" ht="15.75" customHeight="1" thickBot="1">
      <c r="B42" s="461"/>
      <c r="C42" s="604"/>
      <c r="D42" s="605"/>
      <c r="E42" s="3"/>
      <c r="F42" s="455"/>
      <c r="G42" s="623"/>
      <c r="H42" s="606"/>
      <c r="I42" s="606"/>
      <c r="J42" s="606"/>
      <c r="K42" s="606"/>
      <c r="L42" s="606"/>
      <c r="M42" s="606"/>
      <c r="N42" s="606"/>
      <c r="O42" s="606"/>
      <c r="P42" s="606"/>
      <c r="Q42" s="606"/>
    </row>
    <row r="43" spans="1:17" ht="15.75" customHeight="1" thickBot="1">
      <c r="A43" s="516" t="s">
        <v>277</v>
      </c>
      <c r="B43" s="133">
        <v>322300061</v>
      </c>
      <c r="C43" s="26" t="s">
        <v>56</v>
      </c>
      <c r="D43" s="79" t="s">
        <v>17</v>
      </c>
      <c r="E43" s="3"/>
      <c r="F43" s="130">
        <f>+(G43+J43+M43)/3</f>
        <v>1057.8233333333335</v>
      </c>
      <c r="G43" s="61">
        <v>873.47</v>
      </c>
      <c r="H43" s="134"/>
      <c r="I43" s="147" t="s">
        <v>278</v>
      </c>
      <c r="J43" s="145">
        <v>1500</v>
      </c>
      <c r="K43" s="148"/>
      <c r="L43" s="147" t="s">
        <v>279</v>
      </c>
      <c r="M43" s="152">
        <v>800</v>
      </c>
      <c r="N43" s="149"/>
      <c r="O43" s="63" t="s">
        <v>280</v>
      </c>
      <c r="P43" s="87" t="s">
        <v>281</v>
      </c>
    </row>
    <row r="44" spans="1:17" ht="15.75" customHeight="1" thickBot="1">
      <c r="B44" s="462"/>
      <c r="C44" s="604"/>
      <c r="D44" s="605"/>
      <c r="E44" s="3"/>
      <c r="F44" s="455"/>
      <c r="G44" s="606"/>
      <c r="H44" s="606"/>
      <c r="I44" s="606"/>
      <c r="J44" s="606"/>
      <c r="K44" s="606"/>
      <c r="L44" s="606"/>
      <c r="M44" s="606"/>
      <c r="N44" s="606"/>
      <c r="O44" s="606"/>
      <c r="P44" s="606"/>
    </row>
    <row r="45" spans="1:17" ht="15.75" customHeight="1" thickBot="1">
      <c r="A45" s="516" t="s">
        <v>282</v>
      </c>
      <c r="B45" s="144">
        <v>320300033</v>
      </c>
      <c r="C45" s="19" t="s">
        <v>57</v>
      </c>
      <c r="D45" s="101" t="s">
        <v>15</v>
      </c>
      <c r="E45" s="3"/>
      <c r="F45" s="68">
        <f>(G45)</f>
        <v>2828.57</v>
      </c>
      <c r="G45" s="61">
        <v>2828.57</v>
      </c>
      <c r="H45" s="153"/>
      <c r="I45" s="511" t="s">
        <v>602</v>
      </c>
      <c r="J45" s="154"/>
      <c r="K45" s="155"/>
      <c r="L45" s="155"/>
      <c r="M45" s="156"/>
      <c r="N45" s="156"/>
      <c r="O45" s="155"/>
      <c r="P45" s="157"/>
    </row>
    <row r="46" spans="1:17" ht="15.75" customHeight="1" thickBot="1">
      <c r="B46" s="462"/>
      <c r="C46" s="604" t="s">
        <v>283</v>
      </c>
      <c r="D46" s="605"/>
      <c r="E46" s="3"/>
      <c r="F46" s="455"/>
      <c r="G46" s="606"/>
      <c r="H46" s="606"/>
      <c r="I46" s="606"/>
      <c r="J46" s="606"/>
      <c r="K46" s="606"/>
      <c r="L46" s="606"/>
      <c r="M46" s="606"/>
      <c r="N46" s="606"/>
      <c r="O46" s="606"/>
      <c r="P46" s="606"/>
    </row>
    <row r="47" spans="1:17" ht="15.75" customHeight="1" thickBot="1">
      <c r="A47" s="516" t="s">
        <v>284</v>
      </c>
      <c r="B47" s="613">
        <v>32070005</v>
      </c>
      <c r="C47" s="22" t="s">
        <v>285</v>
      </c>
      <c r="D47" s="158" t="s">
        <v>15</v>
      </c>
      <c r="F47" s="88">
        <f t="shared" ref="F47:F51" si="3">(G47+J47)/2</f>
        <v>89.775499999999994</v>
      </c>
      <c r="G47" s="80">
        <v>102</v>
      </c>
      <c r="H47" s="55" t="s">
        <v>286</v>
      </c>
      <c r="I47" s="512" t="s">
        <v>603</v>
      </c>
      <c r="J47" s="83">
        <f>(7755.1/100)</f>
        <v>77.551000000000002</v>
      </c>
      <c r="K47" s="159" t="s">
        <v>286</v>
      </c>
      <c r="L47" s="608" t="s">
        <v>287</v>
      </c>
      <c r="M47" s="609"/>
      <c r="N47" s="609"/>
      <c r="O47" s="609"/>
      <c r="P47" s="610"/>
    </row>
    <row r="48" spans="1:17" ht="15.75" customHeight="1" thickBot="1">
      <c r="B48" s="596"/>
      <c r="C48" s="22" t="s">
        <v>288</v>
      </c>
      <c r="D48" s="158" t="s">
        <v>15</v>
      </c>
      <c r="F48" s="88">
        <f t="shared" si="3"/>
        <v>93.275499999999994</v>
      </c>
      <c r="G48" s="111">
        <v>109</v>
      </c>
      <c r="H48" s="55" t="s">
        <v>286</v>
      </c>
      <c r="I48" s="512" t="s">
        <v>603</v>
      </c>
      <c r="J48" s="114">
        <f>(7755.1/100)</f>
        <v>77.551000000000002</v>
      </c>
      <c r="K48" s="159" t="s">
        <v>286</v>
      </c>
      <c r="L48" s="624" t="s">
        <v>289</v>
      </c>
      <c r="M48" s="569"/>
      <c r="N48" s="569"/>
      <c r="O48" s="569"/>
      <c r="P48" s="622"/>
    </row>
    <row r="49" spans="1:16" ht="15.75" thickBot="1">
      <c r="B49" s="596"/>
      <c r="C49" s="22" t="s">
        <v>290</v>
      </c>
      <c r="D49" s="158" t="s">
        <v>15</v>
      </c>
      <c r="F49" s="88">
        <f>G49</f>
        <v>90</v>
      </c>
      <c r="G49" s="111">
        <v>90</v>
      </c>
      <c r="H49" s="55" t="s">
        <v>286</v>
      </c>
      <c r="I49" s="512" t="s">
        <v>603</v>
      </c>
    </row>
    <row r="50" spans="1:16" ht="15.75" thickBot="1">
      <c r="B50" s="596"/>
      <c r="C50" s="22" t="s">
        <v>292</v>
      </c>
      <c r="D50" s="158" t="s">
        <v>15</v>
      </c>
      <c r="F50" s="88">
        <f t="shared" si="3"/>
        <v>528</v>
      </c>
      <c r="G50" s="111">
        <v>86</v>
      </c>
      <c r="H50" s="55" t="s">
        <v>286</v>
      </c>
      <c r="I50" s="512" t="s">
        <v>603</v>
      </c>
      <c r="J50" s="114">
        <f>9700/10</f>
        <v>970</v>
      </c>
      <c r="K50" s="159" t="s">
        <v>286</v>
      </c>
      <c r="L50" s="625" t="s">
        <v>592</v>
      </c>
      <c r="M50" s="626"/>
      <c r="N50" s="626"/>
      <c r="O50" s="626"/>
      <c r="P50" s="627"/>
    </row>
    <row r="51" spans="1:16" ht="15.75" thickBot="1">
      <c r="B51" s="597"/>
      <c r="C51" s="22" t="s">
        <v>293</v>
      </c>
      <c r="D51" s="158" t="s">
        <v>15</v>
      </c>
      <c r="F51" s="88">
        <f t="shared" si="3"/>
        <v>93.857150000000004</v>
      </c>
      <c r="G51" s="111">
        <v>102</v>
      </c>
      <c r="H51" s="55" t="s">
        <v>286</v>
      </c>
      <c r="I51" s="512" t="s">
        <v>603</v>
      </c>
      <c r="J51" s="114">
        <f>(8571.43/100)</f>
        <v>85.714300000000009</v>
      </c>
      <c r="K51" s="159" t="s">
        <v>286</v>
      </c>
      <c r="L51" s="628" t="s">
        <v>294</v>
      </c>
      <c r="M51" s="629"/>
      <c r="N51" s="629"/>
      <c r="O51" s="629"/>
      <c r="P51" s="630"/>
    </row>
    <row r="52" spans="1:16" ht="15.75" thickBot="1">
      <c r="B52" s="462"/>
      <c r="C52" s="604"/>
      <c r="D52" s="605"/>
      <c r="E52" s="3"/>
      <c r="F52" s="454"/>
      <c r="G52" s="606"/>
      <c r="H52" s="606"/>
      <c r="I52" s="606"/>
      <c r="J52" s="606"/>
      <c r="K52" s="606"/>
      <c r="L52" s="606"/>
      <c r="M52" s="606"/>
      <c r="N52" s="606"/>
      <c r="O52" s="606"/>
      <c r="P52" s="606"/>
    </row>
    <row r="53" spans="1:16" ht="15.75" thickBot="1">
      <c r="A53" s="516" t="s">
        <v>295</v>
      </c>
      <c r="B53" s="133">
        <v>321600012</v>
      </c>
      <c r="C53" s="26" t="s">
        <v>59</v>
      </c>
      <c r="D53" s="79" t="s">
        <v>17</v>
      </c>
      <c r="E53" s="3"/>
      <c r="F53" s="68">
        <f>G53</f>
        <v>77.244900000000001</v>
      </c>
      <c r="G53" s="61">
        <f>(7724.49/100)</f>
        <v>77.244900000000001</v>
      </c>
      <c r="H53" s="160" t="s">
        <v>296</v>
      </c>
      <c r="I53" s="70" t="s">
        <v>297</v>
      </c>
      <c r="J53" s="161"/>
      <c r="K53" s="161"/>
      <c r="L53" s="136"/>
      <c r="M53" s="107" t="s">
        <v>300</v>
      </c>
    </row>
    <row r="54" spans="1:16" ht="15.75" thickBot="1">
      <c r="B54" s="462"/>
      <c r="C54" s="604"/>
      <c r="D54" s="605"/>
      <c r="E54" s="3"/>
      <c r="F54" s="455"/>
      <c r="G54" s="606"/>
      <c r="H54" s="606"/>
      <c r="I54" s="606"/>
      <c r="J54" s="606"/>
      <c r="K54" s="606"/>
      <c r="L54" s="606"/>
      <c r="M54" s="606"/>
      <c r="N54" s="606"/>
      <c r="O54" s="606"/>
      <c r="P54" s="606"/>
    </row>
    <row r="55" spans="1:16" ht="15.75" thickBot="1">
      <c r="A55" s="516" t="s">
        <v>301</v>
      </c>
      <c r="B55" s="133">
        <v>320900071</v>
      </c>
      <c r="C55" s="26" t="s">
        <v>60</v>
      </c>
      <c r="D55" s="79" t="s">
        <v>15</v>
      </c>
      <c r="E55" s="3"/>
      <c r="F55" s="130">
        <f>(G55+J55)/2</f>
        <v>1300.5</v>
      </c>
      <c r="G55" s="61">
        <v>1080</v>
      </c>
      <c r="H55" s="134" t="s">
        <v>302</v>
      </c>
      <c r="I55" s="70" t="s">
        <v>303</v>
      </c>
      <c r="J55" s="69">
        <v>1521</v>
      </c>
      <c r="K55" s="134"/>
      <c r="L55" s="70" t="s">
        <v>304</v>
      </c>
      <c r="M55" s="162"/>
      <c r="N55" s="162"/>
      <c r="O55" s="407"/>
      <c r="P55" s="163"/>
    </row>
    <row r="56" spans="1:16" ht="15.75" thickBot="1">
      <c r="B56" s="453"/>
      <c r="C56" s="604" t="s">
        <v>61</v>
      </c>
      <c r="D56" s="605"/>
      <c r="E56" s="3"/>
      <c r="F56" s="455"/>
      <c r="G56" s="606"/>
      <c r="H56" s="606"/>
      <c r="I56" s="606"/>
      <c r="J56" s="606"/>
      <c r="K56" s="606"/>
      <c r="L56" s="606"/>
      <c r="M56" s="606"/>
      <c r="N56" s="606"/>
      <c r="O56" s="606"/>
      <c r="P56" s="606"/>
    </row>
    <row r="57" spans="1:16" ht="15.75" thickBot="1">
      <c r="A57" s="516" t="s">
        <v>305</v>
      </c>
      <c r="B57" s="607">
        <v>32150002</v>
      </c>
      <c r="C57" s="26" t="s">
        <v>62</v>
      </c>
      <c r="D57" s="79" t="s">
        <v>63</v>
      </c>
      <c r="E57" s="3"/>
      <c r="F57" s="164">
        <v>3376</v>
      </c>
      <c r="G57" s="165">
        <v>5306.12</v>
      </c>
      <c r="H57" s="166"/>
      <c r="I57" s="167" t="s">
        <v>306</v>
      </c>
      <c r="J57" s="166"/>
      <c r="K57" s="166"/>
      <c r="L57" s="166"/>
      <c r="M57" s="166"/>
      <c r="N57" s="166"/>
      <c r="O57" s="166"/>
      <c r="P57" s="168"/>
    </row>
    <row r="58" spans="1:16" ht="15.75" thickBot="1">
      <c r="A58" s="516" t="s">
        <v>307</v>
      </c>
      <c r="B58" s="597"/>
      <c r="C58" s="26" t="s">
        <v>64</v>
      </c>
      <c r="D58" s="79" t="s">
        <v>33</v>
      </c>
      <c r="E58" s="3"/>
      <c r="F58" s="164">
        <v>8441.56</v>
      </c>
      <c r="G58" s="169">
        <v>13265.31</v>
      </c>
      <c r="H58" s="170"/>
      <c r="I58" s="171" t="s">
        <v>308</v>
      </c>
      <c r="J58" s="170"/>
      <c r="K58" s="170"/>
      <c r="L58" s="170"/>
      <c r="M58" s="170"/>
      <c r="N58" s="170"/>
      <c r="O58" s="170"/>
      <c r="P58" s="172"/>
    </row>
    <row r="59" spans="1:16" ht="15.75" thickBot="1">
      <c r="B59" s="462"/>
      <c r="C59" s="604"/>
      <c r="D59" s="605"/>
      <c r="E59" s="3"/>
      <c r="F59" s="454"/>
      <c r="G59" s="606"/>
      <c r="H59" s="606"/>
      <c r="I59" s="606"/>
      <c r="J59" s="606"/>
      <c r="K59" s="606"/>
      <c r="L59" s="606"/>
      <c r="M59" s="606"/>
      <c r="N59" s="606"/>
      <c r="O59" s="606"/>
      <c r="P59" s="606"/>
    </row>
    <row r="60" spans="1:16" ht="15.75" thickBot="1">
      <c r="A60" s="516" t="s">
        <v>309</v>
      </c>
      <c r="B60" s="133">
        <v>3212002017</v>
      </c>
      <c r="C60" s="30" t="s">
        <v>65</v>
      </c>
      <c r="D60" s="79" t="s">
        <v>15</v>
      </c>
      <c r="E60" s="3"/>
      <c r="F60" s="130">
        <f>(G60)</f>
        <v>22857.14</v>
      </c>
      <c r="G60" s="61">
        <v>22857.14</v>
      </c>
      <c r="H60" s="134" t="s">
        <v>179</v>
      </c>
      <c r="I60" s="421" t="s">
        <v>310</v>
      </c>
      <c r="J60" s="173"/>
      <c r="K60" s="173"/>
      <c r="L60" s="173"/>
      <c r="M60" s="173"/>
      <c r="N60" s="173"/>
      <c r="O60" s="173"/>
      <c r="P60" s="174"/>
    </row>
    <row r="61" spans="1:16" ht="15.75" thickBot="1">
      <c r="B61" s="453"/>
      <c r="C61" s="604" t="s">
        <v>66</v>
      </c>
      <c r="D61" s="605"/>
      <c r="E61" s="175"/>
      <c r="F61" s="455"/>
      <c r="G61" s="606"/>
      <c r="H61" s="606"/>
      <c r="I61" s="606"/>
      <c r="J61" s="606"/>
      <c r="K61" s="606"/>
      <c r="L61" s="606"/>
      <c r="M61" s="606"/>
      <c r="N61" s="606"/>
      <c r="O61" s="606"/>
      <c r="P61" s="606"/>
    </row>
    <row r="62" spans="1:16" ht="15.75" thickBot="1">
      <c r="A62" s="516" t="s">
        <v>311</v>
      </c>
      <c r="B62" s="48">
        <v>32220001</v>
      </c>
      <c r="C62" s="14" t="s">
        <v>67</v>
      </c>
      <c r="D62" s="49" t="s">
        <v>17</v>
      </c>
      <c r="E62" s="3"/>
      <c r="F62" s="68">
        <f>(G62+J62)/2</f>
        <v>4762.45</v>
      </c>
      <c r="G62" s="61">
        <v>5244.9</v>
      </c>
      <c r="H62" s="134" t="s">
        <v>312</v>
      </c>
      <c r="I62" s="422" t="s">
        <v>313</v>
      </c>
      <c r="J62" s="69">
        <v>4280</v>
      </c>
      <c r="K62" s="134" t="s">
        <v>314</v>
      </c>
      <c r="L62" s="423" t="s">
        <v>315</v>
      </c>
      <c r="M62" s="177"/>
      <c r="N62" s="177"/>
      <c r="O62" s="176"/>
      <c r="P62" s="178"/>
    </row>
    <row r="63" spans="1:16" ht="15.75" thickBot="1">
      <c r="B63" s="462"/>
      <c r="C63" s="604"/>
      <c r="D63" s="605"/>
      <c r="E63" s="3"/>
      <c r="F63" s="455"/>
      <c r="G63" s="606"/>
      <c r="H63" s="606"/>
      <c r="I63" s="606"/>
      <c r="J63" s="606"/>
      <c r="K63" s="606"/>
      <c r="L63" s="606"/>
      <c r="M63" s="606"/>
      <c r="N63" s="606"/>
      <c r="O63" s="606"/>
      <c r="P63" s="606"/>
    </row>
    <row r="64" spans="1:16" ht="15.75" thickBot="1">
      <c r="A64" s="516" t="s">
        <v>316</v>
      </c>
      <c r="B64" s="133">
        <v>321500041</v>
      </c>
      <c r="C64" s="26" t="s">
        <v>68</v>
      </c>
      <c r="D64" s="79" t="s">
        <v>15</v>
      </c>
      <c r="E64" s="3"/>
      <c r="F64" s="130">
        <f>(G64)</f>
        <v>2479.5918000000001</v>
      </c>
      <c r="G64" s="61">
        <f>(247959.18/100)</f>
        <v>2479.5918000000001</v>
      </c>
      <c r="H64" s="134" t="s">
        <v>220</v>
      </c>
      <c r="I64" s="419" t="s">
        <v>317</v>
      </c>
      <c r="J64" s="154"/>
      <c r="K64" s="148"/>
      <c r="L64" s="148"/>
      <c r="M64" s="179"/>
      <c r="N64" s="179"/>
      <c r="O64" s="180"/>
      <c r="P64" s="163"/>
    </row>
    <row r="65" spans="1:16" ht="15.75" thickBot="1">
      <c r="B65" s="462"/>
      <c r="C65" s="604"/>
      <c r="D65" s="605"/>
      <c r="E65" s="3"/>
      <c r="F65" s="455"/>
      <c r="G65" s="606"/>
      <c r="H65" s="606"/>
      <c r="I65" s="606"/>
      <c r="J65" s="606"/>
      <c r="K65" s="606"/>
      <c r="L65" s="606"/>
      <c r="M65" s="606"/>
      <c r="N65" s="606"/>
      <c r="O65" s="606"/>
      <c r="P65" s="606"/>
    </row>
    <row r="66" spans="1:16" ht="15.75" thickBot="1">
      <c r="A66" s="516" t="s">
        <v>318</v>
      </c>
      <c r="B66" s="181"/>
      <c r="C66" s="19" t="s">
        <v>69</v>
      </c>
      <c r="D66" s="182" t="s">
        <v>17</v>
      </c>
      <c r="E66" s="3"/>
      <c r="F66" s="88">
        <f t="shared" ref="F66:F67" si="4">+(G66+J66)/2</f>
        <v>1323.53</v>
      </c>
      <c r="G66" s="80">
        <v>993</v>
      </c>
      <c r="H66" s="52"/>
      <c r="I66" s="424" t="s">
        <v>319</v>
      </c>
      <c r="J66" s="83">
        <v>1654.06</v>
      </c>
      <c r="K66" s="52"/>
      <c r="L66" s="424" t="s">
        <v>320</v>
      </c>
      <c r="M66" s="183"/>
      <c r="N66" s="183"/>
      <c r="O66" s="183"/>
      <c r="P66" s="184"/>
    </row>
    <row r="67" spans="1:16" ht="15.75" thickBot="1">
      <c r="A67" s="516" t="s">
        <v>321</v>
      </c>
      <c r="B67" s="181"/>
      <c r="C67" s="19" t="s">
        <v>70</v>
      </c>
      <c r="D67" s="182" t="s">
        <v>17</v>
      </c>
      <c r="E67" s="3"/>
      <c r="F67" s="88">
        <f t="shared" si="4"/>
        <v>1695</v>
      </c>
      <c r="G67" s="111">
        <v>1340</v>
      </c>
      <c r="H67" s="185"/>
      <c r="I67" s="519" t="s">
        <v>322</v>
      </c>
      <c r="J67" s="114">
        <v>2050</v>
      </c>
      <c r="K67" s="185"/>
      <c r="L67" s="426" t="s">
        <v>323</v>
      </c>
      <c r="M67" s="186"/>
      <c r="N67" s="186"/>
      <c r="O67" s="186"/>
      <c r="P67" s="187"/>
    </row>
    <row r="68" spans="1:16" ht="15.75" thickBot="1">
      <c r="A68" s="516" t="s">
        <v>324</v>
      </c>
      <c r="B68" s="133">
        <v>3201000612</v>
      </c>
      <c r="C68" s="464" t="s">
        <v>580</v>
      </c>
      <c r="D68" s="79" t="s">
        <v>17</v>
      </c>
      <c r="E68" s="3"/>
      <c r="F68" s="88">
        <f>(G68+J68)/2</f>
        <v>560</v>
      </c>
      <c r="G68" s="61">
        <v>490</v>
      </c>
      <c r="H68" s="134"/>
      <c r="I68" s="425" t="s">
        <v>325</v>
      </c>
      <c r="J68" s="92">
        <f>1260/2</f>
        <v>630</v>
      </c>
      <c r="K68" s="188"/>
      <c r="L68" s="427" t="s">
        <v>326</v>
      </c>
      <c r="M68" s="93"/>
      <c r="N68" s="93"/>
      <c r="O68" s="189"/>
      <c r="P68" s="190" t="s">
        <v>327</v>
      </c>
    </row>
    <row r="69" spans="1:16" ht="15.75" thickBot="1">
      <c r="B69" s="462"/>
      <c r="C69" s="604"/>
      <c r="D69" s="605"/>
      <c r="E69" s="3"/>
      <c r="F69" s="455"/>
      <c r="G69" s="606"/>
      <c r="H69" s="606"/>
      <c r="I69" s="606"/>
      <c r="J69" s="606"/>
      <c r="K69" s="606"/>
      <c r="L69" s="606"/>
      <c r="M69" s="606"/>
      <c r="N69" s="606"/>
      <c r="O69" s="606"/>
      <c r="P69" s="606"/>
    </row>
    <row r="70" spans="1:16" ht="15.75" thickBot="1">
      <c r="A70" s="516" t="s">
        <v>328</v>
      </c>
      <c r="B70" s="133">
        <v>321500036</v>
      </c>
      <c r="C70" s="502" t="s">
        <v>72</v>
      </c>
      <c r="D70" s="79" t="s">
        <v>73</v>
      </c>
      <c r="E70" s="3"/>
      <c r="F70" s="130">
        <f>+(G70+J70)/2</f>
        <v>3400.3150000000001</v>
      </c>
      <c r="G70" s="61">
        <v>4081.63</v>
      </c>
      <c r="H70" s="134" t="s">
        <v>329</v>
      </c>
      <c r="I70" s="425" t="s">
        <v>330</v>
      </c>
      <c r="J70" s="114">
        <v>2719</v>
      </c>
      <c r="K70" s="191"/>
      <c r="L70" s="428" t="s">
        <v>598</v>
      </c>
      <c r="M70" s="74"/>
      <c r="N70" s="74"/>
      <c r="O70" s="192"/>
      <c r="P70" s="95"/>
    </row>
    <row r="71" spans="1:16" ht="15.75" thickBot="1">
      <c r="B71" s="453"/>
      <c r="C71" s="604" t="s">
        <v>74</v>
      </c>
      <c r="D71" s="605"/>
      <c r="E71" s="3"/>
      <c r="F71" s="455"/>
      <c r="G71" s="606"/>
      <c r="H71" s="606"/>
      <c r="I71" s="606"/>
      <c r="J71" s="606"/>
      <c r="K71" s="606"/>
      <c r="L71" s="606"/>
      <c r="M71" s="606"/>
      <c r="N71" s="606"/>
      <c r="O71" s="606"/>
      <c r="P71" s="606"/>
    </row>
    <row r="72" spans="1:16" ht="15.75" thickBot="1">
      <c r="A72" s="516" t="s">
        <v>331</v>
      </c>
      <c r="B72" s="133">
        <v>32050001</v>
      </c>
      <c r="C72" s="26" t="s">
        <v>75</v>
      </c>
      <c r="D72" s="79" t="s">
        <v>17</v>
      </c>
      <c r="E72" s="3"/>
      <c r="F72" s="68">
        <f>G72</f>
        <v>57.551000000000002</v>
      </c>
      <c r="G72" s="193">
        <f>(2877.55/50)</f>
        <v>57.551000000000002</v>
      </c>
      <c r="H72" s="159" t="s">
        <v>333</v>
      </c>
      <c r="I72" s="429" t="s">
        <v>334</v>
      </c>
      <c r="J72" s="195"/>
      <c r="K72" s="195"/>
      <c r="L72" s="136"/>
      <c r="M72" s="107" t="s">
        <v>335</v>
      </c>
    </row>
    <row r="73" spans="1:16" ht="15.75" thickBot="1">
      <c r="B73" s="462"/>
      <c r="C73" s="604"/>
      <c r="D73" s="605"/>
      <c r="E73" s="3"/>
      <c r="F73" s="455"/>
      <c r="G73" s="606"/>
      <c r="H73" s="606"/>
      <c r="I73" s="606"/>
      <c r="J73" s="606"/>
      <c r="K73" s="606"/>
      <c r="L73" s="606"/>
      <c r="M73" s="606"/>
      <c r="N73" s="606"/>
      <c r="O73" s="606"/>
      <c r="P73" s="606"/>
    </row>
    <row r="74" spans="1:16" ht="15.75" thickBot="1">
      <c r="A74" s="516" t="s">
        <v>336</v>
      </c>
      <c r="B74" s="48">
        <v>320700121</v>
      </c>
      <c r="C74" s="464" t="s">
        <v>76</v>
      </c>
      <c r="D74" s="196" t="s">
        <v>17</v>
      </c>
      <c r="E74" s="3"/>
      <c r="F74" s="460"/>
      <c r="G74" s="600" t="s">
        <v>337</v>
      </c>
      <c r="H74" s="582"/>
      <c r="I74" s="582"/>
      <c r="J74" s="582"/>
      <c r="K74" s="582"/>
      <c r="L74" s="582"/>
      <c r="M74" s="582"/>
      <c r="N74" s="582"/>
      <c r="O74" s="582"/>
      <c r="P74" s="583"/>
    </row>
    <row r="75" spans="1:16" ht="15.75" thickBot="1">
      <c r="B75" s="453"/>
      <c r="C75" s="604" t="s">
        <v>77</v>
      </c>
      <c r="D75" s="605"/>
      <c r="E75" s="3"/>
      <c r="F75" s="455"/>
      <c r="G75" s="606"/>
      <c r="H75" s="606"/>
      <c r="I75" s="606"/>
      <c r="J75" s="606"/>
      <c r="K75" s="606"/>
      <c r="L75" s="606"/>
      <c r="M75" s="606"/>
      <c r="N75" s="606"/>
      <c r="O75" s="606"/>
      <c r="P75" s="606"/>
    </row>
    <row r="76" spans="1:16" ht="15.75" thickBot="1">
      <c r="B76" s="607">
        <v>32160002</v>
      </c>
      <c r="C76" s="26" t="s">
        <v>78</v>
      </c>
      <c r="D76" s="79" t="s">
        <v>17</v>
      </c>
      <c r="E76" s="3"/>
      <c r="F76" s="50">
        <f t="shared" ref="F76:F78" si="5">(G76+J76+M76)/3</f>
        <v>294.23863333333333</v>
      </c>
      <c r="G76" s="80">
        <f>(21428.57/100)</f>
        <v>214.28569999999999</v>
      </c>
      <c r="H76" s="81" t="s">
        <v>338</v>
      </c>
      <c r="I76" s="424" t="s">
        <v>339</v>
      </c>
      <c r="J76" s="83">
        <f>27551.02/100</f>
        <v>275.5102</v>
      </c>
      <c r="K76" s="81" t="s">
        <v>340</v>
      </c>
      <c r="L76" s="424" t="s">
        <v>341</v>
      </c>
      <c r="M76" s="84">
        <f>(39292/100)</f>
        <v>392.92</v>
      </c>
      <c r="N76" s="129" t="s">
        <v>298</v>
      </c>
      <c r="O76" s="430" t="s">
        <v>342</v>
      </c>
      <c r="P76" s="198" t="s">
        <v>343</v>
      </c>
    </row>
    <row r="77" spans="1:16" ht="15.75" thickBot="1">
      <c r="A77" s="516" t="s">
        <v>344</v>
      </c>
      <c r="B77" s="596"/>
      <c r="C77" s="26" t="s">
        <v>79</v>
      </c>
      <c r="D77" s="79" t="s">
        <v>17</v>
      </c>
      <c r="E77" s="3"/>
      <c r="F77" s="88">
        <f t="shared" si="5"/>
        <v>313.28626666666668</v>
      </c>
      <c r="G77" s="111">
        <f>(26326.53/100)</f>
        <v>263.26529999999997</v>
      </c>
      <c r="H77" s="112" t="s">
        <v>338</v>
      </c>
      <c r="I77" s="426" t="s">
        <v>345</v>
      </c>
      <c r="J77" s="114">
        <f>28367.35/100</f>
        <v>283.67349999999999</v>
      </c>
      <c r="K77" s="112" t="s">
        <v>340</v>
      </c>
      <c r="L77" s="426" t="s">
        <v>346</v>
      </c>
      <c r="M77" s="119">
        <f>(39292/100)</f>
        <v>392.92</v>
      </c>
      <c r="N77" s="120" t="s">
        <v>298</v>
      </c>
      <c r="O77" s="519" t="s">
        <v>342</v>
      </c>
      <c r="P77" s="107" t="s">
        <v>347</v>
      </c>
    </row>
    <row r="78" spans="1:16" ht="15.75" thickBot="1">
      <c r="B78" s="597"/>
      <c r="C78" s="26" t="s">
        <v>80</v>
      </c>
      <c r="D78" s="79" t="s">
        <v>17</v>
      </c>
      <c r="E78" s="3"/>
      <c r="F78" s="60">
        <f t="shared" si="5"/>
        <v>337.77603333333332</v>
      </c>
      <c r="G78" s="89">
        <f>30204.08/100</f>
        <v>302.04079999999999</v>
      </c>
      <c r="H78" s="90" t="s">
        <v>298</v>
      </c>
      <c r="I78" s="411" t="s">
        <v>348</v>
      </c>
      <c r="J78" s="92">
        <f>31836.73/100</f>
        <v>318.3673</v>
      </c>
      <c r="K78" s="90" t="s">
        <v>340</v>
      </c>
      <c r="L78" s="91" t="s">
        <v>349</v>
      </c>
      <c r="M78" s="142">
        <f>(39292/100)</f>
        <v>392.92</v>
      </c>
      <c r="N78" s="199" t="s">
        <v>298</v>
      </c>
      <c r="O78" s="431" t="s">
        <v>342</v>
      </c>
      <c r="P78" s="151" t="s">
        <v>343</v>
      </c>
    </row>
    <row r="79" spans="1:16" ht="15.75" thickBot="1">
      <c r="B79" s="453"/>
      <c r="C79" s="604"/>
      <c r="D79" s="605"/>
      <c r="E79" s="3"/>
      <c r="F79" s="455"/>
      <c r="G79" s="606"/>
      <c r="H79" s="606"/>
      <c r="I79" s="606"/>
      <c r="J79" s="606"/>
      <c r="K79" s="606"/>
      <c r="L79" s="606"/>
      <c r="M79" s="606"/>
      <c r="N79" s="606"/>
      <c r="O79" s="606"/>
      <c r="P79" s="606"/>
    </row>
    <row r="80" spans="1:16" ht="15.75" thickBot="1">
      <c r="B80" s="144">
        <v>321200161</v>
      </c>
      <c r="C80" s="464" t="s">
        <v>81</v>
      </c>
      <c r="D80" s="196" t="s">
        <v>15</v>
      </c>
      <c r="E80" s="3"/>
      <c r="F80" s="60">
        <f>+G80</f>
        <v>2470</v>
      </c>
      <c r="G80" s="89">
        <f>7410/3</f>
        <v>2470</v>
      </c>
      <c r="H80" s="526" t="s">
        <v>544</v>
      </c>
      <c r="I80" s="529" t="s">
        <v>615</v>
      </c>
      <c r="J80" s="522"/>
      <c r="K80" s="522"/>
      <c r="L80" s="522"/>
      <c r="M80" s="522"/>
      <c r="N80" s="522"/>
      <c r="O80" s="522"/>
      <c r="P80" s="527"/>
    </row>
    <row r="81" spans="1:17" ht="15.75" customHeight="1" thickBot="1">
      <c r="B81" s="144">
        <v>321200172</v>
      </c>
      <c r="C81" s="74" t="s">
        <v>82</v>
      </c>
      <c r="D81" s="196" t="s">
        <v>15</v>
      </c>
      <c r="F81" s="88">
        <f>+(G81+J81)/2</f>
        <v>3500.5</v>
      </c>
      <c r="G81" s="89">
        <v>3350</v>
      </c>
      <c r="H81" s="526" t="s">
        <v>617</v>
      </c>
      <c r="I81" s="529" t="s">
        <v>616</v>
      </c>
      <c r="J81" s="89">
        <v>3651</v>
      </c>
      <c r="K81" s="526" t="s">
        <v>619</v>
      </c>
      <c r="L81" s="529" t="s">
        <v>618</v>
      </c>
      <c r="M81" s="522"/>
      <c r="N81" s="522"/>
      <c r="O81" s="522"/>
      <c r="P81" s="527"/>
    </row>
    <row r="82" spans="1:17" ht="15.75" customHeight="1" thickBot="1">
      <c r="B82" s="453"/>
      <c r="C82" s="604"/>
      <c r="D82" s="605"/>
      <c r="F82" s="454"/>
      <c r="G82" s="606"/>
      <c r="H82" s="606"/>
      <c r="I82" s="606"/>
      <c r="J82" s="606"/>
      <c r="K82" s="606"/>
      <c r="L82" s="606"/>
      <c r="M82" s="606"/>
      <c r="N82" s="606"/>
      <c r="O82" s="606"/>
      <c r="P82" s="606"/>
    </row>
    <row r="83" spans="1:17" ht="15.75" customHeight="1" thickBot="1">
      <c r="A83" s="516" t="s">
        <v>351</v>
      </c>
      <c r="B83" s="144">
        <v>321200192</v>
      </c>
      <c r="C83" s="418" t="s">
        <v>83</v>
      </c>
      <c r="D83" s="101" t="s">
        <v>17</v>
      </c>
      <c r="E83" s="3"/>
      <c r="F83" s="88">
        <f>+G83</f>
        <v>3100</v>
      </c>
      <c r="G83" s="61">
        <v>3100</v>
      </c>
      <c r="H83" s="134"/>
      <c r="I83" s="493" t="s">
        <v>352</v>
      </c>
      <c r="J83" s="555"/>
      <c r="K83" s="201"/>
      <c r="L83" s="201"/>
      <c r="M83" s="201"/>
      <c r="N83" s="201"/>
      <c r="O83" s="201"/>
      <c r="P83" s="202"/>
    </row>
    <row r="84" spans="1:17" ht="15.75" customHeight="1" thickBot="1">
      <c r="B84" s="453"/>
      <c r="C84" s="604" t="s">
        <v>84</v>
      </c>
      <c r="D84" s="605"/>
      <c r="E84" s="3"/>
      <c r="F84" s="455"/>
      <c r="G84" s="606"/>
      <c r="H84" s="606"/>
      <c r="I84" s="606"/>
      <c r="J84" s="606"/>
      <c r="K84" s="606"/>
      <c r="L84" s="606"/>
      <c r="M84" s="606"/>
      <c r="N84" s="606"/>
      <c r="O84" s="606"/>
      <c r="P84" s="606"/>
    </row>
    <row r="85" spans="1:17" ht="15.75" customHeight="1" thickBot="1">
      <c r="A85" s="516" t="s">
        <v>353</v>
      </c>
      <c r="B85" s="607">
        <v>32020003</v>
      </c>
      <c r="C85" s="26" t="s">
        <v>85</v>
      </c>
      <c r="D85" s="79" t="s">
        <v>86</v>
      </c>
      <c r="E85" s="3" t="s">
        <v>354</v>
      </c>
      <c r="F85" s="50">
        <f>(G85+J85)/2</f>
        <v>7706.12</v>
      </c>
      <c r="G85" s="80">
        <v>10612.24</v>
      </c>
      <c r="H85" s="81" t="s">
        <v>209</v>
      </c>
      <c r="I85" s="82" t="s">
        <v>355</v>
      </c>
      <c r="J85" s="83">
        <v>4800</v>
      </c>
      <c r="K85" s="203" t="s">
        <v>356</v>
      </c>
      <c r="L85" s="82" t="s">
        <v>357</v>
      </c>
      <c r="M85" s="85"/>
      <c r="N85" s="85"/>
      <c r="O85" s="86"/>
      <c r="P85" s="107" t="s">
        <v>358</v>
      </c>
    </row>
    <row r="86" spans="1:17" ht="15.75" customHeight="1" thickBot="1">
      <c r="A86" s="516" t="s">
        <v>359</v>
      </c>
      <c r="B86" s="597"/>
      <c r="C86" s="26" t="s">
        <v>87</v>
      </c>
      <c r="D86" s="79" t="s">
        <v>88</v>
      </c>
      <c r="E86" s="3"/>
      <c r="F86" s="88">
        <f>+G86</f>
        <v>372.24491999999998</v>
      </c>
      <c r="G86" s="111">
        <f>(62040.82/500)*3</f>
        <v>372.24491999999998</v>
      </c>
      <c r="H86" s="90" t="s">
        <v>209</v>
      </c>
      <c r="I86" s="432" t="s">
        <v>360</v>
      </c>
      <c r="J86" s="204"/>
      <c r="K86" s="205"/>
      <c r="L86" s="188"/>
      <c r="M86" s="93"/>
      <c r="N86" s="93"/>
      <c r="O86" s="94"/>
      <c r="P86" s="151" t="s">
        <v>361</v>
      </c>
    </row>
    <row r="87" spans="1:17" ht="15.75" customHeight="1" thickBot="1">
      <c r="A87" s="206" t="s">
        <v>362</v>
      </c>
      <c r="B87" s="532">
        <v>320200024</v>
      </c>
      <c r="C87" s="533" t="s">
        <v>89</v>
      </c>
      <c r="D87" s="534" t="s">
        <v>86</v>
      </c>
      <c r="E87" s="521"/>
      <c r="F87" s="88">
        <f>(G87+J87)/2</f>
        <v>7706.12</v>
      </c>
      <c r="G87" s="111">
        <v>10612.24</v>
      </c>
      <c r="H87" s="535" t="s">
        <v>209</v>
      </c>
      <c r="I87" s="536" t="s">
        <v>355</v>
      </c>
      <c r="J87" s="83">
        <v>4800</v>
      </c>
      <c r="K87" s="537" t="s">
        <v>356</v>
      </c>
      <c r="L87" s="538" t="s">
        <v>357</v>
      </c>
      <c r="M87" s="539"/>
      <c r="N87" s="539"/>
      <c r="O87" s="540"/>
      <c r="P87" s="541" t="s">
        <v>363</v>
      </c>
      <c r="Q87" s="206"/>
    </row>
    <row r="88" spans="1:17" ht="15.75" customHeight="1" thickBot="1">
      <c r="B88" s="453"/>
      <c r="C88" s="604"/>
      <c r="D88" s="605"/>
      <c r="E88" s="3"/>
      <c r="F88" s="454"/>
      <c r="G88" s="606"/>
      <c r="H88" s="606"/>
      <c r="I88" s="606"/>
      <c r="J88" s="606"/>
      <c r="K88" s="606"/>
      <c r="L88" s="606"/>
      <c r="M88" s="606"/>
      <c r="N88" s="606"/>
      <c r="O88" s="606"/>
      <c r="P88" s="606"/>
    </row>
    <row r="89" spans="1:17" ht="15.75" customHeight="1" thickBot="1">
      <c r="A89" s="516" t="s">
        <v>364</v>
      </c>
      <c r="B89" s="133">
        <v>320500026</v>
      </c>
      <c r="C89" s="464" t="s">
        <v>90</v>
      </c>
      <c r="D89" s="79" t="s">
        <v>91</v>
      </c>
      <c r="E89" s="3"/>
      <c r="F89" s="68">
        <f>G89</f>
        <v>595</v>
      </c>
      <c r="G89" s="221">
        <f>(2380/2)/2</f>
        <v>595</v>
      </c>
      <c r="H89" s="72" t="s">
        <v>369</v>
      </c>
      <c r="I89" s="413" t="s">
        <v>370</v>
      </c>
      <c r="J89" s="513"/>
      <c r="K89" s="545"/>
      <c r="L89" s="546"/>
      <c r="M89" s="87" t="s">
        <v>371</v>
      </c>
    </row>
    <row r="90" spans="1:17" ht="15.75" customHeight="1" thickBot="1">
      <c r="B90" s="453"/>
      <c r="C90" s="604" t="s">
        <v>92</v>
      </c>
      <c r="D90" s="605"/>
      <c r="E90" s="3"/>
      <c r="F90" s="455"/>
      <c r="G90" s="606"/>
      <c r="H90" s="606"/>
      <c r="I90" s="606"/>
      <c r="J90" s="606"/>
      <c r="K90" s="606"/>
      <c r="L90" s="606"/>
      <c r="M90" s="606"/>
      <c r="N90" s="606"/>
      <c r="O90" s="606"/>
      <c r="P90" s="606"/>
    </row>
    <row r="91" spans="1:17" ht="15.75" customHeight="1" thickBot="1">
      <c r="A91" s="516" t="s">
        <v>372</v>
      </c>
      <c r="B91" s="144">
        <v>320100112</v>
      </c>
      <c r="C91" s="19" t="s">
        <v>93</v>
      </c>
      <c r="D91" s="101" t="s">
        <v>94</v>
      </c>
      <c r="E91" s="3"/>
      <c r="F91" s="68">
        <f t="shared" ref="F91:F93" si="6">(G91+J91)/2</f>
        <v>2979.5950000000003</v>
      </c>
      <c r="G91" s="61">
        <v>1469.39</v>
      </c>
      <c r="H91" s="62" t="s">
        <v>373</v>
      </c>
      <c r="I91" s="70" t="s">
        <v>374</v>
      </c>
      <c r="J91" s="69">
        <v>4489.8</v>
      </c>
      <c r="K91" s="222" t="s">
        <v>191</v>
      </c>
      <c r="L91" s="424" t="s">
        <v>375</v>
      </c>
      <c r="M91" s="223"/>
      <c r="N91" s="183"/>
      <c r="O91" s="224"/>
      <c r="P91" s="225" t="s">
        <v>300</v>
      </c>
    </row>
    <row r="92" spans="1:17" ht="15.75" customHeight="1" thickBot="1">
      <c r="A92" s="516" t="s">
        <v>376</v>
      </c>
      <c r="B92" s="144">
        <v>320100123</v>
      </c>
      <c r="C92" s="19" t="s">
        <v>95</v>
      </c>
      <c r="D92" s="101" t="s">
        <v>96</v>
      </c>
      <c r="E92" s="3"/>
      <c r="F92" s="88">
        <f t="shared" si="6"/>
        <v>175.5102</v>
      </c>
      <c r="G92" s="111">
        <f>(11020.41/50)</f>
        <v>220.40819999999999</v>
      </c>
      <c r="H92" s="185" t="s">
        <v>377</v>
      </c>
      <c r="I92" s="226" t="s">
        <v>378</v>
      </c>
      <c r="J92" s="114">
        <f>(6530.61/50)</f>
        <v>130.6122</v>
      </c>
      <c r="K92" s="159" t="s">
        <v>379</v>
      </c>
      <c r="L92" s="428" t="s">
        <v>380</v>
      </c>
      <c r="M92" s="186"/>
      <c r="N92" s="186"/>
      <c r="O92" s="227"/>
      <c r="P92" s="100" t="s">
        <v>381</v>
      </c>
    </row>
    <row r="93" spans="1:17" ht="15.75" customHeight="1" thickBot="1">
      <c r="A93" s="516" t="s">
        <v>382</v>
      </c>
      <c r="B93" s="144">
        <v>3201001710</v>
      </c>
      <c r="C93" s="19" t="s">
        <v>97</v>
      </c>
      <c r="D93" s="101" t="s">
        <v>94</v>
      </c>
      <c r="E93" s="175"/>
      <c r="F93" s="68">
        <f t="shared" si="6"/>
        <v>6039.7950000000001</v>
      </c>
      <c r="G93" s="61">
        <v>3100</v>
      </c>
      <c r="H93" s="62" t="s">
        <v>233</v>
      </c>
      <c r="I93" s="413" t="s">
        <v>383</v>
      </c>
      <c r="J93" s="69">
        <v>8979.59</v>
      </c>
      <c r="K93" s="222" t="s">
        <v>179</v>
      </c>
      <c r="L93" s="91" t="s">
        <v>384</v>
      </c>
      <c r="M93" s="228"/>
      <c r="N93" s="228"/>
      <c r="O93" s="229"/>
      <c r="P93" s="100" t="s">
        <v>385</v>
      </c>
    </row>
    <row r="94" spans="1:17" ht="15.75" customHeight="1" thickBot="1">
      <c r="B94" s="453"/>
      <c r="C94" s="604" t="s">
        <v>98</v>
      </c>
      <c r="D94" s="605"/>
      <c r="E94" s="175"/>
      <c r="F94" s="455"/>
      <c r="G94" s="606"/>
      <c r="H94" s="606"/>
      <c r="I94" s="606"/>
      <c r="J94" s="606"/>
      <c r="K94" s="606"/>
      <c r="L94" s="606"/>
      <c r="M94" s="606"/>
      <c r="N94" s="606"/>
      <c r="O94" s="606"/>
      <c r="P94" s="606"/>
    </row>
    <row r="95" spans="1:17" ht="18.75" customHeight="1" thickBot="1">
      <c r="A95" s="516" t="s">
        <v>386</v>
      </c>
      <c r="B95" s="607">
        <v>32070006</v>
      </c>
      <c r="C95" s="435" t="s">
        <v>99</v>
      </c>
      <c r="D95" s="230" t="s">
        <v>15</v>
      </c>
      <c r="E95" s="3"/>
      <c r="F95" s="50">
        <f>(G95)</f>
        <v>450</v>
      </c>
      <c r="G95" s="80">
        <f>4500/10</f>
        <v>450</v>
      </c>
      <c r="H95" s="487" t="s">
        <v>594</v>
      </c>
      <c r="I95" s="486" t="s">
        <v>593</v>
      </c>
      <c r="J95" s="231"/>
      <c r="K95" s="232"/>
      <c r="L95" s="232"/>
      <c r="M95" s="520"/>
      <c r="N95" s="520"/>
      <c r="O95" s="234"/>
      <c r="P95" s="235"/>
    </row>
    <row r="96" spans="1:17" ht="15.75" customHeight="1" thickBot="1">
      <c r="A96" s="516" t="s">
        <v>387</v>
      </c>
      <c r="B96" s="596"/>
      <c r="C96" s="464" t="s">
        <v>100</v>
      </c>
      <c r="D96" s="79" t="s">
        <v>17</v>
      </c>
      <c r="E96" s="3"/>
      <c r="F96" s="130">
        <f>G96</f>
        <v>61.224499999999999</v>
      </c>
      <c r="G96" s="89">
        <f>12244.9/200</f>
        <v>61.224499999999999</v>
      </c>
      <c r="H96" s="556" t="s">
        <v>189</v>
      </c>
      <c r="I96" s="560" t="s">
        <v>622</v>
      </c>
      <c r="J96" s="238"/>
      <c r="K96" s="238"/>
      <c r="L96" s="239"/>
      <c r="M96" s="561" t="s">
        <v>623</v>
      </c>
    </row>
    <row r="97" spans="1:16" ht="15.75" thickBot="1">
      <c r="A97" s="516" t="s">
        <v>392</v>
      </c>
      <c r="B97" s="596"/>
      <c r="C97" s="26" t="s">
        <v>101</v>
      </c>
      <c r="D97" s="79" t="s">
        <v>17</v>
      </c>
      <c r="E97" s="3"/>
      <c r="F97" s="108">
        <f t="shared" ref="F97:F99" si="7">(G97)</f>
        <v>1161.2245</v>
      </c>
      <c r="G97" s="89">
        <f>(116122.45/100)</f>
        <v>1161.2245</v>
      </c>
      <c r="H97" s="491" t="s">
        <v>393</v>
      </c>
      <c r="I97" s="557" t="s">
        <v>394</v>
      </c>
      <c r="J97" s="241"/>
      <c r="K97" s="242"/>
      <c r="L97" s="191"/>
      <c r="M97" s="74"/>
      <c r="N97" s="74"/>
      <c r="O97" s="192"/>
      <c r="P97" s="243"/>
    </row>
    <row r="98" spans="1:16" ht="15.75" thickBot="1">
      <c r="A98" s="516" t="s">
        <v>395</v>
      </c>
      <c r="B98" s="596"/>
      <c r="C98" s="26" t="s">
        <v>102</v>
      </c>
      <c r="D98" s="79" t="s">
        <v>15</v>
      </c>
      <c r="E98" s="3"/>
      <c r="F98" s="244">
        <f t="shared" si="7"/>
        <v>325</v>
      </c>
      <c r="G98" s="89">
        <v>325</v>
      </c>
      <c r="H98" s="492" t="s">
        <v>388</v>
      </c>
      <c r="I98" s="566" t="s">
        <v>624</v>
      </c>
      <c r="J98" s="204"/>
      <c r="K98" s="205"/>
      <c r="L98" s="188"/>
      <c r="M98" s="93"/>
      <c r="N98" s="93"/>
      <c r="O98" s="189"/>
      <c r="P98" s="245"/>
    </row>
    <row r="99" spans="1:16" ht="15.75" thickBot="1">
      <c r="A99" s="516" t="s">
        <v>397</v>
      </c>
      <c r="B99" s="597"/>
      <c r="C99" s="74" t="s">
        <v>103</v>
      </c>
      <c r="D99" s="196" t="s">
        <v>17</v>
      </c>
      <c r="E99" s="3"/>
      <c r="F99" s="246">
        <f t="shared" si="7"/>
        <v>436.73470000000003</v>
      </c>
      <c r="G99" s="247">
        <f>(43673.47/100)</f>
        <v>436.73470000000003</v>
      </c>
      <c r="H99" s="248" t="s">
        <v>393</v>
      </c>
      <c r="I99" s="249" t="s">
        <v>398</v>
      </c>
      <c r="J99" s="250"/>
      <c r="K99" s="250"/>
      <c r="L99" s="250"/>
      <c r="M99" s="250"/>
      <c r="N99" s="250"/>
      <c r="O99" s="251"/>
      <c r="P99" s="252" t="s">
        <v>399</v>
      </c>
    </row>
    <row r="100" spans="1:16" ht="15.75" thickBot="1">
      <c r="B100" s="253"/>
      <c r="C100" s="39"/>
      <c r="D100" s="254"/>
      <c r="E100" s="3"/>
      <c r="F100" s="456"/>
      <c r="G100" s="606"/>
      <c r="H100" s="606"/>
      <c r="I100" s="606"/>
      <c r="J100" s="606"/>
      <c r="K100" s="606"/>
      <c r="L100" s="606"/>
      <c r="M100" s="606"/>
      <c r="N100" s="606"/>
      <c r="O100" s="606"/>
      <c r="P100" s="606"/>
    </row>
    <row r="101" spans="1:16" ht="15.75" thickBot="1">
      <c r="A101" s="516" t="s">
        <v>400</v>
      </c>
      <c r="B101" s="255">
        <v>321600081</v>
      </c>
      <c r="C101" s="30" t="s">
        <v>104</v>
      </c>
      <c r="D101" s="230" t="s">
        <v>17</v>
      </c>
      <c r="E101" s="3"/>
      <c r="F101" s="108">
        <f>(G101+J101)/2</f>
        <v>8065</v>
      </c>
      <c r="G101" s="61">
        <v>4030</v>
      </c>
      <c r="H101" s="256"/>
      <c r="I101" s="257" t="s">
        <v>401</v>
      </c>
      <c r="J101" s="69">
        <v>12100</v>
      </c>
      <c r="K101" s="258" t="s">
        <v>402</v>
      </c>
      <c r="L101" s="631" t="s">
        <v>403</v>
      </c>
      <c r="M101" s="632"/>
      <c r="N101" s="632"/>
      <c r="O101" s="632"/>
      <c r="P101" s="633"/>
    </row>
    <row r="102" spans="1:16" ht="15.75" thickBot="1">
      <c r="B102" s="453"/>
      <c r="C102" s="604" t="s">
        <v>98</v>
      </c>
      <c r="D102" s="605"/>
      <c r="E102" s="3"/>
      <c r="F102" s="455"/>
      <c r="G102" s="606"/>
      <c r="H102" s="606"/>
      <c r="I102" s="606"/>
      <c r="J102" s="606"/>
      <c r="K102" s="606"/>
      <c r="L102" s="606"/>
      <c r="M102" s="606"/>
      <c r="N102" s="606"/>
      <c r="O102" s="606"/>
      <c r="P102" s="606"/>
    </row>
    <row r="103" spans="1:16" ht="15.75" thickBot="1">
      <c r="A103" s="516" t="s">
        <v>404</v>
      </c>
      <c r="B103" s="144">
        <v>32030001</v>
      </c>
      <c r="C103" s="26" t="s">
        <v>106</v>
      </c>
      <c r="D103" s="79" t="s">
        <v>17</v>
      </c>
      <c r="E103" s="3"/>
      <c r="F103" s="68">
        <f>(G103+J103)/2</f>
        <v>52.7</v>
      </c>
      <c r="G103" s="219">
        <f>(3935/100)</f>
        <v>39.35</v>
      </c>
      <c r="H103" s="134" t="s">
        <v>405</v>
      </c>
      <c r="I103" s="434" t="s">
        <v>406</v>
      </c>
      <c r="J103" s="69">
        <f>(6605/100)</f>
        <v>66.05</v>
      </c>
      <c r="K103" s="134"/>
      <c r="L103" s="70" t="s">
        <v>407</v>
      </c>
      <c r="M103" s="259"/>
      <c r="N103" s="259"/>
      <c r="O103" s="407"/>
      <c r="P103" s="107" t="s">
        <v>408</v>
      </c>
    </row>
    <row r="104" spans="1:16" ht="15.75" thickBot="1">
      <c r="B104" s="462"/>
      <c r="C104" s="604"/>
      <c r="D104" s="605"/>
      <c r="E104" s="3"/>
      <c r="F104" s="455"/>
      <c r="G104" s="606"/>
      <c r="H104" s="606"/>
      <c r="I104" s="606"/>
      <c r="J104" s="606"/>
      <c r="K104" s="606"/>
      <c r="L104" s="606"/>
      <c r="M104" s="606"/>
      <c r="N104" s="606"/>
      <c r="O104" s="606"/>
      <c r="P104" s="606"/>
    </row>
    <row r="105" spans="1:16" ht="15.75" thickBot="1">
      <c r="B105" s="144">
        <v>321500154</v>
      </c>
      <c r="C105" s="464" t="s">
        <v>107</v>
      </c>
      <c r="D105" s="196" t="s">
        <v>15</v>
      </c>
      <c r="E105" s="3"/>
      <c r="F105" s="460"/>
      <c r="G105" s="600" t="s">
        <v>409</v>
      </c>
      <c r="H105" s="582"/>
      <c r="I105" s="582"/>
      <c r="J105" s="582"/>
      <c r="K105" s="582"/>
      <c r="L105" s="582"/>
      <c r="M105" s="582"/>
      <c r="N105" s="582"/>
      <c r="O105" s="582"/>
      <c r="P105" s="583"/>
    </row>
    <row r="106" spans="1:16" ht="15.75" thickBot="1">
      <c r="B106" s="453"/>
      <c r="C106" s="604" t="s">
        <v>108</v>
      </c>
      <c r="D106" s="605"/>
      <c r="E106" s="3"/>
      <c r="F106" s="455"/>
      <c r="G106" s="606"/>
      <c r="H106" s="606"/>
      <c r="I106" s="606"/>
      <c r="J106" s="606"/>
      <c r="K106" s="606"/>
      <c r="L106" s="606"/>
      <c r="M106" s="606"/>
      <c r="N106" s="606"/>
      <c r="O106" s="606"/>
      <c r="P106" s="606"/>
    </row>
    <row r="107" spans="1:16" ht="15.75" thickBot="1">
      <c r="A107" s="516" t="s">
        <v>410</v>
      </c>
      <c r="B107" s="613">
        <v>32070007</v>
      </c>
      <c r="C107" s="14" t="s">
        <v>109</v>
      </c>
      <c r="D107" s="49" t="s">
        <v>17</v>
      </c>
      <c r="E107" s="3"/>
      <c r="F107" s="50">
        <f>(G107+J107+M107)/3</f>
        <v>24.034566666666667</v>
      </c>
      <c r="G107" s="80">
        <f>(1418.37/100)</f>
        <v>14.183699999999998</v>
      </c>
      <c r="H107" s="81" t="s">
        <v>189</v>
      </c>
      <c r="I107" s="438" t="s">
        <v>411</v>
      </c>
      <c r="J107" s="83">
        <f>(2492/100)</f>
        <v>24.92</v>
      </c>
      <c r="K107" s="55" t="s">
        <v>412</v>
      </c>
      <c r="L107" s="442" t="s">
        <v>413</v>
      </c>
      <c r="M107" s="260">
        <f>(3300/100)</f>
        <v>33</v>
      </c>
      <c r="N107" s="261" t="s">
        <v>412</v>
      </c>
      <c r="O107" s="444" t="s">
        <v>414</v>
      </c>
      <c r="P107" s="100" t="s">
        <v>415</v>
      </c>
    </row>
    <row r="108" spans="1:16" ht="15.75" thickBot="1">
      <c r="A108" s="516" t="s">
        <v>416</v>
      </c>
      <c r="B108" s="596"/>
      <c r="C108" s="14" t="s">
        <v>110</v>
      </c>
      <c r="D108" s="49" t="s">
        <v>17</v>
      </c>
      <c r="E108" s="3"/>
      <c r="F108" s="88">
        <f t="shared" ref="F108:F109" si="8">(G108+J108)/2</f>
        <v>23.571449999999999</v>
      </c>
      <c r="G108" s="111">
        <f>(1914.29/100)</f>
        <v>19.142900000000001</v>
      </c>
      <c r="H108" s="112" t="s">
        <v>417</v>
      </c>
      <c r="I108" s="263" t="s">
        <v>418</v>
      </c>
      <c r="J108" s="114">
        <f>(2800/100)</f>
        <v>28</v>
      </c>
      <c r="K108" s="159" t="s">
        <v>412</v>
      </c>
      <c r="L108" s="470" t="s">
        <v>419</v>
      </c>
      <c r="M108" s="19"/>
      <c r="N108" s="19"/>
      <c r="O108" s="265"/>
      <c r="P108" s="100" t="s">
        <v>415</v>
      </c>
    </row>
    <row r="109" spans="1:16" ht="15.75" thickBot="1">
      <c r="A109" s="516" t="s">
        <v>420</v>
      </c>
      <c r="B109" s="596"/>
      <c r="C109" s="14" t="s">
        <v>111</v>
      </c>
      <c r="D109" s="49" t="s">
        <v>17</v>
      </c>
      <c r="E109" s="3"/>
      <c r="F109" s="88">
        <f t="shared" si="8"/>
        <v>57.775500000000001</v>
      </c>
      <c r="G109" s="111">
        <f>(2877.55/50)</f>
        <v>57.551000000000002</v>
      </c>
      <c r="H109" s="112" t="s">
        <v>417</v>
      </c>
      <c r="I109" s="439" t="s">
        <v>421</v>
      </c>
      <c r="J109" s="266">
        <f>(2900/50)</f>
        <v>58</v>
      </c>
      <c r="K109" s="267" t="s">
        <v>412</v>
      </c>
      <c r="L109" s="471" t="s">
        <v>422</v>
      </c>
      <c r="M109" s="269"/>
      <c r="N109" s="269"/>
      <c r="O109" s="262"/>
      <c r="P109" s="100" t="s">
        <v>423</v>
      </c>
    </row>
    <row r="110" spans="1:16" ht="15.75" thickBot="1">
      <c r="A110" s="516" t="s">
        <v>424</v>
      </c>
      <c r="B110" s="596"/>
      <c r="C110" s="14" t="s">
        <v>112</v>
      </c>
      <c r="D110" s="49" t="s">
        <v>17</v>
      </c>
      <c r="E110" s="3"/>
      <c r="F110" s="88">
        <f>G110</f>
        <v>260</v>
      </c>
      <c r="G110" s="111">
        <f>(6500/25)</f>
        <v>260</v>
      </c>
      <c r="H110" s="112" t="s">
        <v>425</v>
      </c>
      <c r="I110" s="440" t="s">
        <v>426</v>
      </c>
      <c r="J110" s="19"/>
      <c r="K110" s="19"/>
      <c r="L110" s="265"/>
      <c r="M110" s="562"/>
    </row>
    <row r="111" spans="1:16" ht="15.75" thickBot="1">
      <c r="A111" s="516" t="s">
        <v>429</v>
      </c>
      <c r="B111" s="597"/>
      <c r="C111" s="14" t="s">
        <v>113</v>
      </c>
      <c r="D111" s="49" t="s">
        <v>17</v>
      </c>
      <c r="E111" s="3"/>
      <c r="F111" s="60">
        <f>(G111)</f>
        <v>14.061199999999999</v>
      </c>
      <c r="G111" s="89">
        <f>(1406.12/100)</f>
        <v>14.061199999999999</v>
      </c>
      <c r="H111" s="90" t="s">
        <v>189</v>
      </c>
      <c r="I111" s="441" t="s">
        <v>430</v>
      </c>
      <c r="J111" s="270"/>
      <c r="K111" s="271"/>
      <c r="L111" s="268"/>
      <c r="M111" s="269"/>
      <c r="N111" s="269"/>
      <c r="O111" s="262"/>
      <c r="P111" s="100" t="s">
        <v>415</v>
      </c>
    </row>
    <row r="112" spans="1:16" ht="15.75" thickBot="1">
      <c r="B112" s="453"/>
      <c r="C112" s="604"/>
      <c r="D112" s="605"/>
      <c r="E112" s="3"/>
      <c r="F112" s="455"/>
      <c r="G112" s="606"/>
      <c r="H112" s="606"/>
      <c r="I112" s="606"/>
      <c r="J112" s="606"/>
      <c r="K112" s="606"/>
      <c r="L112" s="606"/>
      <c r="M112" s="606"/>
      <c r="N112" s="606"/>
      <c r="O112" s="606"/>
      <c r="P112" s="606"/>
    </row>
    <row r="113" spans="1:17" ht="15.75" customHeight="1" thickBot="1">
      <c r="A113" s="516" t="s">
        <v>431</v>
      </c>
      <c r="B113" s="133">
        <v>321100011</v>
      </c>
      <c r="C113" s="26" t="s">
        <v>114</v>
      </c>
      <c r="D113" s="79" t="s">
        <v>17</v>
      </c>
      <c r="E113" s="3"/>
      <c r="F113" s="88">
        <f>(G113+J113)/2</f>
        <v>82.193899999999999</v>
      </c>
      <c r="G113" s="61">
        <v>95</v>
      </c>
      <c r="H113" s="134"/>
      <c r="I113" s="413" t="s">
        <v>432</v>
      </c>
      <c r="J113" s="69">
        <f>(3469.39/50)</f>
        <v>69.387799999999999</v>
      </c>
      <c r="K113" s="134" t="s">
        <v>433</v>
      </c>
      <c r="L113" s="635" t="s">
        <v>434</v>
      </c>
      <c r="M113" s="632"/>
      <c r="N113" s="632"/>
      <c r="O113" s="632"/>
      <c r="P113" s="633"/>
    </row>
    <row r="114" spans="1:17" ht="15.75" customHeight="1" thickBot="1">
      <c r="B114" s="453"/>
      <c r="C114" s="604" t="s">
        <v>115</v>
      </c>
      <c r="D114" s="605"/>
      <c r="E114" s="3"/>
      <c r="F114" s="455"/>
      <c r="G114" s="606"/>
      <c r="H114" s="606"/>
      <c r="I114" s="606"/>
      <c r="J114" s="606"/>
      <c r="K114" s="606"/>
      <c r="L114" s="606"/>
      <c r="M114" s="606"/>
      <c r="N114" s="606"/>
      <c r="O114" s="606"/>
      <c r="P114" s="606"/>
    </row>
    <row r="115" spans="1:17" ht="15.75" customHeight="1" thickBot="1">
      <c r="A115" s="516" t="s">
        <v>435</v>
      </c>
      <c r="B115" s="607">
        <v>32090019</v>
      </c>
      <c r="C115" s="26" t="s">
        <v>116</v>
      </c>
      <c r="D115" s="79" t="s">
        <v>15</v>
      </c>
      <c r="E115" s="3"/>
      <c r="F115" s="108">
        <f t="shared" ref="F115:F117" si="9">(G115)</f>
        <v>1887.76</v>
      </c>
      <c r="G115" s="80">
        <v>1887.76</v>
      </c>
      <c r="H115" s="81" t="s">
        <v>436</v>
      </c>
      <c r="I115" s="424" t="s">
        <v>437</v>
      </c>
      <c r="J115" s="272"/>
      <c r="K115" s="52"/>
      <c r="L115" s="57"/>
      <c r="M115" s="56"/>
      <c r="N115" s="56"/>
      <c r="O115" s="273"/>
      <c r="P115" s="274"/>
    </row>
    <row r="116" spans="1:17" ht="15.75" customHeight="1" thickBot="1">
      <c r="A116" s="516" t="s">
        <v>438</v>
      </c>
      <c r="B116" s="596"/>
      <c r="C116" s="26" t="s">
        <v>117</v>
      </c>
      <c r="D116" s="79" t="s">
        <v>15</v>
      </c>
      <c r="E116" s="3"/>
      <c r="F116" s="108">
        <f t="shared" si="9"/>
        <v>1887.76</v>
      </c>
      <c r="G116" s="111">
        <v>1887.76</v>
      </c>
      <c r="H116" s="112" t="s">
        <v>436</v>
      </c>
      <c r="I116" s="426" t="s">
        <v>439</v>
      </c>
      <c r="J116" s="275"/>
      <c r="K116" s="185"/>
      <c r="L116" s="264"/>
      <c r="M116" s="276"/>
      <c r="N116" s="276"/>
      <c r="O116" s="25"/>
      <c r="P116" s="277"/>
    </row>
    <row r="117" spans="1:17" ht="15.75" customHeight="1" thickBot="1">
      <c r="A117" s="516" t="s">
        <v>440</v>
      </c>
      <c r="B117" s="597"/>
      <c r="C117" s="26" t="s">
        <v>118</v>
      </c>
      <c r="D117" s="79" t="s">
        <v>15</v>
      </c>
      <c r="E117" s="3"/>
      <c r="F117" s="108">
        <f t="shared" si="9"/>
        <v>1887.76</v>
      </c>
      <c r="G117" s="111">
        <v>1887.76</v>
      </c>
      <c r="H117" s="112" t="s">
        <v>436</v>
      </c>
      <c r="I117" s="426" t="s">
        <v>441</v>
      </c>
      <c r="J117" s="275"/>
      <c r="K117" s="185"/>
      <c r="L117" s="264"/>
      <c r="M117" s="276"/>
      <c r="N117" s="276"/>
      <c r="O117" s="25"/>
      <c r="P117" s="278"/>
    </row>
    <row r="118" spans="1:17" ht="15.75" customHeight="1" thickBot="1">
      <c r="A118" s="516" t="s">
        <v>442</v>
      </c>
      <c r="B118" s="634">
        <v>32120004</v>
      </c>
      <c r="C118" s="26" t="s">
        <v>119</v>
      </c>
      <c r="D118" s="79" t="s">
        <v>17</v>
      </c>
      <c r="E118" s="3"/>
      <c r="F118" s="108">
        <f>G118</f>
        <v>227</v>
      </c>
      <c r="G118" s="114">
        <v>227</v>
      </c>
      <c r="H118" s="191"/>
      <c r="I118" s="428" t="s">
        <v>444</v>
      </c>
      <c r="J118" s="74"/>
      <c r="K118" s="74"/>
      <c r="L118" s="140"/>
      <c r="M118" s="107" t="s">
        <v>445</v>
      </c>
    </row>
    <row r="119" spans="1:17" ht="15.75" customHeight="1" thickBot="1">
      <c r="A119" s="516" t="s">
        <v>446</v>
      </c>
      <c r="B119" s="597"/>
      <c r="C119" s="418" t="s">
        <v>120</v>
      </c>
      <c r="D119" s="230" t="s">
        <v>17</v>
      </c>
      <c r="E119" s="3"/>
      <c r="F119" s="108">
        <f t="shared" ref="F119" si="10">+(G119+J119)/2</f>
        <v>186.15305999999998</v>
      </c>
      <c r="G119" s="111">
        <f>36326.53/250</f>
        <v>145.30611999999999</v>
      </c>
      <c r="H119" s="112" t="s">
        <v>189</v>
      </c>
      <c r="I119" s="489" t="s">
        <v>595</v>
      </c>
      <c r="J119" s="114">
        <v>227</v>
      </c>
      <c r="K119" s="191"/>
      <c r="L119" s="428" t="s">
        <v>447</v>
      </c>
      <c r="M119" s="74"/>
      <c r="N119" s="74"/>
      <c r="O119" s="140"/>
      <c r="P119" s="107" t="s">
        <v>448</v>
      </c>
    </row>
    <row r="120" spans="1:17" ht="15.75" customHeight="1" thickBot="1">
      <c r="A120" s="515" t="s">
        <v>449</v>
      </c>
      <c r="B120" s="613">
        <v>32120005</v>
      </c>
      <c r="C120" s="186" t="s">
        <v>121</v>
      </c>
      <c r="D120" s="279" t="s">
        <v>17</v>
      </c>
      <c r="E120" s="515"/>
      <c r="F120" s="108">
        <f>(G120+J120)/2</f>
        <v>1399.5</v>
      </c>
      <c r="G120" s="111">
        <v>1099</v>
      </c>
      <c r="H120" s="112"/>
      <c r="I120" s="489" t="s">
        <v>458</v>
      </c>
      <c r="J120" s="114">
        <v>1700</v>
      </c>
      <c r="K120" s="191"/>
      <c r="L120" s="428" t="s">
        <v>451</v>
      </c>
      <c r="M120" s="74"/>
      <c r="N120" s="74"/>
      <c r="O120" s="192"/>
      <c r="P120" s="163"/>
      <c r="Q120" s="515"/>
    </row>
    <row r="121" spans="1:17" ht="15.75" customHeight="1" thickBot="1">
      <c r="A121" s="516" t="s">
        <v>452</v>
      </c>
      <c r="B121" s="596"/>
      <c r="C121" s="490" t="s">
        <v>122</v>
      </c>
      <c r="D121" s="49" t="s">
        <v>123</v>
      </c>
      <c r="E121" s="3"/>
      <c r="F121" s="108">
        <f>G121</f>
        <v>1099</v>
      </c>
      <c r="G121" s="114">
        <v>1099</v>
      </c>
      <c r="H121" s="191"/>
      <c r="I121" s="428" t="s">
        <v>455</v>
      </c>
      <c r="J121" s="74"/>
      <c r="K121" s="74"/>
      <c r="L121" s="140"/>
      <c r="M121" s="107" t="s">
        <v>456</v>
      </c>
    </row>
    <row r="122" spans="1:17" ht="15.75" customHeight="1" thickBot="1">
      <c r="A122" s="516" t="s">
        <v>457</v>
      </c>
      <c r="B122" s="596"/>
      <c r="C122" s="14" t="s">
        <v>124</v>
      </c>
      <c r="D122" s="49" t="s">
        <v>123</v>
      </c>
      <c r="E122" s="3"/>
      <c r="F122" s="108">
        <f t="shared" ref="F122" si="11">+(G122+J122)/2</f>
        <v>1439.5</v>
      </c>
      <c r="G122" s="111">
        <v>1780</v>
      </c>
      <c r="H122" s="491" t="s">
        <v>453</v>
      </c>
      <c r="I122" s="489" t="s">
        <v>604</v>
      </c>
      <c r="J122" s="114">
        <v>1099</v>
      </c>
      <c r="K122" s="191"/>
      <c r="L122" s="428" t="s">
        <v>458</v>
      </c>
      <c r="M122" s="74"/>
      <c r="N122" s="74"/>
      <c r="O122" s="192"/>
      <c r="P122" s="107" t="s">
        <v>456</v>
      </c>
    </row>
    <row r="123" spans="1:17" ht="15.75" customHeight="1" thickBot="1">
      <c r="A123" s="516" t="s">
        <v>459</v>
      </c>
      <c r="B123" s="597"/>
      <c r="C123" s="14" t="s">
        <v>125</v>
      </c>
      <c r="D123" s="49" t="s">
        <v>17</v>
      </c>
      <c r="E123" s="3"/>
      <c r="F123" s="108">
        <f>G123</f>
        <v>1700</v>
      </c>
      <c r="G123" s="92">
        <v>1700</v>
      </c>
      <c r="H123" s="188"/>
      <c r="I123" s="427" t="s">
        <v>451</v>
      </c>
      <c r="J123" s="93"/>
      <c r="K123" s="93"/>
      <c r="L123" s="189"/>
      <c r="M123" s="245"/>
    </row>
    <row r="124" spans="1:17" ht="15.75" customHeight="1" thickBot="1">
      <c r="B124" s="453"/>
      <c r="C124" s="604" t="s">
        <v>126</v>
      </c>
      <c r="D124" s="605"/>
      <c r="F124" s="455"/>
      <c r="G124" s="606"/>
      <c r="H124" s="606"/>
      <c r="I124" s="606"/>
      <c r="J124" s="606"/>
      <c r="K124" s="606"/>
      <c r="L124" s="606"/>
      <c r="M124" s="606"/>
      <c r="N124" s="606"/>
      <c r="O124" s="606"/>
      <c r="P124" s="606"/>
    </row>
    <row r="125" spans="1:17" ht="15.75" customHeight="1" thickBot="1">
      <c r="B125" s="144">
        <v>32120011</v>
      </c>
      <c r="C125" s="464" t="s">
        <v>127</v>
      </c>
      <c r="D125" s="196" t="s">
        <v>17</v>
      </c>
      <c r="E125" s="3"/>
      <c r="F125" s="460"/>
      <c r="G125" s="600" t="s">
        <v>409</v>
      </c>
      <c r="H125" s="582"/>
      <c r="I125" s="582"/>
      <c r="J125" s="582"/>
      <c r="K125" s="582"/>
      <c r="L125" s="582"/>
      <c r="M125" s="582"/>
      <c r="N125" s="582"/>
      <c r="O125" s="582"/>
      <c r="P125" s="583"/>
    </row>
    <row r="126" spans="1:17" ht="15.75" customHeight="1" thickBot="1">
      <c r="B126" s="453"/>
      <c r="C126" s="604" t="s">
        <v>128</v>
      </c>
      <c r="D126" s="605"/>
      <c r="E126" s="3"/>
      <c r="F126" s="455"/>
      <c r="G126" s="606"/>
      <c r="H126" s="606"/>
      <c r="I126" s="606"/>
      <c r="J126" s="606"/>
      <c r="K126" s="606"/>
      <c r="L126" s="606"/>
      <c r="M126" s="606"/>
      <c r="N126" s="606"/>
      <c r="O126" s="606"/>
      <c r="P126" s="606"/>
    </row>
    <row r="127" spans="1:17" ht="15.75" customHeight="1" thickBot="1">
      <c r="A127" s="516" t="s">
        <v>461</v>
      </c>
      <c r="B127" s="607">
        <v>32080004</v>
      </c>
      <c r="C127" s="280" t="s">
        <v>129</v>
      </c>
      <c r="D127" s="281" t="s">
        <v>17</v>
      </c>
      <c r="E127" s="3"/>
      <c r="F127" s="108">
        <f t="shared" ref="F127:F130" si="12">(G127)</f>
        <v>526</v>
      </c>
      <c r="G127" s="80">
        <v>526</v>
      </c>
      <c r="H127" s="81" t="s">
        <v>462</v>
      </c>
      <c r="I127" s="109" t="s">
        <v>463</v>
      </c>
      <c r="J127" s="282"/>
      <c r="K127" s="283"/>
      <c r="L127" s="283"/>
      <c r="M127" s="85"/>
      <c r="N127" s="85"/>
      <c r="O127" s="197"/>
      <c r="P127" s="243"/>
    </row>
    <row r="128" spans="1:17" ht="15.75" customHeight="1" thickBot="1">
      <c r="A128" s="516" t="s">
        <v>464</v>
      </c>
      <c r="B128" s="596"/>
      <c r="C128" s="26" t="s">
        <v>130</v>
      </c>
      <c r="D128" s="79" t="s">
        <v>17</v>
      </c>
      <c r="E128" s="3"/>
      <c r="F128" s="108">
        <f t="shared" si="12"/>
        <v>526</v>
      </c>
      <c r="G128" s="111">
        <v>526</v>
      </c>
      <c r="H128" s="81" t="s">
        <v>462</v>
      </c>
      <c r="I128" s="428" t="s">
        <v>463</v>
      </c>
      <c r="J128" s="284"/>
      <c r="K128" s="191"/>
      <c r="L128" s="191"/>
      <c r="M128" s="74"/>
      <c r="N128" s="74"/>
      <c r="O128" s="192"/>
      <c r="P128" s="95"/>
    </row>
    <row r="129" spans="1:16" ht="15.75" thickBot="1">
      <c r="A129" s="516" t="s">
        <v>465</v>
      </c>
      <c r="B129" s="597"/>
      <c r="C129" s="26" t="s">
        <v>131</v>
      </c>
      <c r="D129" s="79" t="s">
        <v>17</v>
      </c>
      <c r="E129" s="3"/>
      <c r="F129" s="108">
        <f t="shared" si="12"/>
        <v>526</v>
      </c>
      <c r="G129" s="111">
        <v>526</v>
      </c>
      <c r="H129" s="81" t="s">
        <v>462</v>
      </c>
      <c r="I129" s="428" t="s">
        <v>463</v>
      </c>
      <c r="J129" s="284"/>
      <c r="K129" s="191"/>
      <c r="L129" s="191"/>
      <c r="M129" s="74"/>
      <c r="N129" s="74"/>
      <c r="O129" s="192"/>
      <c r="P129" s="95"/>
    </row>
    <row r="130" spans="1:16" ht="15.75" thickBot="1">
      <c r="A130" s="516" t="s">
        <v>466</v>
      </c>
      <c r="B130" s="144">
        <v>320800057</v>
      </c>
      <c r="C130" s="19" t="s">
        <v>132</v>
      </c>
      <c r="D130" s="101" t="s">
        <v>17</v>
      </c>
      <c r="E130" s="3"/>
      <c r="F130" s="88">
        <f t="shared" si="12"/>
        <v>928</v>
      </c>
      <c r="G130" s="89">
        <v>928</v>
      </c>
      <c r="H130" s="81" t="s">
        <v>462</v>
      </c>
      <c r="I130" s="443" t="s">
        <v>467</v>
      </c>
      <c r="J130" s="286"/>
      <c r="K130" s="285"/>
      <c r="L130" s="285"/>
      <c r="M130" s="105"/>
      <c r="N130" s="105"/>
      <c r="O130" s="287"/>
      <c r="P130" s="288"/>
    </row>
    <row r="131" spans="1:16" ht="15.75" thickBot="1">
      <c r="B131" s="453"/>
      <c r="C131" s="604"/>
      <c r="D131" s="605"/>
      <c r="E131" s="3"/>
      <c r="F131" s="455"/>
      <c r="G131" s="606"/>
      <c r="H131" s="606"/>
      <c r="I131" s="606"/>
      <c r="J131" s="606"/>
      <c r="K131" s="606"/>
      <c r="L131" s="606"/>
      <c r="M131" s="606"/>
      <c r="N131" s="606"/>
      <c r="O131" s="606"/>
      <c r="P131" s="606"/>
    </row>
    <row r="132" spans="1:16" ht="15.75" thickBot="1">
      <c r="A132" s="516" t="s">
        <v>468</v>
      </c>
      <c r="B132" s="133">
        <v>320900102</v>
      </c>
      <c r="C132" s="26" t="s">
        <v>133</v>
      </c>
      <c r="D132" s="79" t="s">
        <v>15</v>
      </c>
      <c r="E132" s="3"/>
      <c r="F132" s="108">
        <f>(G132)</f>
        <v>731</v>
      </c>
      <c r="G132" s="61">
        <v>731</v>
      </c>
      <c r="H132" s="134"/>
      <c r="I132" s="419" t="s">
        <v>469</v>
      </c>
      <c r="J132" s="154"/>
      <c r="K132" s="148"/>
      <c r="L132" s="148"/>
      <c r="M132" s="259"/>
      <c r="N132" s="259"/>
      <c r="O132" s="220"/>
      <c r="P132" s="163"/>
    </row>
    <row r="133" spans="1:16" ht="15.75" thickBot="1">
      <c r="B133" s="453"/>
      <c r="C133" s="604" t="s">
        <v>134</v>
      </c>
      <c r="D133" s="605"/>
      <c r="E133" s="3"/>
      <c r="F133" s="455"/>
      <c r="G133" s="606"/>
      <c r="H133" s="606"/>
      <c r="I133" s="606"/>
      <c r="J133" s="606"/>
      <c r="K133" s="606"/>
      <c r="L133" s="606"/>
      <c r="M133" s="606"/>
      <c r="N133" s="606"/>
      <c r="O133" s="606"/>
      <c r="P133" s="606"/>
    </row>
    <row r="134" spans="1:16" ht="15.75" thickBot="1">
      <c r="A134" s="516" t="s">
        <v>470</v>
      </c>
      <c r="B134" s="133">
        <v>320900135</v>
      </c>
      <c r="C134" s="26" t="s">
        <v>135</v>
      </c>
      <c r="D134" s="79" t="s">
        <v>17</v>
      </c>
      <c r="E134" s="3"/>
      <c r="F134" s="128">
        <f t="shared" ref="F134:F135" si="13">(G134)</f>
        <v>209.18362499999998</v>
      </c>
      <c r="G134" s="80">
        <f>(16734.69/8)/10</f>
        <v>209.18362499999998</v>
      </c>
      <c r="H134" s="81" t="s">
        <v>471</v>
      </c>
      <c r="I134" s="420" t="s">
        <v>472</v>
      </c>
      <c r="J134" s="282"/>
      <c r="K134" s="283"/>
      <c r="L134" s="283"/>
      <c r="M134" s="85"/>
      <c r="N134" s="85"/>
      <c r="O134" s="86"/>
      <c r="P134" s="107" t="s">
        <v>473</v>
      </c>
    </row>
    <row r="135" spans="1:16" ht="15.75" thickBot="1">
      <c r="A135" s="516" t="s">
        <v>474</v>
      </c>
      <c r="B135" s="133">
        <v>320900131</v>
      </c>
      <c r="C135" s="26" t="s">
        <v>136</v>
      </c>
      <c r="D135" s="79" t="s">
        <v>17</v>
      </c>
      <c r="E135" s="3"/>
      <c r="F135" s="244">
        <f t="shared" si="13"/>
        <v>255.10218750000001</v>
      </c>
      <c r="G135" s="89">
        <f>(8163.27/2)/16</f>
        <v>255.10218750000001</v>
      </c>
      <c r="H135" s="90" t="s">
        <v>471</v>
      </c>
      <c r="I135" s="427" t="s">
        <v>475</v>
      </c>
      <c r="J135" s="289"/>
      <c r="K135" s="188"/>
      <c r="L135" s="188"/>
      <c r="M135" s="93"/>
      <c r="N135" s="93"/>
      <c r="O135" s="94"/>
      <c r="P135" s="107" t="s">
        <v>476</v>
      </c>
    </row>
    <row r="136" spans="1:16" ht="15.75" thickBot="1">
      <c r="B136" s="453"/>
      <c r="C136" s="604"/>
      <c r="D136" s="605"/>
      <c r="E136" s="3"/>
      <c r="F136" s="455"/>
      <c r="G136" s="606"/>
      <c r="H136" s="606"/>
      <c r="I136" s="606"/>
      <c r="J136" s="606"/>
      <c r="K136" s="606"/>
      <c r="L136" s="606"/>
      <c r="M136" s="606"/>
      <c r="N136" s="606"/>
      <c r="O136" s="606"/>
      <c r="P136" s="606"/>
    </row>
    <row r="137" spans="1:16" ht="15.75" thickBot="1">
      <c r="A137" s="516" t="s">
        <v>477</v>
      </c>
      <c r="B137" s="133">
        <v>320900212</v>
      </c>
      <c r="C137" s="502" t="s">
        <v>137</v>
      </c>
      <c r="D137" s="79" t="s">
        <v>15</v>
      </c>
      <c r="E137" s="3"/>
      <c r="F137" s="68">
        <f>(G137)</f>
        <v>1045</v>
      </c>
      <c r="G137" s="61">
        <v>1045</v>
      </c>
      <c r="H137" s="290" t="s">
        <v>478</v>
      </c>
      <c r="I137" s="567" t="s">
        <v>625</v>
      </c>
      <c r="J137" s="270"/>
      <c r="K137" s="291"/>
      <c r="L137" s="292"/>
      <c r="M137" s="293"/>
      <c r="N137" s="293"/>
      <c r="O137" s="293"/>
      <c r="P137" s="77"/>
    </row>
    <row r="138" spans="1:16" ht="15.75" thickBot="1">
      <c r="B138" s="453"/>
      <c r="C138" s="604"/>
      <c r="D138" s="605"/>
      <c r="E138" s="3"/>
      <c r="F138" s="455"/>
      <c r="G138" s="606"/>
      <c r="H138" s="606"/>
      <c r="I138" s="606"/>
      <c r="J138" s="606"/>
      <c r="K138" s="606"/>
      <c r="L138" s="606"/>
      <c r="M138" s="606"/>
      <c r="N138" s="606"/>
      <c r="O138" s="606"/>
      <c r="P138" s="606"/>
    </row>
    <row r="139" spans="1:16" ht="15.75" thickBot="1">
      <c r="A139" s="516" t="s">
        <v>480</v>
      </c>
      <c r="B139" s="133">
        <v>320500044</v>
      </c>
      <c r="C139" s="26" t="s">
        <v>138</v>
      </c>
      <c r="D139" s="79" t="s">
        <v>63</v>
      </c>
      <c r="E139" s="3"/>
      <c r="F139" s="68">
        <f>+(G139+J139)/2</f>
        <v>445.35</v>
      </c>
      <c r="G139" s="83">
        <f>(4240/10)</f>
        <v>424</v>
      </c>
      <c r="H139" s="81" t="s">
        <v>481</v>
      </c>
      <c r="I139" s="424" t="s">
        <v>482</v>
      </c>
      <c r="J139" s="83">
        <f>4667/10</f>
        <v>466.7</v>
      </c>
      <c r="K139" s="515"/>
      <c r="L139" s="424" t="s">
        <v>599</v>
      </c>
      <c r="M139" s="85"/>
      <c r="N139" s="85"/>
      <c r="O139" s="86"/>
      <c r="P139" s="198" t="s">
        <v>483</v>
      </c>
    </row>
    <row r="140" spans="1:16" ht="15.75" thickBot="1">
      <c r="A140" s="516" t="s">
        <v>484</v>
      </c>
      <c r="B140" s="133">
        <v>320500031</v>
      </c>
      <c r="C140" s="26" t="s">
        <v>139</v>
      </c>
      <c r="D140" s="79" t="s">
        <v>63</v>
      </c>
      <c r="E140" s="3"/>
      <c r="F140" s="88">
        <f>(G140+J140)/2</f>
        <v>7842.5</v>
      </c>
      <c r="G140" s="89">
        <v>5400</v>
      </c>
      <c r="H140" s="90" t="s">
        <v>485</v>
      </c>
      <c r="I140" s="411" t="s">
        <v>486</v>
      </c>
      <c r="J140" s="92">
        <v>10285</v>
      </c>
      <c r="K140" s="90" t="s">
        <v>487</v>
      </c>
      <c r="L140" s="427" t="s">
        <v>488</v>
      </c>
      <c r="M140" s="294"/>
      <c r="N140" s="294"/>
      <c r="O140" s="188"/>
      <c r="P140" s="194"/>
    </row>
    <row r="141" spans="1:16" ht="15.75" thickBot="1">
      <c r="A141" s="516" t="s">
        <v>489</v>
      </c>
      <c r="B141" s="144">
        <v>321500066</v>
      </c>
      <c r="C141" s="14" t="s">
        <v>140</v>
      </c>
      <c r="D141" s="49" t="s">
        <v>141</v>
      </c>
      <c r="E141" s="3"/>
      <c r="F141" s="88">
        <f>(G141)</f>
        <v>129000</v>
      </c>
      <c r="G141" s="80">
        <v>129000</v>
      </c>
      <c r="H141" s="563"/>
      <c r="I141" s="564" t="s">
        <v>490</v>
      </c>
      <c r="J141" s="295"/>
      <c r="K141" s="126"/>
      <c r="L141" s="126"/>
      <c r="M141" s="126"/>
      <c r="N141" s="126"/>
      <c r="O141" s="296"/>
      <c r="P141" s="297" t="s">
        <v>491</v>
      </c>
    </row>
    <row r="142" spans="1:16" ht="15.75" thickBot="1">
      <c r="B142" s="453"/>
      <c r="C142" s="604"/>
      <c r="D142" s="605"/>
      <c r="E142" s="3"/>
      <c r="F142" s="457"/>
      <c r="G142" s="606"/>
      <c r="H142" s="606"/>
      <c r="I142" s="606"/>
      <c r="J142" s="606"/>
      <c r="K142" s="606"/>
      <c r="L142" s="606"/>
      <c r="M142" s="606"/>
      <c r="N142" s="606"/>
      <c r="O142" s="606"/>
      <c r="P142" s="606"/>
    </row>
    <row r="143" spans="1:16" ht="15.75" thickBot="1">
      <c r="A143" s="516" t="s">
        <v>492</v>
      </c>
      <c r="B143" s="133">
        <v>321600051</v>
      </c>
      <c r="C143" s="26" t="s">
        <v>142</v>
      </c>
      <c r="D143" s="79" t="s">
        <v>17</v>
      </c>
      <c r="E143" s="3"/>
      <c r="F143" s="50">
        <f>(G143+J143)/2</f>
        <v>309.779</v>
      </c>
      <c r="G143" s="80">
        <f>(1624/10)</f>
        <v>162.4</v>
      </c>
      <c r="H143" s="81" t="s">
        <v>298</v>
      </c>
      <c r="I143" s="424" t="s">
        <v>493</v>
      </c>
      <c r="J143" s="143">
        <f>(2285.79/5)</f>
        <v>457.15800000000002</v>
      </c>
      <c r="K143" s="110" t="s">
        <v>495</v>
      </c>
      <c r="L143" s="636" t="s">
        <v>496</v>
      </c>
      <c r="M143" s="637"/>
    </row>
    <row r="144" spans="1:16" ht="15.75" thickBot="1">
      <c r="A144" s="516" t="s">
        <v>497</v>
      </c>
      <c r="B144" s="133">
        <v>320900041</v>
      </c>
      <c r="C144" s="464" t="s">
        <v>143</v>
      </c>
      <c r="D144" s="79" t="s">
        <v>15</v>
      </c>
      <c r="E144" s="3"/>
      <c r="F144" s="60">
        <f>(G144)</f>
        <v>64.36</v>
      </c>
      <c r="G144" s="89">
        <f>(3218/50)</f>
        <v>64.36</v>
      </c>
      <c r="H144" s="90" t="s">
        <v>498</v>
      </c>
      <c r="I144" s="482" t="s">
        <v>605</v>
      </c>
      <c r="J144" s="514"/>
      <c r="K144" s="90"/>
      <c r="L144" s="188"/>
      <c r="M144" s="294"/>
      <c r="N144" s="294"/>
      <c r="O144" s="188"/>
      <c r="P144" s="298"/>
    </row>
    <row r="145" spans="1:16" ht="15.75" thickBot="1">
      <c r="B145" s="453"/>
      <c r="C145" s="604"/>
      <c r="D145" s="605"/>
      <c r="E145" s="3"/>
      <c r="F145" s="457"/>
      <c r="G145" s="606"/>
      <c r="H145" s="606"/>
      <c r="I145" s="606"/>
      <c r="J145" s="606"/>
      <c r="K145" s="606"/>
      <c r="L145" s="606"/>
      <c r="M145" s="606"/>
      <c r="N145" s="606"/>
      <c r="O145" s="606"/>
      <c r="P145" s="606"/>
    </row>
    <row r="146" spans="1:16" ht="15.75" thickBot="1">
      <c r="A146" s="516" t="s">
        <v>499</v>
      </c>
      <c r="B146" s="144">
        <v>321500062</v>
      </c>
      <c r="C146" s="19" t="s">
        <v>144</v>
      </c>
      <c r="D146" s="101" t="s">
        <v>63</v>
      </c>
      <c r="E146" s="3"/>
      <c r="F146" s="68">
        <f>(G146)</f>
        <v>75510.2</v>
      </c>
      <c r="G146" s="61">
        <v>75510.2</v>
      </c>
      <c r="H146" s="134" t="s">
        <v>220</v>
      </c>
      <c r="I146" s="640" t="s">
        <v>500</v>
      </c>
      <c r="J146" s="632"/>
      <c r="K146" s="632"/>
      <c r="L146" s="632"/>
      <c r="M146" s="632"/>
      <c r="N146" s="632"/>
      <c r="O146" s="632"/>
      <c r="P146" s="633"/>
    </row>
    <row r="147" spans="1:16" ht="15.75" thickBot="1">
      <c r="B147" s="453"/>
      <c r="C147" s="604" t="s">
        <v>145</v>
      </c>
      <c r="D147" s="605"/>
      <c r="E147" s="3"/>
      <c r="F147" s="457"/>
      <c r="G147" s="606"/>
      <c r="H147" s="606"/>
      <c r="I147" s="606"/>
      <c r="J147" s="606"/>
      <c r="K147" s="606"/>
      <c r="L147" s="606"/>
      <c r="M147" s="606"/>
      <c r="N147" s="606"/>
      <c r="O147" s="606"/>
      <c r="P147" s="606"/>
    </row>
    <row r="148" spans="1:16" ht="15.75" thickBot="1">
      <c r="B148" s="48">
        <v>3211000211</v>
      </c>
      <c r="C148" s="464" t="s">
        <v>146</v>
      </c>
      <c r="D148" s="196" t="s">
        <v>17</v>
      </c>
      <c r="E148" s="3"/>
      <c r="F148" s="460"/>
      <c r="G148" s="600" t="s">
        <v>501</v>
      </c>
      <c r="H148" s="582"/>
      <c r="I148" s="582"/>
      <c r="J148" s="582"/>
      <c r="K148" s="582"/>
      <c r="L148" s="582"/>
      <c r="M148" s="582"/>
      <c r="N148" s="582"/>
      <c r="O148" s="582"/>
      <c r="P148" s="583"/>
    </row>
    <row r="149" spans="1:16" ht="15.75" thickBot="1">
      <c r="B149" s="48">
        <v>3211000212</v>
      </c>
      <c r="C149" s="74" t="s">
        <v>147</v>
      </c>
      <c r="D149" s="196" t="s">
        <v>15</v>
      </c>
      <c r="E149" s="3"/>
      <c r="F149" s="68">
        <f>+(G149+J149)/2</f>
        <v>182.5</v>
      </c>
      <c r="G149" s="61">
        <v>270</v>
      </c>
      <c r="H149" s="526" t="s">
        <v>614</v>
      </c>
      <c r="I149" s="542" t="s">
        <v>613</v>
      </c>
      <c r="J149" s="531">
        <v>95</v>
      </c>
      <c r="K149" s="522"/>
      <c r="L149" s="529" t="s">
        <v>432</v>
      </c>
      <c r="M149" s="522"/>
      <c r="N149" s="522"/>
      <c r="O149" s="522"/>
      <c r="P149" s="527"/>
    </row>
    <row r="150" spans="1:16" ht="15.75" thickBot="1">
      <c r="B150" s="453"/>
      <c r="C150" s="604" t="s">
        <v>148</v>
      </c>
      <c r="D150" s="605"/>
      <c r="E150" s="3"/>
      <c r="F150" s="457"/>
      <c r="G150" s="606"/>
      <c r="H150" s="606"/>
      <c r="I150" s="606"/>
      <c r="J150" s="606"/>
      <c r="K150" s="606"/>
      <c r="L150" s="606"/>
      <c r="M150" s="606"/>
      <c r="N150" s="606"/>
      <c r="O150" s="606"/>
      <c r="P150" s="606"/>
    </row>
    <row r="151" spans="1:16" ht="15.75" thickBot="1">
      <c r="A151" s="516" t="s">
        <v>502</v>
      </c>
      <c r="B151" s="595">
        <v>32130006</v>
      </c>
      <c r="C151" s="533" t="s">
        <v>149</v>
      </c>
      <c r="D151" s="101" t="s">
        <v>15</v>
      </c>
      <c r="E151" s="3"/>
      <c r="F151" s="246">
        <f>G151</f>
        <v>210</v>
      </c>
      <c r="G151" s="247">
        <v>210</v>
      </c>
      <c r="H151" s="638"/>
      <c r="I151" s="447" t="s">
        <v>503</v>
      </c>
      <c r="J151" s="300"/>
      <c r="K151" s="299"/>
      <c r="L151" s="299"/>
      <c r="M151" s="520"/>
      <c r="N151" s="520"/>
      <c r="O151" s="234"/>
      <c r="P151" s="243"/>
    </row>
    <row r="152" spans="1:16" ht="15.75" thickBot="1">
      <c r="A152" s="516" t="s">
        <v>504</v>
      </c>
      <c r="B152" s="597"/>
      <c r="C152" s="105" t="s">
        <v>150</v>
      </c>
      <c r="D152" s="301" t="s">
        <v>17</v>
      </c>
      <c r="E152" s="3"/>
      <c r="F152" s="246">
        <f>(G152)</f>
        <v>120</v>
      </c>
      <c r="G152" s="247">
        <v>120</v>
      </c>
      <c r="H152" s="573"/>
      <c r="I152" s="447" t="s">
        <v>503</v>
      </c>
      <c r="J152" s="302"/>
      <c r="K152" s="303"/>
      <c r="L152" s="303"/>
      <c r="M152" s="304"/>
      <c r="N152" s="304"/>
      <c r="O152" s="305"/>
      <c r="P152" s="95"/>
    </row>
    <row r="153" spans="1:16" ht="15.75" thickBot="1">
      <c r="A153" s="516" t="s">
        <v>505</v>
      </c>
      <c r="B153" s="595">
        <v>322300033</v>
      </c>
      <c r="C153" s="19" t="s">
        <v>506</v>
      </c>
      <c r="D153" s="101" t="s">
        <v>15</v>
      </c>
      <c r="E153" s="3"/>
      <c r="F153" s="465">
        <f>G153</f>
        <v>763.26499999999999</v>
      </c>
      <c r="G153" s="466">
        <f>(7632.65/10)</f>
        <v>763.26499999999999</v>
      </c>
      <c r="H153" s="467" t="s">
        <v>507</v>
      </c>
      <c r="I153" s="468" t="s">
        <v>508</v>
      </c>
      <c r="J153" s="639"/>
      <c r="K153" s="639"/>
      <c r="L153" s="639"/>
      <c r="M153" s="643"/>
    </row>
    <row r="154" spans="1:16" ht="15.75" thickBot="1">
      <c r="A154" s="516" t="s">
        <v>510</v>
      </c>
      <c r="B154" s="596"/>
      <c r="C154" s="418" t="s">
        <v>511</v>
      </c>
      <c r="D154" s="101" t="s">
        <v>15</v>
      </c>
      <c r="E154" s="3"/>
      <c r="F154" s="465">
        <f t="shared" ref="F154:F155" si="14">G154</f>
        <v>763.26499999999999</v>
      </c>
      <c r="G154" s="466">
        <f>(7632.65/10)</f>
        <v>763.26499999999999</v>
      </c>
      <c r="H154" s="467" t="s">
        <v>507</v>
      </c>
      <c r="I154" s="468" t="s">
        <v>508</v>
      </c>
      <c r="J154" s="572"/>
      <c r="K154" s="572"/>
      <c r="L154" s="572"/>
      <c r="M154" s="644"/>
    </row>
    <row r="155" spans="1:16" ht="15.75" thickBot="1">
      <c r="A155" s="516" t="s">
        <v>512</v>
      </c>
      <c r="B155" s="596"/>
      <c r="C155" s="19" t="s">
        <v>513</v>
      </c>
      <c r="D155" s="101" t="s">
        <v>15</v>
      </c>
      <c r="E155" s="3"/>
      <c r="F155" s="465">
        <f t="shared" si="14"/>
        <v>763.26499999999999</v>
      </c>
      <c r="G155" s="466">
        <f>(7632.65/10)</f>
        <v>763.26499999999999</v>
      </c>
      <c r="H155" s="467" t="s">
        <v>507</v>
      </c>
      <c r="I155" s="468" t="s">
        <v>508</v>
      </c>
      <c r="J155" s="573"/>
      <c r="K155" s="573"/>
      <c r="L155" s="573"/>
      <c r="M155" s="645"/>
    </row>
    <row r="156" spans="1:16" ht="15.75" thickBot="1">
      <c r="A156" s="516" t="s">
        <v>514</v>
      </c>
      <c r="B156" s="596"/>
      <c r="C156" s="139" t="s">
        <v>515</v>
      </c>
      <c r="D156" s="306" t="s">
        <v>15</v>
      </c>
      <c r="E156" s="3"/>
      <c r="F156" s="60">
        <f t="shared" ref="F156:F157" si="15">(G156)</f>
        <v>763.26499999999999</v>
      </c>
      <c r="G156" s="111">
        <f>(7632.65/10)</f>
        <v>763.26499999999999</v>
      </c>
      <c r="H156" s="307" t="s">
        <v>507</v>
      </c>
      <c r="I156" s="448" t="s">
        <v>516</v>
      </c>
      <c r="J156" s="308"/>
      <c r="K156" s="309"/>
      <c r="L156" s="285"/>
      <c r="M156" s="310"/>
      <c r="N156" s="310"/>
      <c r="O156" s="285"/>
      <c r="P156" s="311"/>
    </row>
    <row r="157" spans="1:16" ht="15.75" thickBot="1">
      <c r="A157" s="516" t="s">
        <v>517</v>
      </c>
      <c r="B157" s="597"/>
      <c r="C157" s="19" t="s">
        <v>518</v>
      </c>
      <c r="D157" s="101" t="s">
        <v>15</v>
      </c>
      <c r="E157" s="3"/>
      <c r="F157" s="60">
        <f t="shared" si="15"/>
        <v>1015.3059999999999</v>
      </c>
      <c r="G157" s="89">
        <f>(10153.06/10)</f>
        <v>1015.3059999999999</v>
      </c>
      <c r="H157" s="307" t="s">
        <v>507</v>
      </c>
      <c r="I157" s="448" t="s">
        <v>519</v>
      </c>
      <c r="J157" s="308"/>
      <c r="K157" s="309"/>
      <c r="L157" s="285"/>
      <c r="M157" s="310"/>
      <c r="N157" s="310"/>
      <c r="O157" s="285"/>
      <c r="P157" s="311"/>
    </row>
    <row r="158" spans="1:16" ht="15.75" thickBot="1">
      <c r="A158" s="516" t="s">
        <v>520</v>
      </c>
      <c r="B158" s="133">
        <v>322300054</v>
      </c>
      <c r="C158" s="559" t="s">
        <v>152</v>
      </c>
      <c r="D158" s="79" t="s">
        <v>17</v>
      </c>
      <c r="E158" s="3"/>
      <c r="F158" s="60">
        <f>G158</f>
        <v>130.6122</v>
      </c>
      <c r="G158" s="89">
        <f>(6530.61/50)</f>
        <v>130.6122</v>
      </c>
      <c r="H158" s="90" t="s">
        <v>189</v>
      </c>
      <c r="I158" s="411" t="s">
        <v>521</v>
      </c>
      <c r="M158" s="294"/>
      <c r="N158" s="294"/>
      <c r="O158" s="188"/>
      <c r="P158" s="298"/>
    </row>
    <row r="159" spans="1:16" ht="15.75" thickBot="1">
      <c r="B159" s="453"/>
      <c r="C159" s="604" t="s">
        <v>153</v>
      </c>
      <c r="D159" s="605"/>
      <c r="E159" s="3"/>
      <c r="F159" s="458"/>
      <c r="G159" s="606"/>
      <c r="H159" s="606"/>
      <c r="I159" s="606"/>
      <c r="J159" s="606"/>
      <c r="K159" s="606"/>
      <c r="L159" s="606"/>
      <c r="M159" s="606"/>
      <c r="N159" s="606"/>
      <c r="O159" s="606"/>
      <c r="P159" s="606"/>
    </row>
    <row r="160" spans="1:16" ht="15.75" thickBot="1">
      <c r="A160" s="516" t="s">
        <v>523</v>
      </c>
      <c r="B160" s="607">
        <v>32020006</v>
      </c>
      <c r="C160" s="26" t="s">
        <v>154</v>
      </c>
      <c r="D160" s="79" t="s">
        <v>63</v>
      </c>
      <c r="E160" s="3"/>
      <c r="F160" s="128">
        <f t="shared" ref="F160:F162" si="16">+(G160+J160)/2</f>
        <v>632.5</v>
      </c>
      <c r="G160" s="312">
        <v>737</v>
      </c>
      <c r="H160" s="81" t="s">
        <v>524</v>
      </c>
      <c r="I160" s="420" t="s">
        <v>525</v>
      </c>
      <c r="J160" s="83">
        <f>3168/6</f>
        <v>528</v>
      </c>
      <c r="K160" s="55" t="s">
        <v>526</v>
      </c>
      <c r="L160" s="420" t="s">
        <v>527</v>
      </c>
      <c r="M160" s="85"/>
      <c r="N160" s="85"/>
      <c r="O160" s="86"/>
      <c r="P160" s="107" t="s">
        <v>528</v>
      </c>
    </row>
    <row r="161" spans="1:16" ht="15.75" thickBot="1">
      <c r="A161" s="516" t="s">
        <v>529</v>
      </c>
      <c r="B161" s="596"/>
      <c r="C161" s="26" t="s">
        <v>155</v>
      </c>
      <c r="D161" s="79" t="s">
        <v>63</v>
      </c>
      <c r="E161" s="3"/>
      <c r="F161" s="108">
        <f t="shared" si="16"/>
        <v>875.83333333333326</v>
      </c>
      <c r="G161" s="111">
        <v>1085</v>
      </c>
      <c r="H161" s="112" t="s">
        <v>530</v>
      </c>
      <c r="I161" s="428" t="s">
        <v>600</v>
      </c>
      <c r="J161" s="114">
        <f>+(4000/6)</f>
        <v>666.66666666666663</v>
      </c>
      <c r="K161" s="90" t="s">
        <v>220</v>
      </c>
      <c r="L161" s="428" t="s">
        <v>531</v>
      </c>
      <c r="M161" s="74"/>
      <c r="N161" s="74"/>
      <c r="O161" s="192"/>
      <c r="P161" s="313"/>
    </row>
    <row r="162" spans="1:16" ht="15.75" thickBot="1">
      <c r="A162" s="516" t="s">
        <v>532</v>
      </c>
      <c r="B162" s="597"/>
      <c r="C162" s="26" t="s">
        <v>156</v>
      </c>
      <c r="D162" s="79" t="s">
        <v>63</v>
      </c>
      <c r="E162" s="3"/>
      <c r="F162" s="244">
        <f t="shared" si="16"/>
        <v>1030.1666666666665</v>
      </c>
      <c r="G162" s="89">
        <f>8330/6</f>
        <v>1388.3333333333333</v>
      </c>
      <c r="H162" s="90" t="s">
        <v>220</v>
      </c>
      <c r="I162" s="427" t="s">
        <v>533</v>
      </c>
      <c r="J162" s="83">
        <v>672</v>
      </c>
      <c r="K162" s="55" t="s">
        <v>220</v>
      </c>
      <c r="L162" s="420" t="s">
        <v>534</v>
      </c>
      <c r="M162" s="93"/>
      <c r="N162" s="93"/>
      <c r="O162" s="94"/>
      <c r="P162" s="107" t="s">
        <v>535</v>
      </c>
    </row>
    <row r="163" spans="1:16" ht="15.75" thickBot="1">
      <c r="B163" s="463"/>
      <c r="C163" s="604"/>
      <c r="D163" s="605"/>
      <c r="E163" s="3"/>
      <c r="F163" s="455"/>
      <c r="G163" s="606"/>
      <c r="H163" s="606"/>
      <c r="I163" s="606"/>
      <c r="J163" s="606"/>
      <c r="K163" s="606"/>
      <c r="L163" s="606"/>
      <c r="M163" s="606"/>
      <c r="N163" s="606"/>
      <c r="O163" s="606"/>
      <c r="P163" s="606"/>
    </row>
    <row r="164" spans="1:16" ht="15.75" thickBot="1">
      <c r="A164" s="516" t="s">
        <v>536</v>
      </c>
      <c r="B164" s="133">
        <v>320900052</v>
      </c>
      <c r="C164" s="26" t="s">
        <v>157</v>
      </c>
      <c r="D164" s="79" t="s">
        <v>17</v>
      </c>
      <c r="E164" s="3"/>
      <c r="F164" s="68">
        <f>(G164+J164+M164)/3</f>
        <v>4494.3066666666664</v>
      </c>
      <c r="G164" s="61">
        <v>2057</v>
      </c>
      <c r="H164" s="134" t="s">
        <v>537</v>
      </c>
      <c r="I164" s="413" t="s">
        <v>538</v>
      </c>
      <c r="J164" s="69">
        <v>8979.59</v>
      </c>
      <c r="K164" s="134" t="s">
        <v>539</v>
      </c>
      <c r="L164" s="419" t="s">
        <v>540</v>
      </c>
      <c r="M164" s="152">
        <v>2446.33</v>
      </c>
      <c r="N164" s="156" t="s">
        <v>541</v>
      </c>
      <c r="O164" s="642" t="s">
        <v>542</v>
      </c>
      <c r="P164" s="633"/>
    </row>
    <row r="165" spans="1:16" ht="15.75" thickBot="1">
      <c r="B165" s="453"/>
      <c r="C165" s="604"/>
      <c r="D165" s="605"/>
      <c r="E165" s="3"/>
      <c r="F165" s="457"/>
      <c r="G165" s="606"/>
      <c r="H165" s="606"/>
      <c r="I165" s="606"/>
      <c r="J165" s="606"/>
      <c r="K165" s="606"/>
      <c r="L165" s="606"/>
      <c r="M165" s="606"/>
      <c r="N165" s="606"/>
      <c r="O165" s="606"/>
      <c r="P165" s="606"/>
    </row>
    <row r="166" spans="1:16" ht="15.75" thickBot="1">
      <c r="A166" s="516" t="s">
        <v>543</v>
      </c>
      <c r="B166" s="48">
        <v>3212000815</v>
      </c>
      <c r="C166" s="14" t="s">
        <v>158</v>
      </c>
      <c r="D166" s="49" t="s">
        <v>17</v>
      </c>
      <c r="E166" s="3"/>
      <c r="F166" s="68">
        <f>(G166)</f>
        <v>2653.06</v>
      </c>
      <c r="G166" s="61">
        <v>2653.06</v>
      </c>
      <c r="H166" s="134" t="s">
        <v>544</v>
      </c>
      <c r="I166" s="565" t="s">
        <v>545</v>
      </c>
      <c r="J166" s="314"/>
      <c r="K166" s="176"/>
      <c r="L166" s="176"/>
      <c r="M166" s="177"/>
      <c r="N166" s="177"/>
      <c r="O166" s="176"/>
      <c r="P166" s="178"/>
    </row>
    <row r="167" spans="1:16" ht="15.75" thickBot="1">
      <c r="B167" s="48">
        <v>321200332</v>
      </c>
      <c r="C167" s="464" t="s">
        <v>159</v>
      </c>
      <c r="D167" s="196" t="s">
        <v>15</v>
      </c>
      <c r="F167" s="460"/>
      <c r="G167" s="600" t="s">
        <v>350</v>
      </c>
      <c r="H167" s="582"/>
      <c r="I167" s="582"/>
      <c r="J167" s="582"/>
      <c r="K167" s="582"/>
      <c r="L167" s="582"/>
      <c r="M167" s="582"/>
      <c r="N167" s="582"/>
      <c r="O167" s="582"/>
      <c r="P167" s="583"/>
    </row>
    <row r="168" spans="1:16" ht="15.75" thickBot="1">
      <c r="B168" s="453"/>
      <c r="C168" s="604" t="s">
        <v>160</v>
      </c>
      <c r="D168" s="605"/>
      <c r="E168" s="3"/>
      <c r="F168" s="457"/>
      <c r="G168" s="606"/>
      <c r="H168" s="606"/>
      <c r="I168" s="606"/>
      <c r="J168" s="606"/>
      <c r="K168" s="606"/>
      <c r="L168" s="606"/>
      <c r="M168" s="606"/>
      <c r="N168" s="606"/>
      <c r="O168" s="606"/>
      <c r="P168" s="606"/>
    </row>
    <row r="169" spans="1:16" ht="15.75" thickBot="1">
      <c r="A169" s="516" t="s">
        <v>546</v>
      </c>
      <c r="B169" s="607">
        <v>32060005</v>
      </c>
      <c r="C169" s="26" t="s">
        <v>161</v>
      </c>
      <c r="D169" s="315" t="s">
        <v>33</v>
      </c>
      <c r="E169" s="3"/>
      <c r="F169" s="50">
        <f t="shared" ref="F169:F173" si="17">((G169+J169)/2)</f>
        <v>717</v>
      </c>
      <c r="G169" s="80">
        <v>500</v>
      </c>
      <c r="H169" s="81" t="s">
        <v>216</v>
      </c>
      <c r="I169" s="424" t="s">
        <v>547</v>
      </c>
      <c r="J169" s="83">
        <v>934</v>
      </c>
      <c r="K169" s="81" t="s">
        <v>216</v>
      </c>
      <c r="L169" s="424" t="s">
        <v>548</v>
      </c>
      <c r="M169" s="85"/>
      <c r="N169" s="85"/>
      <c r="O169" s="86"/>
      <c r="P169" s="107" t="s">
        <v>549</v>
      </c>
    </row>
    <row r="170" spans="1:16" ht="15.75" thickBot="1">
      <c r="A170" s="516" t="s">
        <v>550</v>
      </c>
      <c r="B170" s="596"/>
      <c r="C170" s="26" t="s">
        <v>162</v>
      </c>
      <c r="D170" s="315" t="s">
        <v>33</v>
      </c>
      <c r="E170" s="3"/>
      <c r="F170" s="88">
        <f t="shared" si="17"/>
        <v>976.5</v>
      </c>
      <c r="G170" s="111">
        <v>1273</v>
      </c>
      <c r="H170" s="112" t="s">
        <v>216</v>
      </c>
      <c r="I170" s="426" t="s">
        <v>551</v>
      </c>
      <c r="J170" s="114">
        <v>680</v>
      </c>
      <c r="K170" s="112" t="s">
        <v>216</v>
      </c>
      <c r="L170" s="426" t="s">
        <v>552</v>
      </c>
      <c r="M170" s="74"/>
      <c r="N170" s="74"/>
      <c r="O170" s="140"/>
      <c r="P170" s="107" t="s">
        <v>553</v>
      </c>
    </row>
    <row r="171" spans="1:16" ht="16.5" thickBot="1">
      <c r="A171" s="516" t="s">
        <v>554</v>
      </c>
      <c r="B171" s="597"/>
      <c r="C171" s="26" t="s">
        <v>163</v>
      </c>
      <c r="D171" s="315" t="s">
        <v>33</v>
      </c>
      <c r="E171" s="316"/>
      <c r="F171" s="88">
        <f t="shared" si="17"/>
        <v>1279</v>
      </c>
      <c r="G171" s="111">
        <v>1668</v>
      </c>
      <c r="H171" s="112" t="s">
        <v>216</v>
      </c>
      <c r="I171" s="426" t="s">
        <v>555</v>
      </c>
      <c r="J171" s="114">
        <v>890</v>
      </c>
      <c r="K171" s="112" t="s">
        <v>216</v>
      </c>
      <c r="L171" s="426" t="s">
        <v>556</v>
      </c>
      <c r="M171" s="74"/>
      <c r="N171" s="74"/>
      <c r="O171" s="140"/>
      <c r="P171" s="107" t="s">
        <v>557</v>
      </c>
    </row>
    <row r="172" spans="1:16" ht="16.5" thickBot="1">
      <c r="A172" s="516" t="s">
        <v>558</v>
      </c>
      <c r="B172" s="607">
        <v>32020004</v>
      </c>
      <c r="C172" s="26" t="s">
        <v>164</v>
      </c>
      <c r="D172" s="315" t="s">
        <v>63</v>
      </c>
      <c r="E172" s="316"/>
      <c r="F172" s="88">
        <f t="shared" si="17"/>
        <v>131.5</v>
      </c>
      <c r="G172" s="111">
        <v>120</v>
      </c>
      <c r="H172" s="317" t="s">
        <v>559</v>
      </c>
      <c r="I172" s="426" t="s">
        <v>560</v>
      </c>
      <c r="J172" s="114">
        <v>143</v>
      </c>
      <c r="K172" s="112" t="s">
        <v>561</v>
      </c>
      <c r="L172" s="428" t="s">
        <v>562</v>
      </c>
      <c r="M172" s="318"/>
      <c r="N172" s="318"/>
      <c r="O172" s="191"/>
      <c r="P172" s="319"/>
    </row>
    <row r="173" spans="1:16" ht="15.75" thickBot="1">
      <c r="A173" s="516" t="s">
        <v>563</v>
      </c>
      <c r="B173" s="641"/>
      <c r="C173" s="320" t="s">
        <v>165</v>
      </c>
      <c r="D173" s="321" t="s">
        <v>63</v>
      </c>
      <c r="E173" s="3"/>
      <c r="F173" s="88">
        <f t="shared" si="17"/>
        <v>169</v>
      </c>
      <c r="G173" s="322">
        <v>170</v>
      </c>
      <c r="H173" s="323" t="s">
        <v>559</v>
      </c>
      <c r="I173" s="449" t="s">
        <v>564</v>
      </c>
      <c r="J173" s="324">
        <v>168</v>
      </c>
      <c r="K173" s="325" t="s">
        <v>561</v>
      </c>
      <c r="L173" s="450" t="s">
        <v>565</v>
      </c>
      <c r="M173" s="327"/>
      <c r="N173" s="327"/>
      <c r="O173" s="326"/>
      <c r="P173" s="328"/>
    </row>
  </sheetData>
  <mergeCells count="158">
    <mergeCell ref="B6:D6"/>
    <mergeCell ref="F6:P6"/>
    <mergeCell ref="C7:D7"/>
    <mergeCell ref="F7:P7"/>
    <mergeCell ref="B9:B14"/>
    <mergeCell ref="C1:Q1"/>
    <mergeCell ref="B3:C3"/>
    <mergeCell ref="D3:E3"/>
    <mergeCell ref="F3:G3"/>
    <mergeCell ref="H3:I3"/>
    <mergeCell ref="J3:K3"/>
    <mergeCell ref="L3:M3"/>
    <mergeCell ref="N3:O3"/>
    <mergeCell ref="P3:Q3"/>
    <mergeCell ref="C21:D21"/>
    <mergeCell ref="G21:P21"/>
    <mergeCell ref="B22:B23"/>
    <mergeCell ref="I22:M22"/>
    <mergeCell ref="O23:P23"/>
    <mergeCell ref="B24:B25"/>
    <mergeCell ref="C15:D15"/>
    <mergeCell ref="G15:P15"/>
    <mergeCell ref="B16:B17"/>
    <mergeCell ref="C18:D18"/>
    <mergeCell ref="G18:P18"/>
    <mergeCell ref="B19:B20"/>
    <mergeCell ref="B36:B37"/>
    <mergeCell ref="O36:P36"/>
    <mergeCell ref="G37:P37"/>
    <mergeCell ref="C26:D26"/>
    <mergeCell ref="G26:P26"/>
    <mergeCell ref="B27:B28"/>
    <mergeCell ref="O27:P27"/>
    <mergeCell ref="O28:P28"/>
    <mergeCell ref="C29:D29"/>
    <mergeCell ref="G29:P29"/>
    <mergeCell ref="L38:P38"/>
    <mergeCell ref="C39:D39"/>
    <mergeCell ref="G39:P39"/>
    <mergeCell ref="C40:D40"/>
    <mergeCell ref="G40:P40"/>
    <mergeCell ref="C42:D42"/>
    <mergeCell ref="G42:Q42"/>
    <mergeCell ref="C31:D31"/>
    <mergeCell ref="G31:P31"/>
    <mergeCell ref="C35:D35"/>
    <mergeCell ref="G35:P35"/>
    <mergeCell ref="C44:D44"/>
    <mergeCell ref="G44:P44"/>
    <mergeCell ref="C46:D46"/>
    <mergeCell ref="G46:P46"/>
    <mergeCell ref="B47:B51"/>
    <mergeCell ref="L47:P47"/>
    <mergeCell ref="L48:P48"/>
    <mergeCell ref="L50:P50"/>
    <mergeCell ref="L51:P51"/>
    <mergeCell ref="B57:B58"/>
    <mergeCell ref="C59:D59"/>
    <mergeCell ref="G59:P59"/>
    <mergeCell ref="C61:D61"/>
    <mergeCell ref="G61:P61"/>
    <mergeCell ref="C63:D63"/>
    <mergeCell ref="G63:P63"/>
    <mergeCell ref="C52:D52"/>
    <mergeCell ref="G52:P52"/>
    <mergeCell ref="C54:D54"/>
    <mergeCell ref="G54:P54"/>
    <mergeCell ref="C56:D56"/>
    <mergeCell ref="G56:P56"/>
    <mergeCell ref="C73:D73"/>
    <mergeCell ref="G73:P73"/>
    <mergeCell ref="G74:P74"/>
    <mergeCell ref="C75:D75"/>
    <mergeCell ref="G75:P75"/>
    <mergeCell ref="B76:B78"/>
    <mergeCell ref="C65:D65"/>
    <mergeCell ref="G65:P65"/>
    <mergeCell ref="C69:D69"/>
    <mergeCell ref="G69:P69"/>
    <mergeCell ref="C71:D71"/>
    <mergeCell ref="G71:P71"/>
    <mergeCell ref="C84:D84"/>
    <mergeCell ref="G84:P84"/>
    <mergeCell ref="B85:B86"/>
    <mergeCell ref="C88:D88"/>
    <mergeCell ref="G88:P88"/>
    <mergeCell ref="C90:D90"/>
    <mergeCell ref="G90:P90"/>
    <mergeCell ref="C79:D79"/>
    <mergeCell ref="G79:P79"/>
    <mergeCell ref="C82:D82"/>
    <mergeCell ref="G82:P82"/>
    <mergeCell ref="C104:D104"/>
    <mergeCell ref="G104:P104"/>
    <mergeCell ref="G105:P105"/>
    <mergeCell ref="C106:D106"/>
    <mergeCell ref="G106:P106"/>
    <mergeCell ref="B107:B111"/>
    <mergeCell ref="C94:D94"/>
    <mergeCell ref="G94:P94"/>
    <mergeCell ref="B95:B99"/>
    <mergeCell ref="G100:P100"/>
    <mergeCell ref="L101:P101"/>
    <mergeCell ref="C102:D102"/>
    <mergeCell ref="G102:P102"/>
    <mergeCell ref="B118:B119"/>
    <mergeCell ref="B120:B123"/>
    <mergeCell ref="C124:D124"/>
    <mergeCell ref="G124:P124"/>
    <mergeCell ref="C126:D126"/>
    <mergeCell ref="G126:P126"/>
    <mergeCell ref="C112:D112"/>
    <mergeCell ref="G112:P112"/>
    <mergeCell ref="L113:P113"/>
    <mergeCell ref="C114:D114"/>
    <mergeCell ref="G114:P114"/>
    <mergeCell ref="B115:B117"/>
    <mergeCell ref="G125:P125"/>
    <mergeCell ref="C138:D138"/>
    <mergeCell ref="G138:P138"/>
    <mergeCell ref="C142:D142"/>
    <mergeCell ref="G142:P142"/>
    <mergeCell ref="L143:M143"/>
    <mergeCell ref="C145:D145"/>
    <mergeCell ref="G145:P145"/>
    <mergeCell ref="B127:B129"/>
    <mergeCell ref="C131:D131"/>
    <mergeCell ref="G131:P131"/>
    <mergeCell ref="C133:D133"/>
    <mergeCell ref="G133:P133"/>
    <mergeCell ref="C136:D136"/>
    <mergeCell ref="G136:P136"/>
    <mergeCell ref="B151:B152"/>
    <mergeCell ref="H151:H152"/>
    <mergeCell ref="B153:B157"/>
    <mergeCell ref="J153:J155"/>
    <mergeCell ref="K153:K155"/>
    <mergeCell ref="I146:P146"/>
    <mergeCell ref="C147:D147"/>
    <mergeCell ref="G147:P147"/>
    <mergeCell ref="G148:P148"/>
    <mergeCell ref="C150:D150"/>
    <mergeCell ref="G150:P150"/>
    <mergeCell ref="B169:B171"/>
    <mergeCell ref="B172:B173"/>
    <mergeCell ref="O164:P164"/>
    <mergeCell ref="C165:D165"/>
    <mergeCell ref="G165:P165"/>
    <mergeCell ref="G167:P167"/>
    <mergeCell ref="C168:D168"/>
    <mergeCell ref="G168:P168"/>
    <mergeCell ref="L153:L155"/>
    <mergeCell ref="M153:M155"/>
    <mergeCell ref="C159:D159"/>
    <mergeCell ref="G159:P159"/>
    <mergeCell ref="B160:B162"/>
    <mergeCell ref="C163:D163"/>
    <mergeCell ref="G163:P163"/>
  </mergeCells>
  <hyperlinks>
    <hyperlink ref="I8" r:id="rId1"/>
    <hyperlink ref="L8" r:id="rId2"/>
    <hyperlink ref="I9" r:id="rId3"/>
    <hyperlink ref="I11" r:id="rId4"/>
    <hyperlink ref="L11" r:id="rId5"/>
    <hyperlink ref="I13" r:id="rId6"/>
    <hyperlink ref="I16" r:id="rId7"/>
    <hyperlink ref="I17" r:id="rId8"/>
    <hyperlink ref="I19" r:id="rId9"/>
    <hyperlink ref="L19" r:id="rId10"/>
    <hyperlink ref="O19" r:id="rId11"/>
    <hyperlink ref="I20" r:id="rId12"/>
    <hyperlink ref="L20" r:id="rId13"/>
    <hyperlink ref="I22" r:id="rId14" location="position=1&amp;search_layout=stack&amp;type=item&amp;tracking_id=5aa2351b-d0ee-4e1b-af50-92b53d2c6d2d"/>
    <hyperlink ref="I23" r:id="rId15"/>
    <hyperlink ref="L23" r:id="rId16"/>
    <hyperlink ref="O23" r:id="rId17" location="position=3&amp;search_layout=stack&amp;type=item&amp;tracking_id=122e6606-c91c-4169-9433-c2fafd512ba0"/>
    <hyperlink ref="I24" r:id="rId18"/>
    <hyperlink ref="L24" r:id="rId19"/>
    <hyperlink ref="O24" r:id="rId20" location="position=4&amp;search_layout=stack&amp;type=item&amp;tracking_id=77054436-6e98-4191-b4ee-f45c3346c70f"/>
    <hyperlink ref="I25" r:id="rId21"/>
    <hyperlink ref="I27" r:id="rId22" location="position=1&amp;search_layout=stack&amp;type=item&amp;tracking_id=ec7797df-3e4d-4220-90cc-6644425bf5a2"/>
    <hyperlink ref="L27" r:id="rId23"/>
    <hyperlink ref="O27" r:id="rId24"/>
    <hyperlink ref="L28" r:id="rId25"/>
    <hyperlink ref="O28" r:id="rId26"/>
    <hyperlink ref="I30" r:id="rId27" location="position=1&amp;search_layout=stack&amp;type=item&amp;tracking_id=26c9d2d1-aa72-46b5-bfd4-c6383639bad9"/>
    <hyperlink ref="I32" r:id="rId28"/>
    <hyperlink ref="L32" r:id="rId29"/>
    <hyperlink ref="I33" r:id="rId30"/>
    <hyperlink ref="L33" r:id="rId31"/>
    <hyperlink ref="I34" r:id="rId32"/>
    <hyperlink ref="L34" r:id="rId33"/>
    <hyperlink ref="I36" r:id="rId34"/>
    <hyperlink ref="L36" r:id="rId35"/>
    <hyperlink ref="O36" r:id="rId36" location="position=23&amp;search_layout=stack&amp;type=item&amp;tracking_id=bcf55261-9a5b-4a18-86a6-4b12314ccceb"/>
    <hyperlink ref="I38" r:id="rId37"/>
    <hyperlink ref="L38" r:id="rId38"/>
    <hyperlink ref="I41" r:id="rId39" location="position=1&amp;search_layout=stack&amp;type=item&amp;tracking_id=221e3683-c93b-4582-b29e-6e45c6851180"/>
    <hyperlink ref="I43" r:id="rId40"/>
    <hyperlink ref="L43" r:id="rId41" location="position=1&amp;search_layout=stack&amp;type=item&amp;tracking_id=c3b53cc0-b0de-416b-bcc3-d2db57cf3b27"/>
    <hyperlink ref="O43" r:id="rId42"/>
    <hyperlink ref="I45" r:id="rId43" location="position=1&amp;search_layout=stack&amp;type=item&amp;tracking_id=622e4d85-b43d-4b8b-aaaa-51e931ca9843"/>
    <hyperlink ref="I47" r:id="rId44"/>
    <hyperlink ref="L47" r:id="rId45"/>
    <hyperlink ref="I48" r:id="rId46"/>
    <hyperlink ref="L48" r:id="rId47"/>
    <hyperlink ref="L50" r:id="rId48"/>
    <hyperlink ref="I53" r:id="rId49"/>
    <hyperlink ref="I55" r:id="rId50"/>
    <hyperlink ref="L55" r:id="rId51"/>
    <hyperlink ref="I57" r:id="rId52"/>
    <hyperlink ref="I58" r:id="rId53"/>
    <hyperlink ref="I62" r:id="rId54"/>
    <hyperlink ref="L62" r:id="rId55"/>
    <hyperlink ref="L78" r:id="rId56"/>
    <hyperlink ref="I85" r:id="rId57"/>
    <hyperlink ref="L85" r:id="rId58"/>
    <hyperlink ref="I87" r:id="rId59"/>
    <hyperlink ref="I91" r:id="rId60"/>
    <hyperlink ref="I92" r:id="rId61"/>
    <hyperlink ref="L93" r:id="rId62"/>
    <hyperlink ref="I99" r:id="rId63"/>
    <hyperlink ref="I101" r:id="rId64"/>
    <hyperlink ref="L101" r:id="rId65" location="position=2&amp;search_layout=stack&amp;type=item&amp;tracking_id=b079918a-0923-4ef0-a7bc-cd168f966715"/>
    <hyperlink ref="I103" r:id="rId66"/>
    <hyperlink ref="L103" r:id="rId67"/>
    <hyperlink ref="I107" r:id="rId68"/>
    <hyperlink ref="I108" r:id="rId69"/>
    <hyperlink ref="I109" r:id="rId70"/>
    <hyperlink ref="I111" r:id="rId71"/>
    <hyperlink ref="I113" r:id="rId72"/>
    <hyperlink ref="I127" r:id="rId73"/>
    <hyperlink ref="I153" r:id="rId74"/>
    <hyperlink ref="I166" r:id="rId75"/>
    <hyperlink ref="O30" r:id="rId76"/>
    <hyperlink ref="I154" r:id="rId77"/>
    <hyperlink ref="I155" r:id="rId78"/>
    <hyperlink ref="I49" r:id="rId79"/>
    <hyperlink ref="I50" r:id="rId80"/>
    <hyperlink ref="I51" r:id="rId81"/>
    <hyperlink ref="L51" r:id="rId82"/>
    <hyperlink ref="I60" r:id="rId83"/>
    <hyperlink ref="I64" r:id="rId84"/>
    <hyperlink ref="I66" r:id="rId85"/>
    <hyperlink ref="I67" r:id="rId86"/>
    <hyperlink ref="I68" r:id="rId87"/>
    <hyperlink ref="L66" r:id="rId88" location="position=21&amp;search_layout=stack&amp;type=item&amp;tracking_id=0b2e9a7f-529f-4b1f-894a-35cbc3e4ea57"/>
    <hyperlink ref="L67" r:id="rId89" location="position=6&amp;search_layout=stack&amp;type=item&amp;tracking_id=5d5ddbbf-cc65-4aec-9d7c-a7b4551a530c"/>
    <hyperlink ref="L68" r:id="rId90" location="position=30&amp;search_layout=stack&amp;type=item&amp;tracking_id=45721ac5-008c-420d-91ec-d16ba69bbf1e"/>
    <hyperlink ref="I70" r:id="rId91"/>
    <hyperlink ref="L70" r:id="rId92"/>
    <hyperlink ref="I72" r:id="rId93"/>
    <hyperlink ref="I76" r:id="rId94"/>
    <hyperlink ref="I77" r:id="rId95"/>
    <hyperlink ref="I78" r:id="rId96"/>
    <hyperlink ref="L76" r:id="rId97"/>
    <hyperlink ref="L77" r:id="rId98"/>
    <hyperlink ref="O76" r:id="rId99"/>
    <hyperlink ref="O77" r:id="rId100"/>
    <hyperlink ref="O78" r:id="rId101"/>
    <hyperlink ref="I83" r:id="rId102"/>
    <hyperlink ref="I86" r:id="rId103"/>
    <hyperlink ref="L87" r:id="rId104"/>
    <hyperlink ref="I89" r:id="rId105" location="position=4&amp;search_layout=stack&amp;type=item&amp;tracking_id=4e9e71f7-3bb5-4140-9504-a2190b3ce9db"/>
    <hyperlink ref="I93" r:id="rId106" location="searchVariation=59540783082&amp;position=2&amp;search_layout=stack&amp;type=item&amp;tracking_id=13144c16-d71b-4ade-a9f4-c5dc0b72b11b"/>
    <hyperlink ref="L91" r:id="rId107"/>
    <hyperlink ref="L92" r:id="rId108"/>
    <hyperlink ref="I97" r:id="rId109"/>
    <hyperlink ref="I96" r:id="rId110"/>
    <hyperlink ref="I110" r:id="rId111" location="searchVariation=50638615865&amp;position=1&amp;search_layout=stack&amp;type=item&amp;tracking_id=b47d3cab-1071-4ad2-97ed-4a8b1c4179c0"/>
    <hyperlink ref="L107" r:id="rId112"/>
    <hyperlink ref="L108" r:id="rId113" location="searchVariation=50638348833&amp;position=3&amp;search_layout=stack&amp;type=item&amp;tracking_id=23682066-0608-4318-9631-44fce24e804f"/>
    <hyperlink ref="L109" r:id="rId114" location="searchVariation=50639296659&amp;position=27&amp;search_layout=stack&amp;type=item&amp;tracking_id=b581924e-6b78-4e94-bc7d-192e82dd69ec"/>
    <hyperlink ref="O107" r:id="rId115" location="searchVariation=50638209526&amp;position=10&amp;search_layout=stack&amp;type=item&amp;tracking_id=6daac8f4-dc44-4bd5-ab5b-995b83254133"/>
    <hyperlink ref="L113" r:id="rId116"/>
    <hyperlink ref="I115" r:id="rId117"/>
    <hyperlink ref="I116" r:id="rId118"/>
    <hyperlink ref="I117" r:id="rId119"/>
    <hyperlink ref="I119" r:id="rId120"/>
    <hyperlink ref="I122" r:id="rId121" location="position=1&amp;search_layout=stack&amp;type=item&amp;tracking_id=688708a5-e42d-4ff5-9938-1ee3a70f6c44"/>
    <hyperlink ref="I118" r:id="rId122"/>
    <hyperlink ref="L119" r:id="rId123"/>
    <hyperlink ref="L120" r:id="rId124" location="position=5&amp;search_layout=stack&amp;type=item&amp;tracking_id=78294b9d-cafd-4586-9d8b-8bea49a452ea"/>
    <hyperlink ref="I121" r:id="rId125"/>
    <hyperlink ref="L122" r:id="rId126"/>
    <hyperlink ref="I123" r:id="rId127" location="position=5&amp;search_layout=stack&amp;type=item&amp;tracking_id=78294b9d-cafd-4586-9d8b-8bea49a452ea"/>
    <hyperlink ref="I128" r:id="rId128"/>
    <hyperlink ref="I129" r:id="rId129"/>
    <hyperlink ref="I130" r:id="rId130"/>
    <hyperlink ref="I132" r:id="rId131"/>
    <hyperlink ref="I134" r:id="rId132"/>
    <hyperlink ref="I135" r:id="rId133"/>
    <hyperlink ref="I139" r:id="rId134"/>
    <hyperlink ref="I140" r:id="rId135"/>
    <hyperlink ref="I141" r:id="rId136" location="position=14&amp;search_layout=stack&amp;type=item&amp;tracking_id=a3333a02-bdfe-4512-872d-35e5a6e63887"/>
    <hyperlink ref="L139" r:id="rId137"/>
    <hyperlink ref="L140" r:id="rId138"/>
    <hyperlink ref="I143" r:id="rId139"/>
    <hyperlink ref="I144" r:id="rId140"/>
    <hyperlink ref="L143" r:id="rId141" location="position=1&amp;search_layout=stack&amp;type=item&amp;tracking_id=d269d3a5-cf58-4423-8db1-4c39264c184d"/>
    <hyperlink ref="I146" r:id="rId142"/>
    <hyperlink ref="I151" r:id="rId143"/>
    <hyperlink ref="I152" r:id="rId144"/>
    <hyperlink ref="I157" r:id="rId145"/>
    <hyperlink ref="I158" r:id="rId146"/>
    <hyperlink ref="I160" r:id="rId147"/>
    <hyperlink ref="I161" r:id="rId148"/>
    <hyperlink ref="I162" r:id="rId149"/>
    <hyperlink ref="L160" r:id="rId150"/>
    <hyperlink ref="L161" r:id="rId151"/>
    <hyperlink ref="L162" r:id="rId152"/>
    <hyperlink ref="I164" r:id="rId153"/>
    <hyperlink ref="L164" r:id="rId154"/>
    <hyperlink ref="O164" r:id="rId155" location="position=3&amp;search_layout=stack&amp;type=item&amp;tracking_id=ae3e8879-4057-4a0e-88ad-f7c3d73658c0"/>
    <hyperlink ref="I169" r:id="rId156"/>
    <hyperlink ref="I170" r:id="rId157"/>
    <hyperlink ref="I171" r:id="rId158"/>
    <hyperlink ref="I172" r:id="rId159"/>
    <hyperlink ref="I173" r:id="rId160"/>
    <hyperlink ref="L169" r:id="rId161"/>
    <hyperlink ref="L170" r:id="rId162"/>
    <hyperlink ref="L171" r:id="rId163"/>
    <hyperlink ref="L172" r:id="rId164"/>
    <hyperlink ref="L173" r:id="rId165"/>
    <hyperlink ref="L16" r:id="rId166" location="position=3&amp;search_layout=stack&amp;type=item&amp;tracking_id=b1377160-a1b4-4e65-9b75-b0f100f44cb1"/>
    <hyperlink ref="L17" r:id="rId167" location="position=1&amp;search_layout=stack&amp;type=item&amp;tracking_id=b1377160-a1b4-4e65-9b75-b0f100f44cb1"/>
    <hyperlink ref="I28" r:id="rId168" location="position=1&amp;search_layout=stack&amp;type=item&amp;tracking_id=ec7797df-3e4d-4220-90cc-6644425bf5a2" display="https://www.tiendahospimed.com.ar/MLA-768780653-bajalengua-de-madera-adulto-o-pediatrico-600-unidades-_JM#position=1&amp;search_layout=stack&amp;type=item&amp;tracking_id=ec7797df-3e4d-4220-90cc-6644425bf5a2"/>
    <hyperlink ref="L30" r:id="rId169"/>
    <hyperlink ref="I120" r:id="rId170"/>
    <hyperlink ref="I156" r:id="rId171"/>
    <hyperlink ref="L10" r:id="rId172"/>
    <hyperlink ref="I14" r:id="rId173"/>
    <hyperlink ref="I12" r:id="rId174"/>
    <hyperlink ref="I149" r:id="rId175"/>
    <hyperlink ref="I80" r:id="rId176" location="position=12&amp;search_layout=stack&amp;type=item&amp;tracking_id=0826f4ba-742b-4114-90c7-f739d290aa8f"/>
    <hyperlink ref="I81" r:id="rId177" location="position=3&amp;search_layout=stack&amp;type=item&amp;tracking_id=0826f4ba-742b-4114-90c7-f739d290aa8f"/>
    <hyperlink ref="L81" r:id="rId178"/>
    <hyperlink ref="L149" r:id="rId179"/>
    <hyperlink ref="I10" r:id="rId180"/>
    <hyperlink ref="L14" r:id="rId181"/>
    <hyperlink ref="L13" r:id="rId182"/>
    <hyperlink ref="I95" r:id="rId183" location="position=2&amp;search_layout=stack&amp;type=item&amp;tracking_id=57f49db4-9aee-44c5-9095-2a62687ea517"/>
  </hyperlinks>
  <pageMargins left="0.7" right="0.7" top="0.75" bottom="0.75" header="0.3" footer="0.3"/>
  <pageSetup orientation="portrait" r:id="rId1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8"/>
  <sheetViews>
    <sheetView tabSelected="1" workbookViewId="0">
      <selection activeCell="H145" sqref="H145"/>
    </sheetView>
  </sheetViews>
  <sheetFormatPr baseColWidth="10" defaultColWidth="14.42578125" defaultRowHeight="15" customHeight="1"/>
  <cols>
    <col min="1" max="2" width="10.7109375" customWidth="1"/>
    <col min="3" max="3" width="67.28515625" customWidth="1"/>
    <col min="4" max="4" width="10.7109375" customWidth="1"/>
    <col min="5" max="5" width="15.28515625" style="495" customWidth="1"/>
    <col min="6" max="6" width="15.28515625" style="547" customWidth="1"/>
    <col min="7" max="7" width="15.28515625" style="475" customWidth="1"/>
    <col min="8" max="10" width="10.7109375" customWidth="1"/>
  </cols>
  <sheetData>
    <row r="1" spans="2:10" ht="15.75" thickBot="1">
      <c r="G1" s="473"/>
      <c r="J1" s="330"/>
    </row>
    <row r="2" spans="2:10" ht="30.75" thickBot="1">
      <c r="B2" s="581" t="s">
        <v>13</v>
      </c>
      <c r="C2" s="582"/>
      <c r="D2" s="583"/>
      <c r="E2" s="451" t="s">
        <v>597</v>
      </c>
      <c r="F2" s="451" t="s">
        <v>620</v>
      </c>
      <c r="G2" s="474" t="s">
        <v>621</v>
      </c>
      <c r="H2" s="331"/>
      <c r="J2" s="330"/>
    </row>
    <row r="3" spans="2:10">
      <c r="B3" s="332">
        <v>321200019</v>
      </c>
      <c r="C3" s="333" t="s">
        <v>14</v>
      </c>
      <c r="D3" s="334" t="s">
        <v>15</v>
      </c>
      <c r="E3" s="499">
        <f>+VLOOKUP(C3,'PRECIO REFERENCIA MAYO'!C8:F173,4,FALSE)</f>
        <v>928.57</v>
      </c>
      <c r="F3" s="499">
        <f>+VLOOKUP(C3,'PRECIO REFERENCIA JULIO'!C8:F173,4,FALSE)</f>
        <v>928.57</v>
      </c>
      <c r="G3" s="506">
        <f>+(F3-E3)/E3</f>
        <v>0</v>
      </c>
      <c r="J3" s="330"/>
    </row>
    <row r="4" spans="2:10">
      <c r="B4" s="595">
        <v>320700022</v>
      </c>
      <c r="C4" s="26" t="s">
        <v>18</v>
      </c>
      <c r="D4" s="59" t="s">
        <v>15</v>
      </c>
      <c r="E4" s="507">
        <f>+VLOOKUP(C4,'PRECIO REFERENCIA MAYO'!C9:F174,4,FALSE)</f>
        <v>7.5510000000000002</v>
      </c>
      <c r="F4" s="499">
        <f>+VLOOKUP(C4,'PRECIO REFERENCIA JULIO'!C9:F174,4,FALSE)</f>
        <v>7.5510000000000002</v>
      </c>
      <c r="G4" s="506">
        <f>+(F4-E4)/E4</f>
        <v>0</v>
      </c>
      <c r="J4" s="330"/>
    </row>
    <row r="5" spans="2:10">
      <c r="B5" s="596"/>
      <c r="C5" s="33" t="s">
        <v>19</v>
      </c>
      <c r="D5" s="336" t="s">
        <v>15</v>
      </c>
      <c r="E5" s="479"/>
      <c r="F5" s="499">
        <f>+VLOOKUP(C5,'PRECIO REFERENCIA JULIO'!C10:F175,4,FALSE)</f>
        <v>40.699800000000003</v>
      </c>
      <c r="G5" s="506"/>
      <c r="J5" s="330"/>
    </row>
    <row r="6" spans="2:10">
      <c r="B6" s="596"/>
      <c r="C6" s="26" t="s">
        <v>20</v>
      </c>
      <c r="D6" s="59" t="s">
        <v>15</v>
      </c>
      <c r="E6" s="499">
        <f>+VLOOKUP(C6,'PRECIO REFERENCIA MAYO'!C11:F176,4,FALSE)</f>
        <v>7.2959499999999995</v>
      </c>
      <c r="F6" s="499">
        <f>+VLOOKUP(C6,'PRECIO REFERENCIA JULIO'!C11:F176,4,FALSE)</f>
        <v>7.2959499999999995</v>
      </c>
      <c r="G6" s="506">
        <f>+(F6-E6)/E6</f>
        <v>0</v>
      </c>
      <c r="J6" s="330"/>
    </row>
    <row r="7" spans="2:10">
      <c r="B7" s="596"/>
      <c r="C7" s="33" t="s">
        <v>21</v>
      </c>
      <c r="D7" s="336" t="s">
        <v>15</v>
      </c>
      <c r="E7" s="479"/>
      <c r="F7" s="499">
        <f>+VLOOKUP(C7,'PRECIO REFERENCIA JULIO'!C12:F177,4,FALSE)</f>
        <v>72.52</v>
      </c>
      <c r="G7" s="506"/>
      <c r="J7" s="330"/>
    </row>
    <row r="8" spans="2:10">
      <c r="B8" s="596"/>
      <c r="C8" s="26" t="s">
        <v>22</v>
      </c>
      <c r="D8" s="59" t="s">
        <v>15</v>
      </c>
      <c r="E8" s="499">
        <f>+VLOOKUP(C8,'PRECIO REFERENCIA MAYO'!C13:F178,4,FALSE)</f>
        <v>7.1135333333333328</v>
      </c>
      <c r="F8" s="499">
        <f>+VLOOKUP(C8,'PRECIO REFERENCIA JULIO'!C13:F178,4,FALSE)</f>
        <v>6.8141999999999996</v>
      </c>
      <c r="G8" s="506">
        <f>+(F8-E8)/E8</f>
        <v>-4.2079416698686999E-2</v>
      </c>
      <c r="J8" s="330"/>
    </row>
    <row r="9" spans="2:10">
      <c r="B9" s="597"/>
      <c r="C9" s="33" t="s">
        <v>23</v>
      </c>
      <c r="D9" s="336" t="s">
        <v>15</v>
      </c>
      <c r="E9" s="479"/>
      <c r="F9" s="499">
        <f>+VLOOKUP(C9,'PRECIO REFERENCIA JULIO'!C14:F179,4,FALSE)</f>
        <v>12.694900000000001</v>
      </c>
      <c r="G9" s="506"/>
      <c r="J9" s="330"/>
    </row>
    <row r="10" spans="2:10">
      <c r="B10" s="652" t="s">
        <v>24</v>
      </c>
      <c r="C10" s="569"/>
      <c r="D10" s="622"/>
      <c r="E10" s="337"/>
      <c r="F10" s="500"/>
      <c r="G10" s="508"/>
      <c r="J10" s="330"/>
    </row>
    <row r="11" spans="2:10">
      <c r="B11" s="607">
        <v>31290027</v>
      </c>
      <c r="C11" s="26" t="s">
        <v>25</v>
      </c>
      <c r="D11" s="79" t="s">
        <v>26</v>
      </c>
      <c r="E11" s="499">
        <f>+VLOOKUP(C11,'PRECIO REFERENCIA MAYO'!C16:F181,4,FALSE)</f>
        <v>760.31</v>
      </c>
      <c r="F11" s="499">
        <f>+VLOOKUP(C11,'PRECIO REFERENCIA JULIO'!C16:F181,4,FALSE)</f>
        <v>1246.9616666666666</v>
      </c>
      <c r="G11" s="506">
        <f>+(F11-E11)/E11</f>
        <v>0.64007005914254278</v>
      </c>
      <c r="J11" s="330"/>
    </row>
    <row r="12" spans="2:10">
      <c r="B12" s="597"/>
      <c r="C12" s="26" t="s">
        <v>27</v>
      </c>
      <c r="D12" s="79" t="s">
        <v>28</v>
      </c>
      <c r="E12" s="499">
        <f>+VLOOKUP(C12,'PRECIO REFERENCIA MAYO'!C17:F182,4,FALSE)</f>
        <v>839.69499999999994</v>
      </c>
      <c r="F12" s="499">
        <f>+VLOOKUP(C12,'PRECIO REFERENCIA JULIO'!C17:F182,4,FALSE)</f>
        <v>1009.6949999999999</v>
      </c>
      <c r="G12" s="506">
        <f>+(F12-E12)/E12</f>
        <v>0.2024544626322653</v>
      </c>
      <c r="J12" s="330"/>
    </row>
    <row r="13" spans="2:10">
      <c r="B13" s="652" t="s">
        <v>29</v>
      </c>
      <c r="C13" s="569"/>
      <c r="D13" s="622"/>
      <c r="E13" s="337"/>
      <c r="F13" s="500"/>
      <c r="G13" s="508"/>
      <c r="J13" s="330"/>
    </row>
    <row r="14" spans="2:10">
      <c r="B14" s="613">
        <v>32020001</v>
      </c>
      <c r="C14" s="14" t="s">
        <v>30</v>
      </c>
      <c r="D14" s="49" t="s">
        <v>31</v>
      </c>
      <c r="E14" s="499">
        <f>+VLOOKUP(C14,'PRECIO REFERENCIA MAYO'!C19:F184,4,FALSE)</f>
        <v>1426.4489999999998</v>
      </c>
      <c r="F14" s="499">
        <f>+VLOOKUP(C14,'PRECIO REFERENCIA JULIO'!C19:F184,4,FALSE)</f>
        <v>1547.1156666666666</v>
      </c>
      <c r="G14" s="506">
        <f>+(F14-E14)/E14</f>
        <v>8.4592345514397468E-2</v>
      </c>
      <c r="J14" s="330"/>
    </row>
    <row r="15" spans="2:10">
      <c r="B15" s="597"/>
      <c r="C15" s="19" t="s">
        <v>32</v>
      </c>
      <c r="D15" s="101" t="s">
        <v>33</v>
      </c>
      <c r="E15" s="499">
        <f>+VLOOKUP(C15,'PRECIO REFERENCIA MAYO'!C20:F185,4,FALSE)</f>
        <v>241</v>
      </c>
      <c r="F15" s="499">
        <f>+VLOOKUP(C15,'PRECIO REFERENCIA JULIO'!C20:F185,4,FALSE)</f>
        <v>298.5</v>
      </c>
      <c r="G15" s="506">
        <f>+(F15-E15)/E15</f>
        <v>0.23858921161825727</v>
      </c>
      <c r="J15" s="330"/>
    </row>
    <row r="16" spans="2:10">
      <c r="B16" s="652" t="s">
        <v>34</v>
      </c>
      <c r="C16" s="569"/>
      <c r="D16" s="622"/>
      <c r="E16" s="337"/>
      <c r="F16" s="500"/>
      <c r="G16" s="508"/>
      <c r="J16" s="330"/>
    </row>
    <row r="17" spans="2:10">
      <c r="B17" s="607">
        <v>321000014</v>
      </c>
      <c r="C17" s="26" t="s">
        <v>35</v>
      </c>
      <c r="D17" s="79" t="s">
        <v>17</v>
      </c>
      <c r="E17" s="499">
        <f>+VLOOKUP(C17,'PRECIO REFERENCIA MAYO'!C22:F187,4,FALSE)</f>
        <v>604</v>
      </c>
      <c r="F17" s="499">
        <f>+VLOOKUP(C17,'PRECIO REFERENCIA JULIO'!C22:F187,4,FALSE)</f>
        <v>1020</v>
      </c>
      <c r="G17" s="506">
        <f>+(F17-E17)/E17</f>
        <v>0.6887417218543046</v>
      </c>
      <c r="J17" s="330"/>
    </row>
    <row r="18" spans="2:10">
      <c r="B18" s="597"/>
      <c r="C18" s="26" t="s">
        <v>36</v>
      </c>
      <c r="D18" s="79" t="s">
        <v>15</v>
      </c>
      <c r="E18" s="499">
        <f>+VLOOKUP(C18,'PRECIO REFERENCIA MAYO'!C23:F188,4,FALSE)</f>
        <v>1814.4080000000001</v>
      </c>
      <c r="F18" s="499">
        <f>+VLOOKUP(C18,'PRECIO REFERENCIA JULIO'!C23:F188,4,FALSE)</f>
        <v>2030.4080000000001</v>
      </c>
      <c r="G18" s="506">
        <f>+(F18-E18)/E18</f>
        <v>0.11904709414861486</v>
      </c>
      <c r="J18" s="330"/>
    </row>
    <row r="19" spans="2:10">
      <c r="B19" s="607">
        <v>32020007</v>
      </c>
      <c r="C19" s="26" t="s">
        <v>37</v>
      </c>
      <c r="D19" s="79" t="s">
        <v>17</v>
      </c>
      <c r="E19" s="499">
        <f>+VLOOKUP(C19,'PRECIO REFERENCIA MAYO'!C24:F189,4,FALSE)</f>
        <v>87.510199999999998</v>
      </c>
      <c r="F19" s="499">
        <f>+VLOOKUP(C19,'PRECIO REFERENCIA JULIO'!C24:F189,4,FALSE)</f>
        <v>118.36503333333333</v>
      </c>
      <c r="G19" s="506">
        <f>+(F19-E19)/E19</f>
        <v>0.35258556526363022</v>
      </c>
      <c r="J19" s="330"/>
    </row>
    <row r="20" spans="2:10">
      <c r="B20" s="597"/>
      <c r="C20" s="14" t="s">
        <v>38</v>
      </c>
      <c r="D20" s="49" t="s">
        <v>15</v>
      </c>
      <c r="E20" s="499">
        <f>+VLOOKUP(C20,'PRECIO REFERENCIA MAYO'!C25:F190,4,FALSE)</f>
        <v>348.37755000000004</v>
      </c>
      <c r="F20" s="499">
        <f>+VLOOKUP(C20,'PRECIO REFERENCIA JULIO'!C25:F190,4,FALSE)</f>
        <v>387.75510000000003</v>
      </c>
      <c r="G20" s="506">
        <f>+(F20-E20)/E20</f>
        <v>0.11303125014800747</v>
      </c>
      <c r="J20" s="330"/>
    </row>
    <row r="21" spans="2:10" ht="15.75" customHeight="1">
      <c r="B21" s="652" t="s">
        <v>39</v>
      </c>
      <c r="C21" s="569"/>
      <c r="D21" s="622"/>
      <c r="E21" s="337"/>
      <c r="F21" s="500"/>
      <c r="G21" s="508"/>
      <c r="J21" s="330"/>
    </row>
    <row r="22" spans="2:10" ht="15.75" customHeight="1">
      <c r="B22" s="607">
        <v>32090001</v>
      </c>
      <c r="C22" s="26" t="s">
        <v>40</v>
      </c>
      <c r="D22" s="79" t="s">
        <v>41</v>
      </c>
      <c r="E22" s="499">
        <f>+VLOOKUP(C22,'PRECIO REFERENCIA MAYO'!C27:F192,4,FALSE)</f>
        <v>623.66666666666663</v>
      </c>
      <c r="F22" s="499">
        <f>+VLOOKUP(C22,'PRECIO REFERENCIA JULIO'!C27:F192,4,FALSE)</f>
        <v>761</v>
      </c>
      <c r="G22" s="506">
        <f>+(F22-E22)/E22</f>
        <v>0.22020309994655271</v>
      </c>
      <c r="J22" s="330"/>
    </row>
    <row r="23" spans="2:10" ht="15.75" customHeight="1">
      <c r="B23" s="597"/>
      <c r="C23" s="26" t="s">
        <v>42</v>
      </c>
      <c r="D23" s="79" t="s">
        <v>41</v>
      </c>
      <c r="E23" s="499">
        <f>+VLOOKUP(C23,'PRECIO REFERENCIA MAYO'!C28:F193,4,FALSE)</f>
        <v>623.66666666666663</v>
      </c>
      <c r="F23" s="499">
        <f>+VLOOKUP(C23,'PRECIO REFERENCIA JULIO'!C28:F193,4,FALSE)</f>
        <v>761</v>
      </c>
      <c r="G23" s="506">
        <f>+(F23-E23)/E23</f>
        <v>0.22020309994655271</v>
      </c>
      <c r="J23" s="330"/>
    </row>
    <row r="24" spans="2:10" ht="15.75" customHeight="1">
      <c r="B24" s="652" t="s">
        <v>43</v>
      </c>
      <c r="C24" s="569"/>
      <c r="D24" s="622"/>
      <c r="E24" s="337"/>
      <c r="F24" s="500"/>
      <c r="G24" s="508"/>
      <c r="J24" s="330"/>
    </row>
    <row r="25" spans="2:10" ht="15.75" customHeight="1">
      <c r="B25" s="133">
        <v>32010001</v>
      </c>
      <c r="C25" s="26" t="s">
        <v>44</v>
      </c>
      <c r="D25" s="79" t="s">
        <v>17</v>
      </c>
      <c r="E25" s="499">
        <f>+VLOOKUP(C25,'PRECIO REFERENCIA MAYO'!C30:F195,4,FALSE)</f>
        <v>39.5</v>
      </c>
      <c r="F25" s="499">
        <f>+VLOOKUP(C25,'PRECIO REFERENCIA JULIO'!C30:F195,4,FALSE)</f>
        <v>13.629999999999999</v>
      </c>
      <c r="G25" s="506">
        <f>+(F25-E25)/E25</f>
        <v>-0.6549367088607595</v>
      </c>
      <c r="J25" s="330"/>
    </row>
    <row r="26" spans="2:10" ht="15.75" customHeight="1">
      <c r="B26" s="652" t="s">
        <v>45</v>
      </c>
      <c r="C26" s="569"/>
      <c r="D26" s="622"/>
      <c r="E26" s="337"/>
      <c r="F26" s="500"/>
      <c r="G26" s="508"/>
      <c r="J26" s="330"/>
    </row>
    <row r="27" spans="2:10" ht="15.75" customHeight="1">
      <c r="B27" s="133">
        <v>320100049</v>
      </c>
      <c r="C27" s="26" t="s">
        <v>46</v>
      </c>
      <c r="D27" s="79" t="s">
        <v>17</v>
      </c>
      <c r="E27" s="499">
        <f>+VLOOKUP(C27,'PRECIO REFERENCIA MAYO'!C32:F197,4,FALSE)</f>
        <v>1591.49</v>
      </c>
      <c r="F27" s="499">
        <f>+VLOOKUP(C27,'PRECIO REFERENCIA JULIO'!C32:F197,4,FALSE)</f>
        <v>1873.99</v>
      </c>
      <c r="G27" s="506">
        <f>+(F27-E27)/E27</f>
        <v>0.17750661329948664</v>
      </c>
      <c r="J27" s="330"/>
    </row>
    <row r="28" spans="2:10" ht="15.75" customHeight="1">
      <c r="B28" s="133">
        <v>320100053</v>
      </c>
      <c r="C28" s="30" t="s">
        <v>47</v>
      </c>
      <c r="D28" s="79" t="s">
        <v>48</v>
      </c>
      <c r="E28" s="499">
        <f>+VLOOKUP(C28,'PRECIO REFERENCIA MAYO'!C33:F198,4,FALSE)</f>
        <v>38.625709999999998</v>
      </c>
      <c r="F28" s="499">
        <f>+VLOOKUP(C28,'PRECIO REFERENCIA JULIO'!C33:F198,4,FALSE)</f>
        <v>44.375709999999998</v>
      </c>
      <c r="G28" s="506">
        <f>+(F28-E28)/E28</f>
        <v>0.14886457750550089</v>
      </c>
      <c r="J28" s="330"/>
    </row>
    <row r="29" spans="2:10" ht="15.75" customHeight="1">
      <c r="B29" s="133">
        <v>320100073</v>
      </c>
      <c r="C29" s="26" t="s">
        <v>49</v>
      </c>
      <c r="D29" s="79" t="s">
        <v>17</v>
      </c>
      <c r="E29" s="499">
        <f>+VLOOKUP(C29,'PRECIO REFERENCIA MAYO'!C34:F199,4,FALSE)</f>
        <v>17.010204999999999</v>
      </c>
      <c r="F29" s="499">
        <f>+VLOOKUP(C29,'PRECIO REFERENCIA JULIO'!C34:F199,4,FALSE)</f>
        <v>23.560205</v>
      </c>
      <c r="G29" s="506">
        <f>+(F29-E29)/E29</f>
        <v>0.38506296661327721</v>
      </c>
      <c r="J29" s="330"/>
    </row>
    <row r="30" spans="2:10" ht="15.75" customHeight="1">
      <c r="B30" s="652"/>
      <c r="C30" s="569"/>
      <c r="D30" s="622"/>
      <c r="E30" s="337"/>
      <c r="F30" s="500"/>
      <c r="G30" s="508"/>
      <c r="J30" s="330"/>
    </row>
    <row r="31" spans="2:10" ht="15.75" customHeight="1">
      <c r="B31" s="607">
        <v>32130001</v>
      </c>
      <c r="C31" s="26" t="s">
        <v>50</v>
      </c>
      <c r="D31" s="79" t="s">
        <v>17</v>
      </c>
      <c r="E31" s="499">
        <f>+VLOOKUP(C31,'PRECIO REFERENCIA MAYO'!C36:F201,4,FALSE)</f>
        <v>699.65988888888887</v>
      </c>
      <c r="F31" s="499">
        <f>+VLOOKUP(C31,'PRECIO REFERENCIA JULIO'!C36:F201,4,FALSE)</f>
        <v>731.88211111111104</v>
      </c>
      <c r="G31" s="506">
        <f>+(F31-E31)/E31</f>
        <v>4.6054122487132171E-2</v>
      </c>
      <c r="J31" s="330"/>
    </row>
    <row r="32" spans="2:10" ht="15.75" customHeight="1">
      <c r="B32" s="597"/>
      <c r="C32" s="33" t="s">
        <v>51</v>
      </c>
      <c r="D32" s="338" t="s">
        <v>17</v>
      </c>
      <c r="E32" s="501"/>
      <c r="F32" s="478"/>
      <c r="G32" s="476"/>
      <c r="H32" t="s">
        <v>269</v>
      </c>
      <c r="J32" s="330"/>
    </row>
    <row r="33" spans="2:10" ht="15.75" customHeight="1">
      <c r="B33" s="133">
        <v>322300022</v>
      </c>
      <c r="C33" s="26" t="s">
        <v>52</v>
      </c>
      <c r="D33" s="79" t="s">
        <v>17</v>
      </c>
      <c r="E33" s="499">
        <f>+VLOOKUP(C33,'PRECIO REFERENCIA MAYO'!C38:F203,4,FALSE)</f>
        <v>577.33333333333337</v>
      </c>
      <c r="F33" s="499">
        <f>+VLOOKUP(C33,'PRECIO REFERENCIA JULIO'!C38:F203,4,FALSE)</f>
        <v>693.33333333333337</v>
      </c>
      <c r="G33" s="506">
        <f>+(F33-E33)/E33</f>
        <v>0.20092378752886836</v>
      </c>
      <c r="J33" s="330"/>
    </row>
    <row r="34" spans="2:10" ht="15.75" customHeight="1">
      <c r="B34" s="339">
        <v>321500181</v>
      </c>
      <c r="C34" s="654" t="s">
        <v>53</v>
      </c>
      <c r="D34" s="622"/>
      <c r="E34" s="479"/>
      <c r="F34" s="478"/>
      <c r="G34" s="476"/>
      <c r="H34" t="s">
        <v>273</v>
      </c>
      <c r="J34" s="330"/>
    </row>
    <row r="35" spans="2:10" ht="15.75" customHeight="1">
      <c r="B35" s="652" t="s">
        <v>54</v>
      </c>
      <c r="C35" s="569"/>
      <c r="D35" s="622"/>
      <c r="E35" s="337"/>
      <c r="F35" s="500"/>
      <c r="G35" s="508"/>
      <c r="J35" s="330"/>
    </row>
    <row r="36" spans="2:10" ht="15.75" customHeight="1">
      <c r="B36" s="133">
        <v>321220013</v>
      </c>
      <c r="C36" s="26" t="s">
        <v>55</v>
      </c>
      <c r="D36" s="79" t="s">
        <v>15</v>
      </c>
      <c r="E36" s="499">
        <f>+VLOOKUP(C36,'PRECIO REFERENCIA MAYO'!C41:F206,4,FALSE)</f>
        <v>84</v>
      </c>
      <c r="F36" s="499">
        <f>+VLOOKUP(C36,'PRECIO REFERENCIA JULIO'!C41:F206,4,FALSE)</f>
        <v>159.011</v>
      </c>
      <c r="G36" s="506">
        <f>+(F36-E36)/E36</f>
        <v>0.89298809523809519</v>
      </c>
      <c r="J36" s="330"/>
    </row>
    <row r="37" spans="2:10" ht="15.75" customHeight="1">
      <c r="B37" s="653"/>
      <c r="C37" s="569"/>
      <c r="D37" s="622"/>
      <c r="E37" s="337"/>
      <c r="F37" s="500"/>
      <c r="G37" s="508"/>
      <c r="J37" s="330"/>
    </row>
    <row r="38" spans="2:10" ht="15.75" customHeight="1">
      <c r="B38" s="133">
        <v>322300061</v>
      </c>
      <c r="C38" s="26" t="s">
        <v>56</v>
      </c>
      <c r="D38" s="79" t="s">
        <v>17</v>
      </c>
      <c r="E38" s="499">
        <f>+VLOOKUP(C38,'PRECIO REFERENCIA MAYO'!C43:F208,4,FALSE)</f>
        <v>817.82333333333338</v>
      </c>
      <c r="F38" s="499">
        <f>+VLOOKUP(C38,'PRECIO REFERENCIA JULIO'!C43:F208,4,FALSE)</f>
        <v>1057.8233333333335</v>
      </c>
      <c r="G38" s="506">
        <f>+(F38-E38)/E38</f>
        <v>0.29346191312712211</v>
      </c>
      <c r="J38" s="330"/>
    </row>
    <row r="39" spans="2:10" ht="15.75" customHeight="1">
      <c r="B39" s="651"/>
      <c r="C39" s="569"/>
      <c r="D39" s="622"/>
      <c r="E39" s="337"/>
      <c r="F39" s="500"/>
      <c r="G39" s="508"/>
      <c r="J39" s="330"/>
    </row>
    <row r="40" spans="2:10" ht="15.75" customHeight="1">
      <c r="B40" s="144">
        <v>320300033</v>
      </c>
      <c r="C40" s="19" t="s">
        <v>57</v>
      </c>
      <c r="D40" s="101" t="s">
        <v>15</v>
      </c>
      <c r="E40" s="499">
        <f>+VLOOKUP(C40,'PRECIO REFERENCIA MAYO'!C45:F210,4,FALSE)</f>
        <v>1850</v>
      </c>
      <c r="F40" s="499">
        <f>+VLOOKUP(C40,'PRECIO REFERENCIA JULIO'!C45:F210,4,FALSE)</f>
        <v>2828.57</v>
      </c>
      <c r="G40" s="506">
        <f>+(F40-E40)/E40</f>
        <v>0.5289567567567568</v>
      </c>
      <c r="J40" s="330"/>
    </row>
    <row r="41" spans="2:10" ht="15.75" customHeight="1">
      <c r="B41" s="651"/>
      <c r="C41" s="569"/>
      <c r="D41" s="622"/>
      <c r="E41" s="337"/>
      <c r="F41" s="500"/>
      <c r="G41" s="508"/>
      <c r="J41" s="330"/>
    </row>
    <row r="42" spans="2:10" ht="15.75" customHeight="1">
      <c r="B42" s="613">
        <v>32070005</v>
      </c>
      <c r="C42" s="340" t="s">
        <v>285</v>
      </c>
      <c r="D42" s="158" t="s">
        <v>15</v>
      </c>
      <c r="E42" s="499">
        <f>+VLOOKUP(C42,'PRECIO REFERENCIA MAYO'!C47:F212,4,FALSE)</f>
        <v>83.5</v>
      </c>
      <c r="F42" s="499">
        <f>+VLOOKUP(C42,'PRECIO REFERENCIA JULIO'!C47:F212,4,FALSE)</f>
        <v>89.775499999999994</v>
      </c>
      <c r="G42" s="506">
        <f>+(F42-E42)/E42</f>
        <v>7.5155688622754416E-2</v>
      </c>
      <c r="J42" s="330"/>
    </row>
    <row r="43" spans="2:10" ht="15.75" customHeight="1">
      <c r="B43" s="596"/>
      <c r="C43" s="340" t="s">
        <v>288</v>
      </c>
      <c r="D43" s="158" t="s">
        <v>15</v>
      </c>
      <c r="E43" s="499">
        <f>+VLOOKUP(C43,'PRECIO REFERENCIA MAYO'!C48:F213,4,FALSE)</f>
        <v>83.418350000000004</v>
      </c>
      <c r="F43" s="499">
        <f>+VLOOKUP(C43,'PRECIO REFERENCIA JULIO'!C48:F213,4,FALSE)</f>
        <v>93.275499999999994</v>
      </c>
      <c r="G43" s="506">
        <f>+(F43-E43)/E43</f>
        <v>0.11816524781417985</v>
      </c>
      <c r="J43" s="330"/>
    </row>
    <row r="44" spans="2:10" ht="15.75" customHeight="1">
      <c r="B44" s="596"/>
      <c r="C44" s="340" t="s">
        <v>290</v>
      </c>
      <c r="D44" s="158" t="s">
        <v>15</v>
      </c>
      <c r="E44" s="499">
        <f>+VLOOKUP(C44,'PRECIO REFERENCIA MAYO'!C49:F214,4,FALSE)</f>
        <v>77.5</v>
      </c>
      <c r="F44" s="499">
        <f>+VLOOKUP(C44,'PRECIO REFERENCIA JULIO'!C49:F214,4,FALSE)</f>
        <v>90</v>
      </c>
      <c r="G44" s="506">
        <f>+(F44-E44)/E44</f>
        <v>0.16129032258064516</v>
      </c>
      <c r="J44" s="330"/>
    </row>
    <row r="45" spans="2:10" ht="15.75" customHeight="1">
      <c r="B45" s="596"/>
      <c r="C45" s="340" t="s">
        <v>292</v>
      </c>
      <c r="D45" s="158" t="s">
        <v>15</v>
      </c>
      <c r="E45" s="499">
        <f>+VLOOKUP(C45,'PRECIO REFERENCIA MAYO'!C50:F215,4,FALSE)</f>
        <v>212.5</v>
      </c>
      <c r="F45" s="499">
        <f>+VLOOKUP(C45,'PRECIO REFERENCIA JULIO'!C50:F215,4,FALSE)</f>
        <v>528</v>
      </c>
      <c r="G45" s="506">
        <f>+(F45-E45)/E45</f>
        <v>1.4847058823529411</v>
      </c>
      <c r="J45" s="330"/>
    </row>
    <row r="46" spans="2:10" ht="15.75" customHeight="1">
      <c r="B46" s="597"/>
      <c r="C46" s="340" t="s">
        <v>293</v>
      </c>
      <c r="D46" s="158" t="s">
        <v>15</v>
      </c>
      <c r="E46" s="499">
        <f>+VLOOKUP(C46,'PRECIO REFERENCIA MAYO'!C51:F216,4,FALSE)</f>
        <v>82.5</v>
      </c>
      <c r="F46" s="499">
        <f>+VLOOKUP(C46,'PRECIO REFERENCIA JULIO'!C51:F216,4,FALSE)</f>
        <v>93.857150000000004</v>
      </c>
      <c r="G46" s="506">
        <f>+(F46-E46)/E46</f>
        <v>0.13766242424242431</v>
      </c>
      <c r="J46" s="330"/>
    </row>
    <row r="47" spans="2:10" ht="15.75" customHeight="1">
      <c r="B47" s="648"/>
      <c r="C47" s="649"/>
      <c r="D47" s="650"/>
      <c r="E47" s="337"/>
      <c r="F47" s="500"/>
      <c r="G47" s="508"/>
      <c r="J47" s="330"/>
    </row>
    <row r="48" spans="2:10" ht="15.75" customHeight="1">
      <c r="B48" s="133">
        <v>321600012</v>
      </c>
      <c r="C48" s="26" t="s">
        <v>59</v>
      </c>
      <c r="D48" s="79" t="s">
        <v>17</v>
      </c>
      <c r="E48" s="499">
        <f>+VLOOKUP(C48,'PRECIO REFERENCIA MAYO'!C53:F218,4,FALSE)</f>
        <v>65.872450000000001</v>
      </c>
      <c r="F48" s="499">
        <f>+VLOOKUP(C48,'PRECIO REFERENCIA JULIO'!C53:F218,4,FALSE)</f>
        <v>77.244900000000001</v>
      </c>
      <c r="G48" s="506">
        <f>+(F48-E48)/E48</f>
        <v>0.17264349511821711</v>
      </c>
      <c r="J48" s="330"/>
    </row>
    <row r="49" spans="2:10" ht="15.75" customHeight="1">
      <c r="B49" s="651"/>
      <c r="C49" s="569"/>
      <c r="D49" s="622"/>
      <c r="E49" s="337"/>
      <c r="F49" s="500"/>
      <c r="G49" s="508"/>
      <c r="J49" s="330"/>
    </row>
    <row r="50" spans="2:10" ht="15.75" customHeight="1">
      <c r="B50" s="133">
        <v>320900071</v>
      </c>
      <c r="C50" s="26" t="s">
        <v>60</v>
      </c>
      <c r="D50" s="79" t="s">
        <v>15</v>
      </c>
      <c r="E50" s="499">
        <f>+VLOOKUP(C50,'PRECIO REFERENCIA MAYO'!C55:F220,4,FALSE)</f>
        <v>1047</v>
      </c>
      <c r="F50" s="499">
        <f>+VLOOKUP(C50,'PRECIO REFERENCIA JULIO'!C55:F220,4,FALSE)</f>
        <v>1300.5</v>
      </c>
      <c r="G50" s="506">
        <f>+(F50-E50)/E50</f>
        <v>0.24212034383954154</v>
      </c>
      <c r="J50" s="330"/>
    </row>
    <row r="51" spans="2:10" ht="15.75" customHeight="1">
      <c r="B51" s="652" t="s">
        <v>61</v>
      </c>
      <c r="C51" s="569"/>
      <c r="D51" s="622"/>
      <c r="E51" s="337"/>
      <c r="F51" s="500"/>
      <c r="G51" s="508"/>
      <c r="J51" s="330"/>
    </row>
    <row r="52" spans="2:10" ht="15.75" customHeight="1">
      <c r="B52" s="607">
        <v>32150002</v>
      </c>
      <c r="C52" s="74" t="s">
        <v>62</v>
      </c>
      <c r="D52" s="196" t="s">
        <v>63</v>
      </c>
      <c r="E52" s="499">
        <f>+VLOOKUP(C52,'PRECIO REFERENCIA MAYO'!C57:F222,4,FALSE)</f>
        <v>3376</v>
      </c>
      <c r="F52" s="499">
        <f>+VLOOKUP(C52,'PRECIO REFERENCIA JULIO'!C57:F222,4,FALSE)</f>
        <v>3376</v>
      </c>
      <c r="G52" s="506">
        <f>+(F52-E52)/E52</f>
        <v>0</v>
      </c>
      <c r="J52" s="330"/>
    </row>
    <row r="53" spans="2:10" ht="15.75" customHeight="1">
      <c r="B53" s="597"/>
      <c r="C53" s="74" t="s">
        <v>64</v>
      </c>
      <c r="D53" s="196" t="s">
        <v>33</v>
      </c>
      <c r="E53" s="499">
        <f>+VLOOKUP(C53,'PRECIO REFERENCIA MAYO'!C58:F223,4,FALSE)</f>
        <v>8441.56</v>
      </c>
      <c r="F53" s="499">
        <f>+VLOOKUP(C53,'PRECIO REFERENCIA JULIO'!C58:F223,4,FALSE)</f>
        <v>8441.56</v>
      </c>
      <c r="G53" s="506">
        <f>+(F53-E53)/E53</f>
        <v>0</v>
      </c>
      <c r="J53" s="330"/>
    </row>
    <row r="54" spans="2:10" ht="15.75" customHeight="1">
      <c r="B54" s="651"/>
      <c r="C54" s="569"/>
      <c r="D54" s="622"/>
      <c r="E54" s="337"/>
      <c r="F54" s="500"/>
      <c r="G54" s="477"/>
      <c r="J54" s="330"/>
    </row>
    <row r="55" spans="2:10" ht="15.75" customHeight="1">
      <c r="B55" s="133">
        <v>3212002017</v>
      </c>
      <c r="C55" s="30" t="s">
        <v>65</v>
      </c>
      <c r="D55" s="79" t="s">
        <v>15</v>
      </c>
      <c r="E55" s="499">
        <f>+VLOOKUP(C55,'PRECIO REFERENCIA MAYO'!C60:F225,4,FALSE)</f>
        <v>7959.18</v>
      </c>
      <c r="F55" s="499">
        <f>+VLOOKUP(C55,'PRECIO REFERENCIA JULIO'!C60:F225,4,FALSE)</f>
        <v>22857.14</v>
      </c>
      <c r="G55" s="506">
        <f>+(F55-E55)/E55</f>
        <v>1.8717958382647457</v>
      </c>
      <c r="J55" s="330"/>
    </row>
    <row r="56" spans="2:10" ht="15.75" customHeight="1">
      <c r="B56" s="652" t="s">
        <v>66</v>
      </c>
      <c r="C56" s="569"/>
      <c r="D56" s="622"/>
      <c r="E56" s="337"/>
      <c r="F56" s="500"/>
      <c r="G56" s="477"/>
      <c r="J56" s="330"/>
    </row>
    <row r="57" spans="2:10" ht="15.75" customHeight="1">
      <c r="B57" s="48">
        <v>32220001</v>
      </c>
      <c r="C57" s="30" t="s">
        <v>67</v>
      </c>
      <c r="D57" s="49" t="s">
        <v>17</v>
      </c>
      <c r="E57" s="499">
        <f>+VLOOKUP(C57,'PRECIO REFERENCIA MAYO'!C62:F227,4,FALSE)</f>
        <v>4296.95</v>
      </c>
      <c r="F57" s="499">
        <f>+VLOOKUP(C57,'PRECIO REFERENCIA JULIO'!C62:F227,4,FALSE)</f>
        <v>4762.45</v>
      </c>
      <c r="G57" s="506">
        <f>+(F57-E57)/E57</f>
        <v>0.10833265455730227</v>
      </c>
      <c r="J57" s="330"/>
    </row>
    <row r="58" spans="2:10" ht="15.75" customHeight="1">
      <c r="B58" s="651"/>
      <c r="C58" s="569"/>
      <c r="D58" s="622"/>
      <c r="E58" s="337"/>
      <c r="F58" s="500"/>
      <c r="G58" s="477"/>
      <c r="J58" s="330"/>
    </row>
    <row r="59" spans="2:10" ht="15.75" customHeight="1">
      <c r="B59" s="133">
        <v>321500041</v>
      </c>
      <c r="C59" s="26" t="s">
        <v>68</v>
      </c>
      <c r="D59" s="79" t="s">
        <v>15</v>
      </c>
      <c r="E59" s="499">
        <f>+VLOOKUP(C59,'PRECIO REFERENCIA MAYO'!C64:F229,4,FALSE)</f>
        <v>2479.5918000000001</v>
      </c>
      <c r="F59" s="499">
        <f>+VLOOKUP(C59,'PRECIO REFERENCIA JULIO'!C64:F229,4,FALSE)</f>
        <v>2479.5918000000001</v>
      </c>
      <c r="G59" s="506">
        <f>+(F59-E59)/E59</f>
        <v>0</v>
      </c>
      <c r="J59" s="330"/>
    </row>
    <row r="60" spans="2:10" ht="15.75" customHeight="1">
      <c r="B60" s="651"/>
      <c r="C60" s="569"/>
      <c r="D60" s="622"/>
      <c r="E60" s="337"/>
      <c r="F60" s="500"/>
      <c r="G60" s="477"/>
      <c r="J60" s="330"/>
    </row>
    <row r="61" spans="2:10" ht="15.75" customHeight="1">
      <c r="B61" s="607">
        <v>3201000612</v>
      </c>
      <c r="C61" s="19" t="s">
        <v>69</v>
      </c>
      <c r="D61" s="182" t="s">
        <v>17</v>
      </c>
      <c r="E61" s="499">
        <f>+VLOOKUP(C61,'PRECIO REFERENCIA MAYO'!C66:F231,4,FALSE)</f>
        <v>1007.5</v>
      </c>
      <c r="F61" s="499">
        <f>+VLOOKUP(C61,'PRECIO REFERENCIA JULIO'!C66:F231,4,FALSE)</f>
        <v>1323.53</v>
      </c>
      <c r="G61" s="506">
        <f>+(F61-E61)/E61</f>
        <v>0.31367741935483867</v>
      </c>
      <c r="J61" s="330"/>
    </row>
    <row r="62" spans="2:10" ht="15.75" customHeight="1">
      <c r="B62" s="596"/>
      <c r="C62" s="19" t="s">
        <v>70</v>
      </c>
      <c r="D62" s="182" t="s">
        <v>17</v>
      </c>
      <c r="E62" s="499">
        <f>+VLOOKUP(C62,'PRECIO REFERENCIA MAYO'!C67:F232,4,FALSE)</f>
        <v>1445.5</v>
      </c>
      <c r="F62" s="499">
        <f>+VLOOKUP(C62,'PRECIO REFERENCIA JULIO'!C67:F232,4,FALSE)</f>
        <v>1695</v>
      </c>
      <c r="G62" s="506">
        <f>+(F62-E62)/E62</f>
        <v>0.17260463507436874</v>
      </c>
      <c r="J62" s="330"/>
    </row>
    <row r="63" spans="2:10" ht="15.75" customHeight="1">
      <c r="B63" s="597"/>
      <c r="C63" s="464" t="s">
        <v>580</v>
      </c>
      <c r="D63" s="79" t="s">
        <v>17</v>
      </c>
      <c r="E63" s="499">
        <f>+VLOOKUP(C63,'PRECIO REFERENCIA MAYO'!C68:F233,4,FALSE)</f>
        <v>478.5</v>
      </c>
      <c r="F63" s="499">
        <f>+VLOOKUP(C63,'PRECIO REFERENCIA JULIO'!C68:F233,4,FALSE)</f>
        <v>560</v>
      </c>
      <c r="G63" s="506">
        <f>+(F63-E63)/E63</f>
        <v>0.17032392894461859</v>
      </c>
      <c r="J63" s="330"/>
    </row>
    <row r="64" spans="2:10" ht="15.75" customHeight="1">
      <c r="B64" s="651"/>
      <c r="C64" s="569"/>
      <c r="D64" s="622"/>
      <c r="E64" s="337"/>
      <c r="F64" s="500"/>
      <c r="G64" s="477"/>
      <c r="J64" s="330"/>
    </row>
    <row r="65" spans="2:10" ht="15.75" customHeight="1">
      <c r="B65" s="133">
        <v>321500036</v>
      </c>
      <c r="C65" s="26" t="s">
        <v>72</v>
      </c>
      <c r="D65" s="79" t="s">
        <v>73</v>
      </c>
      <c r="E65" s="499">
        <f>+VLOOKUP(C65,'PRECIO REFERENCIA MAYO'!C70:F235,4,FALSE)</f>
        <v>2823.8150000000001</v>
      </c>
      <c r="F65" s="499">
        <f>+VLOOKUP(C65,'PRECIO REFERENCIA JULIO'!C70:F235,4,FALSE)</f>
        <v>3400.3150000000001</v>
      </c>
      <c r="G65" s="506">
        <f>+(F65-E65)/E65</f>
        <v>0.20415643376071024</v>
      </c>
      <c r="J65" s="330"/>
    </row>
    <row r="66" spans="2:10" ht="15.75" customHeight="1">
      <c r="B66" s="652" t="s">
        <v>74</v>
      </c>
      <c r="C66" s="569"/>
      <c r="D66" s="622"/>
      <c r="E66" s="337"/>
      <c r="F66" s="500"/>
      <c r="G66" s="477"/>
      <c r="J66" s="330"/>
    </row>
    <row r="67" spans="2:10" ht="15.75" customHeight="1">
      <c r="B67" s="133">
        <v>32050001</v>
      </c>
      <c r="C67" s="26" t="s">
        <v>75</v>
      </c>
      <c r="D67" s="79" t="s">
        <v>17</v>
      </c>
      <c r="E67" s="499">
        <f>+VLOOKUP(C67,'PRECIO REFERENCIA MAYO'!C72:F237,4,FALSE)</f>
        <v>40.275500000000001</v>
      </c>
      <c r="F67" s="499">
        <f>+VLOOKUP(C67,'PRECIO REFERENCIA JULIO'!C72:F237,4,FALSE)</f>
        <v>57.551000000000002</v>
      </c>
      <c r="G67" s="506">
        <f>+(F67-E67)/E67</f>
        <v>0.42893322243050985</v>
      </c>
      <c r="J67" s="330"/>
    </row>
    <row r="68" spans="2:10" ht="15.75" customHeight="1">
      <c r="B68" s="651"/>
      <c r="C68" s="569"/>
      <c r="D68" s="622"/>
      <c r="E68" s="337"/>
      <c r="F68" s="500"/>
      <c r="G68" s="477"/>
      <c r="J68" s="330"/>
    </row>
    <row r="69" spans="2:10" ht="15.75" customHeight="1">
      <c r="B69" s="48">
        <v>320700121</v>
      </c>
      <c r="C69" s="33" t="s">
        <v>76</v>
      </c>
      <c r="D69" s="338" t="s">
        <v>17</v>
      </c>
      <c r="E69" s="478"/>
      <c r="F69" s="478"/>
      <c r="G69" s="476"/>
      <c r="H69" t="s">
        <v>337</v>
      </c>
      <c r="J69" s="330"/>
    </row>
    <row r="70" spans="2:10" ht="15.75" customHeight="1">
      <c r="B70" s="652" t="s">
        <v>77</v>
      </c>
      <c r="C70" s="569"/>
      <c r="D70" s="622"/>
      <c r="E70" s="337"/>
      <c r="F70" s="500"/>
      <c r="G70" s="477"/>
      <c r="J70" s="330"/>
    </row>
    <row r="71" spans="2:10" ht="15.75" customHeight="1">
      <c r="B71" s="607">
        <v>32160002</v>
      </c>
      <c r="C71" s="26" t="s">
        <v>78</v>
      </c>
      <c r="D71" s="79" t="s">
        <v>17</v>
      </c>
      <c r="E71" s="499">
        <f>+VLOOKUP(C71,'PRECIO REFERENCIA MAYO'!C76:F241,4,FALSE)</f>
        <v>262.61196666666666</v>
      </c>
      <c r="F71" s="499">
        <f>+VLOOKUP(C71,'PRECIO REFERENCIA JULIO'!C76:F241,4,FALSE)</f>
        <v>294.23863333333333</v>
      </c>
      <c r="G71" s="506">
        <f>+(F71-E71)/E71</f>
        <v>0.12043117100908958</v>
      </c>
      <c r="J71" s="330"/>
    </row>
    <row r="72" spans="2:10" ht="15.75" customHeight="1">
      <c r="B72" s="596"/>
      <c r="C72" s="26" t="s">
        <v>79</v>
      </c>
      <c r="D72" s="79" t="s">
        <v>17</v>
      </c>
      <c r="E72" s="499">
        <f>+VLOOKUP(C72,'PRECIO REFERENCIA MAYO'!C77:F242,4,FALSE)</f>
        <v>281.65959999999995</v>
      </c>
      <c r="F72" s="499">
        <f>+VLOOKUP(C72,'PRECIO REFERENCIA JULIO'!C77:F242,4,FALSE)</f>
        <v>313.28626666666668</v>
      </c>
      <c r="G72" s="506">
        <f>+(F72-E72)/E72</f>
        <v>0.11228684080594706</v>
      </c>
      <c r="J72" s="330"/>
    </row>
    <row r="73" spans="2:10" ht="15.75" customHeight="1">
      <c r="B73" s="597"/>
      <c r="C73" s="26" t="s">
        <v>80</v>
      </c>
      <c r="D73" s="79" t="s">
        <v>17</v>
      </c>
      <c r="E73" s="499">
        <f>+VLOOKUP(C73,'PRECIO REFERENCIA MAYO'!C78:F243,4,FALSE)</f>
        <v>306.14936666666671</v>
      </c>
      <c r="F73" s="499">
        <f>+VLOOKUP(C73,'PRECIO REFERENCIA JULIO'!C78:F243,4,FALSE)</f>
        <v>337.77603333333332</v>
      </c>
      <c r="G73" s="506">
        <f>+(F73-E73)/E73</f>
        <v>0.10330469408124401</v>
      </c>
      <c r="J73" s="330"/>
    </row>
    <row r="74" spans="2:10" ht="15.75" customHeight="1">
      <c r="B74" s="652"/>
      <c r="C74" s="569"/>
      <c r="D74" s="622"/>
      <c r="E74" s="337"/>
      <c r="F74" s="500"/>
      <c r="G74" s="477"/>
      <c r="J74" s="330"/>
    </row>
    <row r="75" spans="2:10" ht="15.75" customHeight="1">
      <c r="B75" s="144">
        <v>321200161</v>
      </c>
      <c r="C75" s="33" t="s">
        <v>81</v>
      </c>
      <c r="D75" s="338" t="s">
        <v>15</v>
      </c>
      <c r="E75" s="478"/>
      <c r="F75" s="499">
        <f>+VLOOKUP(C75,'PRECIO REFERENCIA JULIO'!C80:F245,4,FALSE)</f>
        <v>2470</v>
      </c>
      <c r="G75" s="551"/>
      <c r="J75" s="330"/>
    </row>
    <row r="76" spans="2:10" ht="15.75" customHeight="1">
      <c r="B76" s="144">
        <v>321200172</v>
      </c>
      <c r="C76" s="33" t="s">
        <v>82</v>
      </c>
      <c r="D76" s="338" t="s">
        <v>15</v>
      </c>
      <c r="E76" s="478"/>
      <c r="F76" s="499">
        <f>+VLOOKUP(C76,'PRECIO REFERENCIA JULIO'!C81:F246,4,FALSE)</f>
        <v>3500.5</v>
      </c>
      <c r="G76" s="551"/>
      <c r="J76" s="330"/>
    </row>
    <row r="77" spans="2:10" ht="15.75" customHeight="1">
      <c r="B77" s="652"/>
      <c r="C77" s="569"/>
      <c r="D77" s="622"/>
      <c r="E77" s="337"/>
      <c r="F77" s="500"/>
      <c r="G77" s="477"/>
      <c r="J77" s="330"/>
    </row>
    <row r="78" spans="2:10" ht="15.75" customHeight="1">
      <c r="B78" s="144">
        <v>321200192</v>
      </c>
      <c r="C78" s="19" t="s">
        <v>83</v>
      </c>
      <c r="D78" s="101" t="s">
        <v>17</v>
      </c>
      <c r="E78" s="499">
        <f>+VLOOKUP(C78,'PRECIO REFERENCIA MAYO'!C83:F248,4,FALSE)</f>
        <v>1750</v>
      </c>
      <c r="F78" s="499">
        <f>+VLOOKUP(C78,'PRECIO REFERENCIA JULIO'!C83:F248,4,FALSE)</f>
        <v>3100</v>
      </c>
      <c r="G78" s="506">
        <f>+(F78-E78)/E78</f>
        <v>0.77142857142857146</v>
      </c>
      <c r="J78" s="330"/>
    </row>
    <row r="79" spans="2:10" ht="15.75" customHeight="1">
      <c r="B79" s="652" t="s">
        <v>84</v>
      </c>
      <c r="C79" s="569"/>
      <c r="D79" s="622"/>
      <c r="E79" s="337"/>
      <c r="F79" s="500"/>
      <c r="G79" s="477"/>
      <c r="J79" s="330"/>
    </row>
    <row r="80" spans="2:10" ht="15.75" customHeight="1">
      <c r="B80" s="607">
        <v>32020003</v>
      </c>
      <c r="C80" s="26" t="s">
        <v>85</v>
      </c>
      <c r="D80" s="79" t="s">
        <v>86</v>
      </c>
      <c r="E80" s="499">
        <f>+VLOOKUP(C80,'PRECIO REFERENCIA MAYO'!C85:F250,4,FALSE)</f>
        <v>7531.12</v>
      </c>
      <c r="F80" s="499">
        <f>+VLOOKUP(C80,'PRECIO REFERENCIA JULIO'!C85:F250,4,FALSE)</f>
        <v>7706.12</v>
      </c>
      <c r="G80" s="506">
        <f>+(F80-E80)/E80</f>
        <v>2.323691562476763E-2</v>
      </c>
      <c r="J80" s="330"/>
    </row>
    <row r="81" spans="2:10" ht="15.75" customHeight="1">
      <c r="B81" s="597"/>
      <c r="C81" s="26" t="s">
        <v>87</v>
      </c>
      <c r="D81" s="79" t="s">
        <v>88</v>
      </c>
      <c r="E81" s="499">
        <f>+VLOOKUP(C81,'PRECIO REFERENCIA MAYO'!C86:F251,4,FALSE)</f>
        <v>372.24491999999998</v>
      </c>
      <c r="F81" s="499">
        <f>+VLOOKUP(C81,'PRECIO REFERENCIA JULIO'!C86:F251,4,FALSE)</f>
        <v>372.24491999999998</v>
      </c>
      <c r="G81" s="506">
        <f>+(F81-E81)/E81</f>
        <v>0</v>
      </c>
      <c r="J81" s="330"/>
    </row>
    <row r="82" spans="2:10" ht="15.75" customHeight="1">
      <c r="B82" s="144">
        <v>320200024</v>
      </c>
      <c r="C82" s="186" t="s">
        <v>89</v>
      </c>
      <c r="D82" s="279" t="s">
        <v>86</v>
      </c>
      <c r="E82" s="499">
        <f>+VLOOKUP(C82,'PRECIO REFERENCIA MAYO'!C87:F252,4,FALSE)</f>
        <v>7531.12</v>
      </c>
      <c r="F82" s="499">
        <f>+VLOOKUP(C82,'PRECIO REFERENCIA JULIO'!C87:F252,4,FALSE)</f>
        <v>7706.12</v>
      </c>
      <c r="G82" s="506">
        <f>+(F82-E82)/E82</f>
        <v>2.323691562476763E-2</v>
      </c>
      <c r="H82" t="s">
        <v>566</v>
      </c>
      <c r="J82" s="330"/>
    </row>
    <row r="83" spans="2:10" ht="15.75" customHeight="1">
      <c r="B83" s="652"/>
      <c r="C83" s="569"/>
      <c r="D83" s="622"/>
      <c r="E83" s="337"/>
      <c r="F83" s="500"/>
      <c r="G83" s="477"/>
      <c r="J83" s="330"/>
    </row>
    <row r="84" spans="2:10" ht="15.75" customHeight="1">
      <c r="B84" s="133">
        <v>320500026</v>
      </c>
      <c r="C84" s="26" t="s">
        <v>90</v>
      </c>
      <c r="D84" s="79" t="s">
        <v>91</v>
      </c>
      <c r="E84" s="499">
        <f>+VLOOKUP(C84,'PRECIO REFERENCIA MAYO'!C89:F254,4,FALSE)</f>
        <v>595.33333333333337</v>
      </c>
      <c r="F84" s="499">
        <f>+VLOOKUP(C84,'PRECIO REFERENCIA JULIO'!C89:F254,4,FALSE)</f>
        <v>595</v>
      </c>
      <c r="G84" s="506">
        <f>+(F84-E84)/E84</f>
        <v>-5.5991041433377025E-4</v>
      </c>
      <c r="J84" s="330"/>
    </row>
    <row r="85" spans="2:10" ht="15.75" customHeight="1">
      <c r="B85" s="652" t="s">
        <v>92</v>
      </c>
      <c r="C85" s="569"/>
      <c r="D85" s="622"/>
      <c r="E85" s="337"/>
      <c r="F85" s="500"/>
      <c r="G85" s="477"/>
      <c r="J85" s="330"/>
    </row>
    <row r="86" spans="2:10" ht="15.75" customHeight="1">
      <c r="B86" s="144">
        <v>320100112</v>
      </c>
      <c r="C86" s="19" t="s">
        <v>93</v>
      </c>
      <c r="D86" s="101" t="s">
        <v>94</v>
      </c>
      <c r="E86" s="499">
        <f>+VLOOKUP(C86,'PRECIO REFERENCIA MAYO'!C91:F256,4,FALSE)</f>
        <v>4372.4500000000007</v>
      </c>
      <c r="F86" s="499">
        <f>+VLOOKUP(C86,'PRECIO REFERENCIA JULIO'!C91:F256,4,FALSE)</f>
        <v>2979.5950000000003</v>
      </c>
      <c r="G86" s="506">
        <f>+(F86-E86)/E86</f>
        <v>-0.31855252775903675</v>
      </c>
      <c r="J86" s="330"/>
    </row>
    <row r="87" spans="2:10" ht="15.75" customHeight="1">
      <c r="B87" s="144">
        <v>320100123</v>
      </c>
      <c r="C87" s="19" t="s">
        <v>95</v>
      </c>
      <c r="D87" s="101" t="s">
        <v>96</v>
      </c>
      <c r="E87" s="499">
        <f>+VLOOKUP(C87,'PRECIO REFERENCIA MAYO'!C92:F257,4,FALSE)</f>
        <v>187.7551</v>
      </c>
      <c r="F87" s="499">
        <f>+VLOOKUP(C87,'PRECIO REFERENCIA JULIO'!C92:F257,4,FALSE)</f>
        <v>175.5102</v>
      </c>
      <c r="G87" s="506">
        <f>+(F87-E87)/E87</f>
        <v>-6.521740288279787E-2</v>
      </c>
      <c r="J87" s="330"/>
    </row>
    <row r="88" spans="2:10" ht="15.75" customHeight="1">
      <c r="B88" s="144">
        <v>3201001710</v>
      </c>
      <c r="C88" s="19" t="s">
        <v>97</v>
      </c>
      <c r="D88" s="101" t="s">
        <v>94</v>
      </c>
      <c r="E88" s="499">
        <f>+VLOOKUP(C88,'PRECIO REFERENCIA MAYO'!C93:F258,4,FALSE)</f>
        <v>6389.7950000000001</v>
      </c>
      <c r="F88" s="499">
        <f>+VLOOKUP(C88,'PRECIO REFERENCIA JULIO'!C93:F258,4,FALSE)</f>
        <v>6039.7950000000001</v>
      </c>
      <c r="G88" s="506">
        <f>+(F88-E88)/E88</f>
        <v>-5.4774840194403734E-2</v>
      </c>
      <c r="J88" s="330"/>
    </row>
    <row r="89" spans="2:10" ht="15.75" customHeight="1">
      <c r="B89" s="652" t="s">
        <v>98</v>
      </c>
      <c r="C89" s="569"/>
      <c r="D89" s="622"/>
      <c r="E89" s="337"/>
      <c r="F89" s="500"/>
      <c r="G89" s="477"/>
      <c r="J89" s="330"/>
    </row>
    <row r="90" spans="2:10" ht="15.75" customHeight="1">
      <c r="B90" s="607">
        <v>32070006</v>
      </c>
      <c r="C90" s="30" t="s">
        <v>99</v>
      </c>
      <c r="D90" s="230" t="s">
        <v>15</v>
      </c>
      <c r="E90" s="499">
        <f>+VLOOKUP(C90,'PRECIO REFERENCIA MAYO'!C95:F260,4,FALSE)</f>
        <v>240</v>
      </c>
      <c r="F90" s="499">
        <f>+VLOOKUP(C90,'PRECIO REFERENCIA JULIO'!C95:F260,4,FALSE)</f>
        <v>450</v>
      </c>
      <c r="G90" s="506">
        <f>+(F90-E90)/E90</f>
        <v>0.875</v>
      </c>
      <c r="J90" s="330"/>
    </row>
    <row r="91" spans="2:10" ht="15.75" customHeight="1">
      <c r="B91" s="596"/>
      <c r="C91" s="26" t="s">
        <v>100</v>
      </c>
      <c r="D91" s="79" t="s">
        <v>17</v>
      </c>
      <c r="E91" s="499">
        <f>+VLOOKUP(C91,'PRECIO REFERENCIA MAYO'!C96:F261,4,FALSE)</f>
        <v>94.545400000000001</v>
      </c>
      <c r="F91" s="499">
        <f>+VLOOKUP(C91,'PRECIO REFERENCIA JULIO'!C96:F261,4,FALSE)</f>
        <v>61.224499999999999</v>
      </c>
      <c r="G91" s="506">
        <f>+(F91-E91)/E91</f>
        <v>-0.35243279948046125</v>
      </c>
      <c r="J91" s="330"/>
    </row>
    <row r="92" spans="2:10" ht="15.75" customHeight="1">
      <c r="B92" s="596"/>
      <c r="C92" s="26" t="s">
        <v>101</v>
      </c>
      <c r="D92" s="79" t="s">
        <v>17</v>
      </c>
      <c r="E92" s="499">
        <f>+VLOOKUP(C92,'PRECIO REFERENCIA MAYO'!C97:F262,4,FALSE)</f>
        <v>1161.2245</v>
      </c>
      <c r="F92" s="499">
        <f>+VLOOKUP(C92,'PRECIO REFERENCIA JULIO'!C97:F262,4,FALSE)</f>
        <v>1161.2245</v>
      </c>
      <c r="G92" s="506">
        <f>+(F92-E92)/E92</f>
        <v>0</v>
      </c>
      <c r="J92" s="330"/>
    </row>
    <row r="93" spans="2:10" ht="15.75" customHeight="1">
      <c r="B93" s="596"/>
      <c r="C93" s="26" t="s">
        <v>102</v>
      </c>
      <c r="D93" s="79" t="s">
        <v>15</v>
      </c>
      <c r="E93" s="499">
        <f>+VLOOKUP(C93,'PRECIO REFERENCIA MAYO'!C98:F263,4,FALSE)</f>
        <v>80</v>
      </c>
      <c r="F93" s="499">
        <f>+VLOOKUP(C93,'PRECIO REFERENCIA JULIO'!C98:F263,4,FALSE)</f>
        <v>325</v>
      </c>
      <c r="G93" s="506">
        <f>+(F93-E93)/E93</f>
        <v>3.0625</v>
      </c>
      <c r="J93" s="330"/>
    </row>
    <row r="94" spans="2:10" ht="15.75" customHeight="1">
      <c r="B94" s="597"/>
      <c r="C94" s="186" t="s">
        <v>103</v>
      </c>
      <c r="D94" s="279" t="s">
        <v>17</v>
      </c>
      <c r="E94" s="499">
        <f>+VLOOKUP(C94,'PRECIO REFERENCIA MAYO'!C99:F264,4,FALSE)</f>
        <v>436.73470000000003</v>
      </c>
      <c r="F94" s="499">
        <f>+VLOOKUP(C94,'PRECIO REFERENCIA JULIO'!C99:F264,4,FALSE)</f>
        <v>436.73470000000003</v>
      </c>
      <c r="G94" s="506">
        <f>+(F94-E94)/E94</f>
        <v>0</v>
      </c>
      <c r="J94" s="330"/>
    </row>
    <row r="95" spans="2:10" ht="15.75" customHeight="1">
      <c r="B95" s="253"/>
      <c r="C95" s="39"/>
      <c r="D95" s="254"/>
      <c r="E95" s="337"/>
      <c r="F95" s="500"/>
      <c r="G95" s="477"/>
      <c r="J95" s="330"/>
    </row>
    <row r="96" spans="2:10" ht="15.75" customHeight="1">
      <c r="B96" s="255">
        <v>321600081</v>
      </c>
      <c r="C96" s="30" t="s">
        <v>104</v>
      </c>
      <c r="D96" s="230" t="s">
        <v>17</v>
      </c>
      <c r="E96" s="499">
        <f>+VLOOKUP(C96,'PRECIO REFERENCIA MAYO'!C101:F266,4,FALSE)</f>
        <v>5390.5</v>
      </c>
      <c r="F96" s="499">
        <f>+VLOOKUP(C96,'PRECIO REFERENCIA JULIO'!C101:F266,4,FALSE)</f>
        <v>8065</v>
      </c>
      <c r="G96" s="506">
        <f>+(F96-E96)/E96</f>
        <v>0.49615063537705223</v>
      </c>
      <c r="J96" s="330"/>
    </row>
    <row r="97" spans="2:10" ht="15.75" customHeight="1">
      <c r="B97" s="652" t="s">
        <v>105</v>
      </c>
      <c r="C97" s="569"/>
      <c r="D97" s="622"/>
      <c r="E97" s="337"/>
      <c r="F97" s="500"/>
      <c r="G97" s="477"/>
      <c r="J97" s="330"/>
    </row>
    <row r="98" spans="2:10" ht="15.75" customHeight="1">
      <c r="B98" s="144">
        <v>32030001</v>
      </c>
      <c r="C98" s="26" t="s">
        <v>106</v>
      </c>
      <c r="D98" s="79" t="s">
        <v>17</v>
      </c>
      <c r="E98" s="499">
        <f>+VLOOKUP(C98,'PRECIO REFERENCIA MAYO'!C103:F268,4,FALSE)</f>
        <v>29.414999999999999</v>
      </c>
      <c r="F98" s="499">
        <f>+VLOOKUP(C98,'PRECIO REFERENCIA JULIO'!C103:F268,4,FALSE)</f>
        <v>52.7</v>
      </c>
      <c r="G98" s="506">
        <f>+(F98-E98)/E98</f>
        <v>0.79160292367839558</v>
      </c>
      <c r="J98" s="330"/>
    </row>
    <row r="99" spans="2:10" ht="15.75" customHeight="1">
      <c r="B99" s="651"/>
      <c r="C99" s="569"/>
      <c r="D99" s="622"/>
      <c r="E99" s="337"/>
      <c r="F99" s="500"/>
      <c r="G99" s="477"/>
      <c r="J99" s="330"/>
    </row>
    <row r="100" spans="2:10" ht="15.75" customHeight="1">
      <c r="B100" s="144">
        <v>321500154</v>
      </c>
      <c r="C100" s="33" t="s">
        <v>107</v>
      </c>
      <c r="D100" s="338" t="s">
        <v>15</v>
      </c>
      <c r="E100" s="478"/>
      <c r="F100" s="478"/>
      <c r="G100" s="476"/>
      <c r="H100" t="s">
        <v>409</v>
      </c>
      <c r="J100" s="330"/>
    </row>
    <row r="101" spans="2:10" ht="15.75" customHeight="1">
      <c r="B101" s="652" t="s">
        <v>108</v>
      </c>
      <c r="C101" s="569"/>
      <c r="D101" s="622"/>
      <c r="E101" s="337"/>
      <c r="F101" s="500"/>
      <c r="G101" s="477"/>
      <c r="J101" s="330"/>
    </row>
    <row r="102" spans="2:10" ht="15.75" customHeight="1">
      <c r="B102" s="613">
        <v>32070007</v>
      </c>
      <c r="C102" s="14" t="s">
        <v>109</v>
      </c>
      <c r="D102" s="49" t="s">
        <v>17</v>
      </c>
      <c r="E102" s="499">
        <f>+VLOOKUP(C102,'PRECIO REFERENCIA MAYO'!C107:F272,4,FALSE)</f>
        <v>15.871233333333331</v>
      </c>
      <c r="F102" s="499">
        <f>+VLOOKUP(C102,'PRECIO REFERENCIA JULIO'!C107:F272,4,FALSE)</f>
        <v>24.034566666666667</v>
      </c>
      <c r="G102" s="506">
        <f>+(F102-E102)/E102</f>
        <v>0.51434776125358905</v>
      </c>
      <c r="J102" s="330"/>
    </row>
    <row r="103" spans="2:10" ht="15.75" customHeight="1">
      <c r="B103" s="596"/>
      <c r="C103" s="14" t="s">
        <v>110</v>
      </c>
      <c r="D103" s="49" t="s">
        <v>17</v>
      </c>
      <c r="E103" s="499">
        <f>+VLOOKUP(C103,'PRECIO REFERENCIA MAYO'!C108:F273,4,FALSE)</f>
        <v>24.071449999999999</v>
      </c>
      <c r="F103" s="499">
        <f>+VLOOKUP(C103,'PRECIO REFERENCIA JULIO'!C108:F273,4,FALSE)</f>
        <v>23.571449999999999</v>
      </c>
      <c r="G103" s="506">
        <f>+(F103-E103)/E103</f>
        <v>-2.0771494862170746E-2</v>
      </c>
      <c r="J103" s="330"/>
    </row>
    <row r="104" spans="2:10" ht="15.75" customHeight="1">
      <c r="B104" s="596"/>
      <c r="C104" s="14" t="s">
        <v>111</v>
      </c>
      <c r="D104" s="49" t="s">
        <v>17</v>
      </c>
      <c r="E104" s="499">
        <f>+VLOOKUP(C104,'PRECIO REFERENCIA MAYO'!C109:F274,4,FALSE)</f>
        <v>52.775500000000001</v>
      </c>
      <c r="F104" s="499">
        <f>+VLOOKUP(C104,'PRECIO REFERENCIA JULIO'!C109:F274,4,FALSE)</f>
        <v>57.775500000000001</v>
      </c>
      <c r="G104" s="506">
        <f>+(F104-E104)/E104</f>
        <v>9.4740930924387262E-2</v>
      </c>
      <c r="J104" s="330"/>
    </row>
    <row r="105" spans="2:10" ht="15.75" customHeight="1">
      <c r="B105" s="596"/>
      <c r="C105" s="14" t="s">
        <v>112</v>
      </c>
      <c r="D105" s="49" t="s">
        <v>17</v>
      </c>
      <c r="E105" s="499">
        <f>+VLOOKUP(C105,'PRECIO REFERENCIA MAYO'!C110:F275,4,FALSE)</f>
        <v>101</v>
      </c>
      <c r="F105" s="499">
        <f>+VLOOKUP(C105,'PRECIO REFERENCIA JULIO'!C110:F275,4,FALSE)</f>
        <v>260</v>
      </c>
      <c r="G105" s="506">
        <f>+(F105-E105)/E105</f>
        <v>1.5742574257425743</v>
      </c>
      <c r="J105" s="330"/>
    </row>
    <row r="106" spans="2:10" ht="15.75" customHeight="1">
      <c r="B106" s="597"/>
      <c r="C106" s="14" t="s">
        <v>113</v>
      </c>
      <c r="D106" s="49" t="s">
        <v>17</v>
      </c>
      <c r="E106" s="499">
        <f>+VLOOKUP(C106,'PRECIO REFERENCIA MAYO'!C111:F276,4,FALSE)</f>
        <v>14.061199999999999</v>
      </c>
      <c r="F106" s="499">
        <f>+VLOOKUP(C106,'PRECIO REFERENCIA JULIO'!C111:F276,4,FALSE)</f>
        <v>14.061199999999999</v>
      </c>
      <c r="G106" s="506">
        <f>+(F106-E106)/E106</f>
        <v>0</v>
      </c>
      <c r="J106" s="330"/>
    </row>
    <row r="107" spans="2:10" ht="15.75" customHeight="1">
      <c r="B107" s="652"/>
      <c r="C107" s="569"/>
      <c r="D107" s="622"/>
      <c r="E107" s="337"/>
      <c r="F107" s="500"/>
      <c r="G107" s="477"/>
      <c r="J107" s="330"/>
    </row>
    <row r="108" spans="2:10" ht="15.75" customHeight="1">
      <c r="B108" s="133">
        <v>321100011</v>
      </c>
      <c r="C108" s="26" t="s">
        <v>114</v>
      </c>
      <c r="D108" s="79" t="s">
        <v>17</v>
      </c>
      <c r="E108" s="499">
        <f>+VLOOKUP(C108,'PRECIO REFERENCIA MAYO'!C113:F278,4,FALSE)</f>
        <v>63.693899999999999</v>
      </c>
      <c r="F108" s="499">
        <f>+VLOOKUP(C108,'PRECIO REFERENCIA JULIO'!C113:F278,4,FALSE)</f>
        <v>82.193899999999999</v>
      </c>
      <c r="G108" s="506">
        <f>+(F108-E108)/E108</f>
        <v>0.29045167590616999</v>
      </c>
      <c r="J108" s="330"/>
    </row>
    <row r="109" spans="2:10" ht="15.75" customHeight="1">
      <c r="B109" s="652" t="s">
        <v>115</v>
      </c>
      <c r="C109" s="569"/>
      <c r="D109" s="622"/>
      <c r="E109" s="337"/>
      <c r="F109" s="500"/>
      <c r="G109" s="477"/>
      <c r="J109" s="330"/>
    </row>
    <row r="110" spans="2:10" ht="15.75" customHeight="1">
      <c r="B110" s="607">
        <v>32090019</v>
      </c>
      <c r="C110" s="26" t="s">
        <v>116</v>
      </c>
      <c r="D110" s="79" t="s">
        <v>15</v>
      </c>
      <c r="E110" s="499">
        <f>+VLOOKUP(C110,'PRECIO REFERENCIA MAYO'!C115:F280,4,FALSE)</f>
        <v>1887.76</v>
      </c>
      <c r="F110" s="499">
        <f>+VLOOKUP(C110,'PRECIO REFERENCIA JULIO'!C115:F280,4,FALSE)</f>
        <v>1887.76</v>
      </c>
      <c r="G110" s="506">
        <f t="shared" ref="G110:G118" si="0">+(F110-E110)/E110</f>
        <v>0</v>
      </c>
      <c r="J110" s="330"/>
    </row>
    <row r="111" spans="2:10" ht="15.75" customHeight="1">
      <c r="B111" s="596"/>
      <c r="C111" s="26" t="s">
        <v>117</v>
      </c>
      <c r="D111" s="79" t="s">
        <v>15</v>
      </c>
      <c r="E111" s="499">
        <f>+VLOOKUP(C111,'PRECIO REFERENCIA MAYO'!C116:F281,4,FALSE)</f>
        <v>1887.76</v>
      </c>
      <c r="F111" s="499">
        <f>+VLOOKUP(C111,'PRECIO REFERENCIA JULIO'!C116:F281,4,FALSE)</f>
        <v>1887.76</v>
      </c>
      <c r="G111" s="506">
        <f t="shared" si="0"/>
        <v>0</v>
      </c>
      <c r="J111" s="330"/>
    </row>
    <row r="112" spans="2:10" ht="15.75" customHeight="1">
      <c r="B112" s="597"/>
      <c r="C112" s="26" t="s">
        <v>118</v>
      </c>
      <c r="D112" s="79" t="s">
        <v>15</v>
      </c>
      <c r="E112" s="499">
        <f>+VLOOKUP(C112,'PRECIO REFERENCIA MAYO'!C117:F282,4,FALSE)</f>
        <v>1887.76</v>
      </c>
      <c r="F112" s="499">
        <f>+VLOOKUP(C112,'PRECIO REFERENCIA JULIO'!C117:F282,4,FALSE)</f>
        <v>1887.76</v>
      </c>
      <c r="G112" s="506">
        <f t="shared" si="0"/>
        <v>0</v>
      </c>
      <c r="J112" s="330"/>
    </row>
    <row r="113" spans="2:10" ht="15.75" customHeight="1">
      <c r="B113" s="634">
        <v>32120004</v>
      </c>
      <c r="C113" s="26" t="s">
        <v>119</v>
      </c>
      <c r="D113" s="79" t="s">
        <v>17</v>
      </c>
      <c r="E113" s="499">
        <f>+VLOOKUP(C113,'PRECIO REFERENCIA MAYO'!C118:F283,4,FALSE)</f>
        <v>159.7449</v>
      </c>
      <c r="F113" s="499">
        <f>+VLOOKUP(C113,'PRECIO REFERENCIA JULIO'!C118:F283,4,FALSE)</f>
        <v>227</v>
      </c>
      <c r="G113" s="506">
        <f t="shared" si="0"/>
        <v>0.42101563179794782</v>
      </c>
      <c r="J113" s="330"/>
    </row>
    <row r="114" spans="2:10" ht="15.75" customHeight="1">
      <c r="B114" s="597"/>
      <c r="C114" s="30" t="s">
        <v>120</v>
      </c>
      <c r="D114" s="230" t="s">
        <v>17</v>
      </c>
      <c r="E114" s="499">
        <f>+VLOOKUP(C114,'PRECIO REFERENCIA MAYO'!C119:F284,4,FALSE)</f>
        <v>185.65305999999998</v>
      </c>
      <c r="F114" s="499">
        <f>+VLOOKUP(C114,'PRECIO REFERENCIA JULIO'!C119:F284,4,FALSE)</f>
        <v>186.15305999999998</v>
      </c>
      <c r="G114" s="506">
        <f t="shared" si="0"/>
        <v>2.6931955767386761E-3</v>
      </c>
      <c r="J114" s="330"/>
    </row>
    <row r="115" spans="2:10" ht="15.75" customHeight="1">
      <c r="B115" s="613">
        <v>32120005</v>
      </c>
      <c r="C115" s="14" t="s">
        <v>121</v>
      </c>
      <c r="D115" s="49" t="s">
        <v>17</v>
      </c>
      <c r="E115" s="499">
        <f>+VLOOKUP(C115,'PRECIO REFERENCIA MAYO'!C120:F285,4,FALSE)</f>
        <v>784</v>
      </c>
      <c r="F115" s="499">
        <f>+VLOOKUP(C115,'PRECIO REFERENCIA JULIO'!C120:F285,4,FALSE)</f>
        <v>1399.5</v>
      </c>
      <c r="G115" s="506">
        <f t="shared" si="0"/>
        <v>0.78507653061224492</v>
      </c>
      <c r="J115" s="330"/>
    </row>
    <row r="116" spans="2:10" ht="15.75" customHeight="1">
      <c r="B116" s="596"/>
      <c r="C116" s="30" t="s">
        <v>122</v>
      </c>
      <c r="D116" s="49" t="s">
        <v>123</v>
      </c>
      <c r="E116" s="499">
        <f>+VLOOKUP(C116,'PRECIO REFERENCIA MAYO'!C121:F286,4,FALSE)</f>
        <v>419</v>
      </c>
      <c r="F116" s="499">
        <f>+VLOOKUP(C116,'PRECIO REFERENCIA JULIO'!C121:F286,4,FALSE)</f>
        <v>1099</v>
      </c>
      <c r="G116" s="506">
        <f t="shared" si="0"/>
        <v>1.6229116945107398</v>
      </c>
      <c r="J116" s="330"/>
    </row>
    <row r="117" spans="2:10" ht="15.75" customHeight="1">
      <c r="B117" s="596"/>
      <c r="C117" s="14" t="s">
        <v>124</v>
      </c>
      <c r="D117" s="49" t="s">
        <v>123</v>
      </c>
      <c r="E117" s="499">
        <f>+VLOOKUP(C117,'PRECIO REFERENCIA MAYO'!C122:F287,4,FALSE)</f>
        <v>759</v>
      </c>
      <c r="F117" s="499">
        <f>+VLOOKUP(C117,'PRECIO REFERENCIA JULIO'!C122:F287,4,FALSE)</f>
        <v>1439.5</v>
      </c>
      <c r="G117" s="506">
        <f t="shared" si="0"/>
        <v>0.89657444005270093</v>
      </c>
      <c r="J117" s="330"/>
    </row>
    <row r="118" spans="2:10" ht="15.75" customHeight="1">
      <c r="B118" s="597"/>
      <c r="C118" s="14" t="s">
        <v>125</v>
      </c>
      <c r="D118" s="49" t="s">
        <v>17</v>
      </c>
      <c r="E118" s="499">
        <f>+VLOOKUP(C118,'PRECIO REFERENCIA MAYO'!C123:F288,4,FALSE)</f>
        <v>620</v>
      </c>
      <c r="F118" s="499">
        <f>+VLOOKUP(C118,'PRECIO REFERENCIA JULIO'!C123:F288,4,FALSE)</f>
        <v>1700</v>
      </c>
      <c r="G118" s="506">
        <f t="shared" si="0"/>
        <v>1.7419354838709677</v>
      </c>
      <c r="J118" s="330"/>
    </row>
    <row r="119" spans="2:10" ht="15.75" customHeight="1">
      <c r="B119" s="652" t="s">
        <v>126</v>
      </c>
      <c r="C119" s="569"/>
      <c r="D119" s="622"/>
      <c r="E119" s="337"/>
      <c r="F119" s="500"/>
      <c r="G119" s="477"/>
      <c r="J119" s="330"/>
    </row>
    <row r="120" spans="2:10" ht="15.75" customHeight="1">
      <c r="B120" s="144">
        <v>32120011</v>
      </c>
      <c r="C120" s="33" t="s">
        <v>127</v>
      </c>
      <c r="D120" s="338" t="s">
        <v>17</v>
      </c>
      <c r="E120" s="478"/>
      <c r="F120" s="478"/>
      <c r="G120" s="476"/>
      <c r="H120" t="s">
        <v>460</v>
      </c>
      <c r="J120" s="330"/>
    </row>
    <row r="121" spans="2:10" ht="15.75" customHeight="1">
      <c r="B121" s="652" t="s">
        <v>128</v>
      </c>
      <c r="C121" s="569"/>
      <c r="D121" s="622"/>
      <c r="E121" s="337"/>
      <c r="F121" s="500"/>
      <c r="G121" s="477"/>
      <c r="J121" s="330"/>
    </row>
    <row r="122" spans="2:10" ht="15.75" customHeight="1">
      <c r="B122" s="607">
        <v>32080004</v>
      </c>
      <c r="C122" s="26" t="s">
        <v>129</v>
      </c>
      <c r="D122" s="79" t="s">
        <v>17</v>
      </c>
      <c r="E122" s="499">
        <f>+VLOOKUP(C122,'PRECIO REFERENCIA MAYO'!C127:F292,4,FALSE)</f>
        <v>451</v>
      </c>
      <c r="F122" s="499">
        <f>+VLOOKUP(C122,'PRECIO REFERENCIA JULIO'!C127:F292,4,FALSE)</f>
        <v>526</v>
      </c>
      <c r="G122" s="506">
        <f>+(F122-E122)/E122</f>
        <v>0.16629711751662971</v>
      </c>
      <c r="J122" s="330"/>
    </row>
    <row r="123" spans="2:10" ht="15.75" customHeight="1">
      <c r="B123" s="596"/>
      <c r="C123" s="26" t="s">
        <v>130</v>
      </c>
      <c r="D123" s="79" t="s">
        <v>17</v>
      </c>
      <c r="E123" s="499">
        <f>+VLOOKUP(C123,'PRECIO REFERENCIA MAYO'!C128:F293,4,FALSE)</f>
        <v>451</v>
      </c>
      <c r="F123" s="499">
        <f>+VLOOKUP(C123,'PRECIO REFERENCIA JULIO'!C128:F293,4,FALSE)</f>
        <v>526</v>
      </c>
      <c r="G123" s="506">
        <f>+(F123-E123)/E123</f>
        <v>0.16629711751662971</v>
      </c>
      <c r="J123" s="330"/>
    </row>
    <row r="124" spans="2:10" ht="15.75" customHeight="1">
      <c r="B124" s="597"/>
      <c r="C124" s="26" t="s">
        <v>131</v>
      </c>
      <c r="D124" s="79" t="s">
        <v>17</v>
      </c>
      <c r="E124" s="499">
        <f>+VLOOKUP(C124,'PRECIO REFERENCIA MAYO'!C129:F294,4,FALSE)</f>
        <v>451</v>
      </c>
      <c r="F124" s="499">
        <f>+VLOOKUP(C124,'PRECIO REFERENCIA JULIO'!C129:F294,4,FALSE)</f>
        <v>526</v>
      </c>
      <c r="G124" s="506">
        <f>+(F124-E124)/E124</f>
        <v>0.16629711751662971</v>
      </c>
      <c r="J124" s="330"/>
    </row>
    <row r="125" spans="2:10" ht="15.75" customHeight="1">
      <c r="B125" s="144">
        <v>320800057</v>
      </c>
      <c r="C125" s="19" t="s">
        <v>132</v>
      </c>
      <c r="D125" s="101" t="s">
        <v>17</v>
      </c>
      <c r="E125" s="499">
        <f>+VLOOKUP(C125,'PRECIO REFERENCIA MAYO'!C130:F295,4,FALSE)</f>
        <v>630</v>
      </c>
      <c r="F125" s="499">
        <f>+VLOOKUP(C125,'PRECIO REFERENCIA JULIO'!C130:F295,4,FALSE)</f>
        <v>928</v>
      </c>
      <c r="G125" s="506">
        <f>+(F125-E125)/E125</f>
        <v>0.473015873015873</v>
      </c>
      <c r="J125" s="330"/>
    </row>
    <row r="126" spans="2:10" ht="15.75" customHeight="1">
      <c r="B126" s="652"/>
      <c r="C126" s="569"/>
      <c r="D126" s="622"/>
      <c r="E126" s="337"/>
      <c r="F126" s="500"/>
      <c r="G126" s="477"/>
      <c r="J126" s="330"/>
    </row>
    <row r="127" spans="2:10" ht="15.75" customHeight="1">
      <c r="B127" s="133">
        <v>320900102</v>
      </c>
      <c r="C127" s="26" t="s">
        <v>133</v>
      </c>
      <c r="D127" s="79" t="s">
        <v>15</v>
      </c>
      <c r="E127" s="499">
        <f>+VLOOKUP(C127,'PRECIO REFERENCIA MAYO'!C132:F297,4,FALSE)</f>
        <v>587</v>
      </c>
      <c r="F127" s="499">
        <f>+VLOOKUP(C127,'PRECIO REFERENCIA JULIO'!C132:F297,4,FALSE)</f>
        <v>731</v>
      </c>
      <c r="G127" s="506">
        <f>+(F127-E127)/E127</f>
        <v>0.24531516183986371</v>
      </c>
      <c r="J127" s="330"/>
    </row>
    <row r="128" spans="2:10" ht="15.75" customHeight="1">
      <c r="B128" s="652" t="s">
        <v>134</v>
      </c>
      <c r="C128" s="569"/>
      <c r="D128" s="622"/>
      <c r="E128" s="500"/>
      <c r="F128" s="500"/>
      <c r="G128" s="477"/>
      <c r="J128" s="330"/>
    </row>
    <row r="129" spans="2:10" ht="15.75" customHeight="1">
      <c r="B129" s="133">
        <v>320900135</v>
      </c>
      <c r="C129" s="26" t="s">
        <v>135</v>
      </c>
      <c r="D129" s="79" t="s">
        <v>17</v>
      </c>
      <c r="E129" s="499">
        <f>+VLOOKUP(C129,'PRECIO REFERENCIA MAYO'!C134:F299,4,FALSE)</f>
        <v>188.77550000000002</v>
      </c>
      <c r="F129" s="499">
        <f>+VLOOKUP(C129,'PRECIO REFERENCIA JULIO'!C134:F299,4,FALSE)</f>
        <v>209.18362499999998</v>
      </c>
      <c r="G129" s="506">
        <f>+(F129-E129)/E129</f>
        <v>0.10810791124907604</v>
      </c>
      <c r="J129" s="330"/>
    </row>
    <row r="130" spans="2:10" ht="15.75" customHeight="1">
      <c r="B130" s="133">
        <v>320900131</v>
      </c>
      <c r="C130" s="26" t="s">
        <v>136</v>
      </c>
      <c r="D130" s="79" t="s">
        <v>17</v>
      </c>
      <c r="E130" s="499">
        <f>+VLOOKUP(C130,'PRECIO REFERENCIA MAYO'!C135:F300,4,FALSE)</f>
        <v>255.10218750000001</v>
      </c>
      <c r="F130" s="499">
        <f>+VLOOKUP(C130,'PRECIO REFERENCIA JULIO'!C135:F300,4,FALSE)</f>
        <v>255.10218750000001</v>
      </c>
      <c r="G130" s="506">
        <f>+(F130-E130)/E130</f>
        <v>0</v>
      </c>
      <c r="J130" s="330"/>
    </row>
    <row r="131" spans="2:10" ht="15.75" customHeight="1">
      <c r="B131" s="652"/>
      <c r="C131" s="569"/>
      <c r="D131" s="622"/>
      <c r="E131" s="500"/>
      <c r="F131" s="500"/>
      <c r="G131" s="477"/>
      <c r="J131" s="330"/>
    </row>
    <row r="132" spans="2:10" ht="15.75" customHeight="1">
      <c r="B132" s="133">
        <v>320900212</v>
      </c>
      <c r="C132" s="26" t="s">
        <v>137</v>
      </c>
      <c r="D132" s="79" t="s">
        <v>15</v>
      </c>
      <c r="E132" s="499">
        <f>+VLOOKUP(C132,'PRECIO REFERENCIA MAYO'!C137:F302,4,FALSE)</f>
        <v>750</v>
      </c>
      <c r="F132" s="499">
        <f>+VLOOKUP(C132,'PRECIO REFERENCIA JULIO'!C137:F302,4,FALSE)</f>
        <v>1045</v>
      </c>
      <c r="G132" s="506">
        <f>+(F132-E132)/E132</f>
        <v>0.39333333333333331</v>
      </c>
      <c r="J132" s="330"/>
    </row>
    <row r="133" spans="2:10" ht="15.75" customHeight="1">
      <c r="B133" s="652"/>
      <c r="C133" s="569"/>
      <c r="D133" s="622"/>
      <c r="E133" s="500"/>
      <c r="F133" s="500"/>
      <c r="G133" s="477"/>
      <c r="J133" s="330"/>
    </row>
    <row r="134" spans="2:10" ht="15.75" customHeight="1">
      <c r="B134" s="133">
        <v>320500044</v>
      </c>
      <c r="C134" s="26" t="s">
        <v>138</v>
      </c>
      <c r="D134" s="79" t="s">
        <v>63</v>
      </c>
      <c r="E134" s="499">
        <f>+VLOOKUP(C134,'PRECIO REFERENCIA MAYO'!C139:F304,4,FALSE)</f>
        <v>392.15</v>
      </c>
      <c r="F134" s="499">
        <f>+VLOOKUP(C134,'PRECIO REFERENCIA JULIO'!C139:F304,4,FALSE)</f>
        <v>445.35</v>
      </c>
      <c r="G134" s="506">
        <f>+(F134-E134)/E134</f>
        <v>0.13566237409154672</v>
      </c>
      <c r="J134" s="330"/>
    </row>
    <row r="135" spans="2:10" ht="15.75" customHeight="1">
      <c r="B135" s="133">
        <v>320500031</v>
      </c>
      <c r="C135" s="26" t="s">
        <v>139</v>
      </c>
      <c r="D135" s="79" t="s">
        <v>63</v>
      </c>
      <c r="E135" s="499">
        <f>+VLOOKUP(C135,'PRECIO REFERENCIA MAYO'!C140:F305,4,FALSE)</f>
        <v>7592.5</v>
      </c>
      <c r="F135" s="499">
        <f>+VLOOKUP(C135,'PRECIO REFERENCIA JULIO'!C140:F305,4,FALSE)</f>
        <v>7842.5</v>
      </c>
      <c r="G135" s="506">
        <f>+(F135-E135)/E135</f>
        <v>3.2927230819888048E-2</v>
      </c>
      <c r="J135" s="330"/>
    </row>
    <row r="136" spans="2:10" ht="15.75" customHeight="1">
      <c r="B136" s="144">
        <v>321500066</v>
      </c>
      <c r="C136" s="14" t="s">
        <v>140</v>
      </c>
      <c r="D136" s="49" t="s">
        <v>141</v>
      </c>
      <c r="E136" s="499">
        <f>+VLOOKUP(C136,'PRECIO REFERENCIA MAYO'!C141:F306,4,FALSE)</f>
        <v>31900</v>
      </c>
      <c r="F136" s="499">
        <f>+VLOOKUP(C136,'PRECIO REFERENCIA JULIO'!C141:F306,4,FALSE)</f>
        <v>129000</v>
      </c>
      <c r="G136" s="506">
        <f>+(F136-E136)/E136</f>
        <v>3.0438871473354232</v>
      </c>
      <c r="J136" s="330"/>
    </row>
    <row r="137" spans="2:10" ht="15.75" customHeight="1">
      <c r="B137" s="652"/>
      <c r="C137" s="569"/>
      <c r="D137" s="622"/>
      <c r="E137" s="500"/>
      <c r="F137" s="500"/>
      <c r="G137" s="477"/>
      <c r="J137" s="330"/>
    </row>
    <row r="138" spans="2:10" ht="15.75" customHeight="1">
      <c r="B138" s="133">
        <v>321600051</v>
      </c>
      <c r="C138" s="26" t="s">
        <v>142</v>
      </c>
      <c r="D138" s="79" t="s">
        <v>17</v>
      </c>
      <c r="E138" s="499">
        <f>+VLOOKUP(C138,'PRECIO REFERENCIA MAYO'!C143:F308,4,FALSE)</f>
        <v>200.83333333333334</v>
      </c>
      <c r="F138" s="499">
        <f>+VLOOKUP(C138,'PRECIO REFERENCIA JULIO'!C143:F308,4,FALSE)</f>
        <v>309.779</v>
      </c>
      <c r="G138" s="506">
        <f>+(F138-E138)/E138</f>
        <v>0.54246804979253105</v>
      </c>
      <c r="J138" s="330"/>
    </row>
    <row r="139" spans="2:10" ht="15.75" customHeight="1">
      <c r="B139" s="133">
        <v>320900041</v>
      </c>
      <c r="C139" s="26" t="s">
        <v>143</v>
      </c>
      <c r="D139" s="79" t="s">
        <v>15</v>
      </c>
      <c r="E139" s="499">
        <f>+VLOOKUP(C139,'PRECIO REFERENCIA MAYO'!C144:F309,4,FALSE)</f>
        <v>60</v>
      </c>
      <c r="F139" s="499">
        <f>+VLOOKUP(C139,'PRECIO REFERENCIA JULIO'!C144:F309,4,FALSE)</f>
        <v>64.36</v>
      </c>
      <c r="G139" s="506">
        <f>+(F139-E139)/E139</f>
        <v>7.2666666666666657E-2</v>
      </c>
      <c r="J139" s="330"/>
    </row>
    <row r="140" spans="2:10" ht="15.75" customHeight="1">
      <c r="B140" s="652"/>
      <c r="C140" s="569"/>
      <c r="D140" s="622"/>
      <c r="E140" s="500"/>
      <c r="F140" s="500"/>
      <c r="G140" s="477"/>
      <c r="J140" s="330"/>
    </row>
    <row r="141" spans="2:10" ht="15.75" customHeight="1">
      <c r="B141" s="144">
        <v>321500062</v>
      </c>
      <c r="C141" s="19" t="s">
        <v>144</v>
      </c>
      <c r="D141" s="101" t="s">
        <v>63</v>
      </c>
      <c r="E141" s="499">
        <f>+VLOOKUP(C141,'PRECIO REFERENCIA MAYO'!C146:F311,4,FALSE)</f>
        <v>75510.2</v>
      </c>
      <c r="F141" s="499">
        <f>+VLOOKUP(C141,'PRECIO REFERENCIA JULIO'!C146:F311,4,FALSE)</f>
        <v>75510.2</v>
      </c>
      <c r="G141" s="506">
        <f>+(F141-E141)/E141</f>
        <v>0</v>
      </c>
      <c r="J141" s="330"/>
    </row>
    <row r="142" spans="2:10" ht="15.75" customHeight="1">
      <c r="B142" s="652" t="s">
        <v>145</v>
      </c>
      <c r="C142" s="569"/>
      <c r="D142" s="622"/>
      <c r="E142" s="500"/>
      <c r="F142" s="500"/>
      <c r="G142" s="477"/>
      <c r="J142" s="330"/>
    </row>
    <row r="143" spans="2:10" ht="15.75" customHeight="1">
      <c r="B143" s="48">
        <v>3211000211</v>
      </c>
      <c r="C143" s="33" t="s">
        <v>146</v>
      </c>
      <c r="D143" s="338" t="s">
        <v>17</v>
      </c>
      <c r="E143" s="501"/>
      <c r="F143" s="478"/>
      <c r="G143" s="476"/>
      <c r="H143" t="s">
        <v>501</v>
      </c>
      <c r="J143" s="330"/>
    </row>
    <row r="144" spans="2:10" ht="15.75" customHeight="1">
      <c r="B144" s="48">
        <v>3211000212</v>
      </c>
      <c r="C144" s="33" t="s">
        <v>147</v>
      </c>
      <c r="D144" s="338" t="s">
        <v>15</v>
      </c>
      <c r="E144" s="501"/>
      <c r="F144" s="499">
        <f>+VLOOKUP(C144,'PRECIO REFERENCIA JULIO'!C149:F314,4,FALSE)</f>
        <v>182.5</v>
      </c>
      <c r="G144" s="551"/>
      <c r="J144" s="330"/>
    </row>
    <row r="145" spans="2:10" ht="15.75" customHeight="1">
      <c r="B145" s="652" t="s">
        <v>148</v>
      </c>
      <c r="C145" s="569"/>
      <c r="D145" s="622"/>
      <c r="E145" s="500"/>
      <c r="F145" s="500"/>
      <c r="G145" s="477"/>
      <c r="J145" s="330"/>
    </row>
    <row r="146" spans="2:10" ht="15.75" customHeight="1">
      <c r="B146" s="595">
        <v>32130006</v>
      </c>
      <c r="C146" s="19" t="s">
        <v>149</v>
      </c>
      <c r="D146" s="101" t="s">
        <v>15</v>
      </c>
      <c r="E146" s="499">
        <f>+VLOOKUP(C146,'PRECIO REFERENCIA MAYO'!C151:F316,4,FALSE)</f>
        <v>124</v>
      </c>
      <c r="F146" s="499">
        <f>+VLOOKUP(C146,'PRECIO REFERENCIA JULIO'!C151:F316,4,FALSE)</f>
        <v>210</v>
      </c>
      <c r="G146" s="506">
        <f t="shared" ref="G146:G153" si="1">+(F146-E146)/E146</f>
        <v>0.69354838709677424</v>
      </c>
      <c r="J146" s="330"/>
    </row>
    <row r="147" spans="2:10" ht="15.75" customHeight="1">
      <c r="B147" s="597"/>
      <c r="C147" s="19" t="s">
        <v>150</v>
      </c>
      <c r="D147" s="101" t="s">
        <v>17</v>
      </c>
      <c r="E147" s="499">
        <f>+VLOOKUP(C147,'PRECIO REFERENCIA MAYO'!C152:F317,4,FALSE)</f>
        <v>59</v>
      </c>
      <c r="F147" s="499">
        <f>+VLOOKUP(C147,'PRECIO REFERENCIA JULIO'!C152:F317,4,FALSE)</f>
        <v>120</v>
      </c>
      <c r="G147" s="506">
        <f t="shared" si="1"/>
        <v>1.0338983050847457</v>
      </c>
      <c r="J147" s="330"/>
    </row>
    <row r="148" spans="2:10" ht="15.75" customHeight="1">
      <c r="B148" s="595">
        <v>322300033</v>
      </c>
      <c r="C148" s="19" t="s">
        <v>506</v>
      </c>
      <c r="D148" s="101" t="s">
        <v>15</v>
      </c>
      <c r="E148" s="499">
        <f>+VLOOKUP(C148,'PRECIO REFERENCIA MAYO'!C153:F318,4,FALSE)</f>
        <v>719.13249999999994</v>
      </c>
      <c r="F148" s="499">
        <f>+VLOOKUP(C148,'PRECIO REFERENCIA JULIO'!C153:F318,4,FALSE)</f>
        <v>763.26499999999999</v>
      </c>
      <c r="G148" s="506">
        <f t="shared" si="1"/>
        <v>6.1369080106934475E-2</v>
      </c>
      <c r="J148" s="330"/>
    </row>
    <row r="149" spans="2:10" ht="15.75" customHeight="1">
      <c r="B149" s="596"/>
      <c r="C149" s="418" t="s">
        <v>511</v>
      </c>
      <c r="D149" s="101" t="s">
        <v>15</v>
      </c>
      <c r="E149" s="499">
        <f>+VLOOKUP(C149,'PRECIO REFERENCIA MAYO'!C154:F319,4,FALSE)</f>
        <v>719.13249999999994</v>
      </c>
      <c r="F149" s="499">
        <f>+VLOOKUP(C149,'PRECIO REFERENCIA JULIO'!C154:F319,4,FALSE)</f>
        <v>763.26499999999999</v>
      </c>
      <c r="G149" s="506">
        <f t="shared" si="1"/>
        <v>6.1369080106934475E-2</v>
      </c>
      <c r="J149" s="330"/>
    </row>
    <row r="150" spans="2:10" ht="15.75" customHeight="1">
      <c r="B150" s="596"/>
      <c r="C150" s="19" t="s">
        <v>513</v>
      </c>
      <c r="D150" s="101" t="s">
        <v>15</v>
      </c>
      <c r="E150" s="499">
        <f>+VLOOKUP(C150,'PRECIO REFERENCIA MAYO'!C155:F320,4,FALSE)</f>
        <v>719.13249999999994</v>
      </c>
      <c r="F150" s="499">
        <f>+VLOOKUP(C150,'PRECIO REFERENCIA JULIO'!C155:F320,4,FALSE)</f>
        <v>763.26499999999999</v>
      </c>
      <c r="G150" s="506">
        <f t="shared" si="1"/>
        <v>6.1369080106934475E-2</v>
      </c>
      <c r="J150" s="330"/>
    </row>
    <row r="151" spans="2:10" ht="15.75" customHeight="1">
      <c r="B151" s="596"/>
      <c r="C151" s="19" t="s">
        <v>515</v>
      </c>
      <c r="D151" s="101" t="s">
        <v>15</v>
      </c>
      <c r="E151" s="499">
        <f>+VLOOKUP(C151,'PRECIO REFERENCIA MAYO'!C156:F321,4,FALSE)</f>
        <v>763.26499999999999</v>
      </c>
      <c r="F151" s="499">
        <f>+VLOOKUP(C151,'PRECIO REFERENCIA JULIO'!C156:F321,4,FALSE)</f>
        <v>763.26499999999999</v>
      </c>
      <c r="G151" s="506">
        <f t="shared" si="1"/>
        <v>0</v>
      </c>
      <c r="J151" s="330"/>
    </row>
    <row r="152" spans="2:10" ht="15.75" customHeight="1">
      <c r="B152" s="597"/>
      <c r="C152" s="19" t="s">
        <v>518</v>
      </c>
      <c r="D152" s="101" t="s">
        <v>15</v>
      </c>
      <c r="E152" s="499">
        <f>+VLOOKUP(C152,'PRECIO REFERENCIA MAYO'!C157:F322,4,FALSE)</f>
        <v>1015.3059999999999</v>
      </c>
      <c r="F152" s="499">
        <f>+VLOOKUP(C152,'PRECIO REFERENCIA JULIO'!C157:F322,4,FALSE)</f>
        <v>1015.3059999999999</v>
      </c>
      <c r="G152" s="506">
        <f t="shared" si="1"/>
        <v>0</v>
      </c>
      <c r="J152" s="330"/>
    </row>
    <row r="153" spans="2:10" ht="15.75" customHeight="1">
      <c r="B153" s="133">
        <v>322300054</v>
      </c>
      <c r="C153" s="26" t="s">
        <v>152</v>
      </c>
      <c r="D153" s="79" t="s">
        <v>17</v>
      </c>
      <c r="E153" s="499">
        <f>+VLOOKUP(C153,'PRECIO REFERENCIA MAYO'!C158:F323,4,FALSE)</f>
        <v>90.306100000000001</v>
      </c>
      <c r="F153" s="499">
        <f>+VLOOKUP(C153,'PRECIO REFERENCIA JULIO'!C158:F323,4,FALSE)</f>
        <v>130.6122</v>
      </c>
      <c r="G153" s="506">
        <f t="shared" si="1"/>
        <v>0.44632754597972896</v>
      </c>
      <c r="J153" s="330"/>
    </row>
    <row r="154" spans="2:10" ht="15.75" customHeight="1">
      <c r="B154" s="652" t="s">
        <v>153</v>
      </c>
      <c r="C154" s="569"/>
      <c r="D154" s="622"/>
      <c r="E154" s="500"/>
      <c r="F154" s="500"/>
      <c r="G154" s="477"/>
      <c r="J154" s="330"/>
    </row>
    <row r="155" spans="2:10" ht="15.75" customHeight="1">
      <c r="B155" s="607">
        <v>32020006</v>
      </c>
      <c r="C155" s="26" t="s">
        <v>154</v>
      </c>
      <c r="D155" s="79" t="s">
        <v>63</v>
      </c>
      <c r="E155" s="499">
        <f>+VLOOKUP(C155,'PRECIO REFERENCIA MAYO'!C160:F325,4,FALSE)</f>
        <v>422.25</v>
      </c>
      <c r="F155" s="499">
        <f>+VLOOKUP(C155,'PRECIO REFERENCIA JULIO'!C160:F325,4,FALSE)</f>
        <v>632.5</v>
      </c>
      <c r="G155" s="506">
        <f>+(F155-E155)/E155</f>
        <v>0.49792776791000593</v>
      </c>
      <c r="J155" s="330"/>
    </row>
    <row r="156" spans="2:10" ht="15.75" customHeight="1">
      <c r="B156" s="596"/>
      <c r="C156" s="26" t="s">
        <v>155</v>
      </c>
      <c r="D156" s="79" t="s">
        <v>63</v>
      </c>
      <c r="E156" s="499">
        <f>+VLOOKUP(C156,'PRECIO REFERENCIA MAYO'!C161:F326,4,FALSE)</f>
        <v>727</v>
      </c>
      <c r="F156" s="499">
        <f>+VLOOKUP(C156,'PRECIO REFERENCIA JULIO'!C161:F326,4,FALSE)</f>
        <v>875.83333333333326</v>
      </c>
      <c r="G156" s="506">
        <f>+(F156-E156)/E156</f>
        <v>0.20472260430994946</v>
      </c>
      <c r="J156" s="330"/>
    </row>
    <row r="157" spans="2:10" ht="15.75" customHeight="1">
      <c r="B157" s="597"/>
      <c r="C157" s="26" t="s">
        <v>156</v>
      </c>
      <c r="D157" s="79" t="s">
        <v>63</v>
      </c>
      <c r="E157" s="499">
        <f>+VLOOKUP(C157,'PRECIO REFERENCIA MAYO'!C162:F327,4,FALSE)</f>
        <v>903.16666666666663</v>
      </c>
      <c r="F157" s="499">
        <f>+VLOOKUP(C157,'PRECIO REFERENCIA JULIO'!C162:F327,4,FALSE)</f>
        <v>1030.1666666666665</v>
      </c>
      <c r="G157" s="506">
        <f>+(F157-E157)/E157</f>
        <v>0.14061634988005156</v>
      </c>
      <c r="J157" s="330"/>
    </row>
    <row r="158" spans="2:10" ht="15.75" customHeight="1">
      <c r="B158" s="655"/>
      <c r="C158" s="569"/>
      <c r="D158" s="622"/>
      <c r="E158" s="500"/>
      <c r="F158" s="500"/>
      <c r="G158" s="477"/>
      <c r="J158" s="330"/>
    </row>
    <row r="159" spans="2:10" ht="15.75" customHeight="1">
      <c r="B159" s="133">
        <v>320900052</v>
      </c>
      <c r="C159" s="26" t="s">
        <v>157</v>
      </c>
      <c r="D159" s="79" t="s">
        <v>17</v>
      </c>
      <c r="E159" s="499">
        <f>+VLOOKUP(C159,'PRECIO REFERENCIA MAYO'!C164:F329,4,FALSE)</f>
        <v>4077.8633333333332</v>
      </c>
      <c r="F159" s="499">
        <f>+VLOOKUP(C159,'PRECIO REFERENCIA JULIO'!C164:F329,4,FALSE)</f>
        <v>4494.3066666666664</v>
      </c>
      <c r="G159" s="506">
        <f>+(F159-E159)/E159</f>
        <v>0.10212292548630447</v>
      </c>
      <c r="J159" s="330"/>
    </row>
    <row r="160" spans="2:10" ht="15.75" customHeight="1">
      <c r="B160" s="652"/>
      <c r="C160" s="569"/>
      <c r="D160" s="622"/>
      <c r="E160" s="500"/>
      <c r="F160" s="500"/>
      <c r="G160" s="477"/>
      <c r="J160" s="330"/>
    </row>
    <row r="161" spans="2:10" ht="15.75" customHeight="1">
      <c r="B161" s="48">
        <v>3212000815</v>
      </c>
      <c r="C161" s="14" t="s">
        <v>158</v>
      </c>
      <c r="D161" s="49" t="s">
        <v>17</v>
      </c>
      <c r="E161" s="499">
        <f>+VLOOKUP(C161,'PRECIO REFERENCIA MAYO'!C166:F331,4,FALSE)</f>
        <v>2653.06</v>
      </c>
      <c r="F161" s="499">
        <f>+VLOOKUP(C161,'PRECIO REFERENCIA JULIO'!C166:F331,4,FALSE)</f>
        <v>2653.06</v>
      </c>
      <c r="G161" s="506">
        <f>+(F161-E161)/E161</f>
        <v>0</v>
      </c>
      <c r="J161" s="330"/>
    </row>
    <row r="162" spans="2:10" ht="15.75" customHeight="1">
      <c r="B162" s="48">
        <v>321200332</v>
      </c>
      <c r="C162" s="33" t="s">
        <v>159</v>
      </c>
      <c r="D162" s="338"/>
      <c r="E162" s="501"/>
      <c r="F162" s="478"/>
      <c r="G162" s="476"/>
      <c r="H162" t="s">
        <v>350</v>
      </c>
      <c r="J162" s="330"/>
    </row>
    <row r="163" spans="2:10" ht="15.75" customHeight="1">
      <c r="B163" s="652" t="s">
        <v>160</v>
      </c>
      <c r="C163" s="569"/>
      <c r="D163" s="622"/>
      <c r="E163" s="500"/>
      <c r="F163" s="500"/>
      <c r="G163" s="477"/>
      <c r="J163" s="330"/>
    </row>
    <row r="164" spans="2:10" ht="15.75" customHeight="1">
      <c r="B164" s="607">
        <v>32060005</v>
      </c>
      <c r="C164" s="186" t="s">
        <v>161</v>
      </c>
      <c r="D164" s="279" t="s">
        <v>33</v>
      </c>
      <c r="E164" s="499">
        <f>+VLOOKUP(C164,'PRECIO REFERENCIA MAYO'!C169:F334,4,FALSE)</f>
        <v>596</v>
      </c>
      <c r="F164" s="499">
        <f>+VLOOKUP(C164,'PRECIO REFERENCIA JULIO'!C169:F334,4,FALSE)</f>
        <v>717</v>
      </c>
      <c r="G164" s="506">
        <f>+(F164-E164)/E164</f>
        <v>0.20302013422818793</v>
      </c>
      <c r="J164" s="330"/>
    </row>
    <row r="165" spans="2:10" ht="15.75" customHeight="1">
      <c r="B165" s="596"/>
      <c r="C165" s="186" t="s">
        <v>162</v>
      </c>
      <c r="D165" s="279" t="s">
        <v>33</v>
      </c>
      <c r="E165" s="499">
        <f>+VLOOKUP(C165,'PRECIO REFERENCIA MAYO'!C170:F335,4,FALSE)</f>
        <v>811.5</v>
      </c>
      <c r="F165" s="499">
        <f>+VLOOKUP(C165,'PRECIO REFERENCIA JULIO'!C170:F335,4,FALSE)</f>
        <v>976.5</v>
      </c>
      <c r="G165" s="506">
        <f>+(F165-E165)/E165</f>
        <v>0.20332717190388169</v>
      </c>
      <c r="J165" s="330"/>
    </row>
    <row r="166" spans="2:10" ht="15.75" customHeight="1">
      <c r="B166" s="597"/>
      <c r="C166" s="186" t="s">
        <v>163</v>
      </c>
      <c r="D166" s="279" t="s">
        <v>33</v>
      </c>
      <c r="E166" s="499">
        <f>+VLOOKUP(C166,'PRECIO REFERENCIA MAYO'!C171:F336,4,FALSE)</f>
        <v>1063.5</v>
      </c>
      <c r="F166" s="499">
        <f>+VLOOKUP(C166,'PRECIO REFERENCIA JULIO'!C171:F336,4,FALSE)</f>
        <v>1279</v>
      </c>
      <c r="G166" s="506">
        <f>+(F166-E166)/E166</f>
        <v>0.20263281617301362</v>
      </c>
      <c r="J166" s="330"/>
    </row>
    <row r="167" spans="2:10" ht="15.75" customHeight="1">
      <c r="B167" s="607">
        <v>32020004</v>
      </c>
      <c r="C167" s="26" t="s">
        <v>164</v>
      </c>
      <c r="D167" s="79" t="s">
        <v>63</v>
      </c>
      <c r="E167" s="499">
        <f>+VLOOKUP(C167,'PRECIO REFERENCIA MAYO'!C172:F337,4,FALSE)</f>
        <v>97.5</v>
      </c>
      <c r="F167" s="499">
        <f>+VLOOKUP(C167,'PRECIO REFERENCIA JULIO'!C172:F337,4,FALSE)</f>
        <v>131.5</v>
      </c>
      <c r="G167" s="506">
        <f>+(F167-E167)/E167</f>
        <v>0.3487179487179487</v>
      </c>
      <c r="J167" s="330"/>
    </row>
    <row r="168" spans="2:10" ht="15.75" customHeight="1" thickBot="1">
      <c r="B168" s="641"/>
      <c r="C168" s="320" t="s">
        <v>165</v>
      </c>
      <c r="D168" s="341" t="s">
        <v>63</v>
      </c>
      <c r="E168" s="509">
        <f>+VLOOKUP(C168,'PRECIO REFERENCIA MAYO'!C173:F338,4,FALSE)</f>
        <v>139.5</v>
      </c>
      <c r="F168" s="499">
        <f>+VLOOKUP(C168,'PRECIO REFERENCIA JULIO'!C173:F338,4,FALSE)</f>
        <v>169</v>
      </c>
      <c r="G168" s="506">
        <f>+(F168-E168)/E168</f>
        <v>0.21146953405017921</v>
      </c>
      <c r="J168" s="330"/>
    </row>
  </sheetData>
  <mergeCells count="72">
    <mergeCell ref="B42:B46"/>
    <mergeCell ref="B54:D54"/>
    <mergeCell ref="B56:D56"/>
    <mergeCell ref="B155:B157"/>
    <mergeCell ref="B158:D158"/>
    <mergeCell ref="B137:D137"/>
    <mergeCell ref="B140:D140"/>
    <mergeCell ref="B102:B106"/>
    <mergeCell ref="B90:B94"/>
    <mergeCell ref="B126:D126"/>
    <mergeCell ref="B128:D128"/>
    <mergeCell ref="B107:D107"/>
    <mergeCell ref="B109:D109"/>
    <mergeCell ref="B110:B112"/>
    <mergeCell ref="B122:B124"/>
    <mergeCell ref="B131:D131"/>
    <mergeCell ref="B17:B18"/>
    <mergeCell ref="B37:D37"/>
    <mergeCell ref="B39:D39"/>
    <mergeCell ref="B41:D41"/>
    <mergeCell ref="B35:D35"/>
    <mergeCell ref="C34:D34"/>
    <mergeCell ref="B21:D21"/>
    <mergeCell ref="B22:B23"/>
    <mergeCell ref="B24:D24"/>
    <mergeCell ref="B26:D26"/>
    <mergeCell ref="B30:D30"/>
    <mergeCell ref="B31:B32"/>
    <mergeCell ref="B19:B20"/>
    <mergeCell ref="B14:B15"/>
    <mergeCell ref="B16:D16"/>
    <mergeCell ref="B2:D2"/>
    <mergeCell ref="B4:B9"/>
    <mergeCell ref="B10:D10"/>
    <mergeCell ref="B11:B12"/>
    <mergeCell ref="B13:D13"/>
    <mergeCell ref="B163:D163"/>
    <mergeCell ref="B142:D142"/>
    <mergeCell ref="B164:B166"/>
    <mergeCell ref="B167:B168"/>
    <mergeCell ref="B145:D145"/>
    <mergeCell ref="B160:D160"/>
    <mergeCell ref="B146:B147"/>
    <mergeCell ref="B154:D154"/>
    <mergeCell ref="B148:B152"/>
    <mergeCell ref="B133:D133"/>
    <mergeCell ref="B113:B114"/>
    <mergeCell ref="B115:B118"/>
    <mergeCell ref="B119:D119"/>
    <mergeCell ref="B121:D121"/>
    <mergeCell ref="B101:D101"/>
    <mergeCell ref="B79:D79"/>
    <mergeCell ref="B80:B81"/>
    <mergeCell ref="B89:D89"/>
    <mergeCell ref="B99:D99"/>
    <mergeCell ref="B83:D83"/>
    <mergeCell ref="B85:D85"/>
    <mergeCell ref="B74:D74"/>
    <mergeCell ref="B77:D77"/>
    <mergeCell ref="B97:D97"/>
    <mergeCell ref="B68:D68"/>
    <mergeCell ref="B70:D70"/>
    <mergeCell ref="B71:B73"/>
    <mergeCell ref="B47:D47"/>
    <mergeCell ref="B49:D49"/>
    <mergeCell ref="B66:D66"/>
    <mergeCell ref="B51:D51"/>
    <mergeCell ref="B64:D64"/>
    <mergeCell ref="B61:B63"/>
    <mergeCell ref="B52:B53"/>
    <mergeCell ref="B58:D58"/>
    <mergeCell ref="B60:D60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"/>
  <sheetViews>
    <sheetView workbookViewId="0">
      <selection activeCell="D21" sqref="D21"/>
    </sheetView>
  </sheetViews>
  <sheetFormatPr baseColWidth="10" defaultColWidth="14.42578125" defaultRowHeight="15" customHeight="1"/>
  <cols>
    <col min="1" max="1" width="10.7109375" customWidth="1"/>
    <col min="2" max="2" width="11.42578125" customWidth="1"/>
    <col min="3" max="3" width="68.140625" customWidth="1"/>
    <col min="4" max="4" width="11.42578125" customWidth="1"/>
    <col min="5" max="5" width="18.28515625" customWidth="1"/>
    <col min="6" max="6" width="11.42578125" customWidth="1"/>
    <col min="7" max="7" width="13.5703125" customWidth="1"/>
    <col min="8" max="8" width="32.28515625" customWidth="1"/>
    <col min="9" max="11" width="10.7109375" customWidth="1"/>
  </cols>
  <sheetData>
    <row r="1" spans="2:8" ht="45">
      <c r="B1" s="342" t="s">
        <v>567</v>
      </c>
      <c r="C1" s="343" t="s">
        <v>568</v>
      </c>
      <c r="D1" s="480" t="s">
        <v>581</v>
      </c>
      <c r="E1" s="342" t="s">
        <v>569</v>
      </c>
      <c r="F1" s="344" t="s">
        <v>570</v>
      </c>
    </row>
    <row r="2" spans="2:8">
      <c r="B2" s="660">
        <v>3215</v>
      </c>
      <c r="C2" s="345" t="s">
        <v>53</v>
      </c>
      <c r="D2" s="346"/>
      <c r="E2" s="659">
        <f>AVERAGE(D3,D4,D5,D6,D8,D9)</f>
        <v>0.54134059684935554</v>
      </c>
      <c r="F2" s="347">
        <v>138</v>
      </c>
    </row>
    <row r="3" spans="2:8">
      <c r="B3" s="657"/>
      <c r="C3" s="348" t="s">
        <v>62</v>
      </c>
      <c r="D3" s="349">
        <f>+'Variacion '!G52</f>
        <v>0</v>
      </c>
      <c r="E3" s="657"/>
      <c r="F3" s="350"/>
    </row>
    <row r="4" spans="2:8">
      <c r="B4" s="657"/>
      <c r="C4" s="351" t="s">
        <v>64</v>
      </c>
      <c r="D4" s="352">
        <f>+'Variacion '!G53</f>
        <v>0</v>
      </c>
      <c r="E4" s="657"/>
      <c r="F4" s="350"/>
    </row>
    <row r="5" spans="2:8">
      <c r="B5" s="657"/>
      <c r="C5" s="353" t="s">
        <v>68</v>
      </c>
      <c r="D5" s="354">
        <f>+'Variacion '!G59</f>
        <v>0</v>
      </c>
      <c r="E5" s="657"/>
      <c r="F5" s="350"/>
      <c r="H5" s="355"/>
    </row>
    <row r="6" spans="2:8">
      <c r="B6" s="657"/>
      <c r="C6" s="356" t="s">
        <v>72</v>
      </c>
      <c r="D6" s="357">
        <f>+'Variacion '!G65</f>
        <v>0.20415643376071024</v>
      </c>
      <c r="E6" s="657"/>
      <c r="F6" s="350"/>
    </row>
    <row r="7" spans="2:8">
      <c r="B7" s="657"/>
      <c r="C7" s="358" t="s">
        <v>107</v>
      </c>
      <c r="D7" s="359"/>
      <c r="E7" s="657"/>
      <c r="F7" s="347">
        <v>137</v>
      </c>
      <c r="G7" s="360"/>
    </row>
    <row r="8" spans="2:8">
      <c r="B8" s="657"/>
      <c r="C8" s="361" t="s">
        <v>140</v>
      </c>
      <c r="D8" s="362">
        <f>+'Variacion '!G136</f>
        <v>3.0438871473354232</v>
      </c>
      <c r="E8" s="657"/>
      <c r="F8" s="350"/>
    </row>
    <row r="9" spans="2:8">
      <c r="B9" s="661"/>
      <c r="C9" s="363" t="s">
        <v>144</v>
      </c>
      <c r="D9" s="364">
        <f>+'Variacion '!G141</f>
        <v>0</v>
      </c>
      <c r="E9" s="657"/>
      <c r="F9" s="350"/>
    </row>
    <row r="10" spans="2:8">
      <c r="B10" s="662">
        <v>3207</v>
      </c>
      <c r="C10" s="365" t="s">
        <v>76</v>
      </c>
      <c r="D10" s="366"/>
      <c r="E10" s="659">
        <f>+AVERAGE(D10:D22)</f>
        <v>0.50614111197440737</v>
      </c>
      <c r="F10" s="367">
        <v>74</v>
      </c>
    </row>
    <row r="11" spans="2:8" ht="15" hidden="1" customHeight="1">
      <c r="B11" s="657"/>
      <c r="C11" s="368" t="s">
        <v>285</v>
      </c>
      <c r="D11" s="369"/>
      <c r="E11" s="657"/>
      <c r="F11" s="370"/>
    </row>
    <row r="12" spans="2:8">
      <c r="B12" s="657"/>
      <c r="C12" s="371" t="s">
        <v>99</v>
      </c>
      <c r="D12" s="354">
        <f>+'Variacion '!G90</f>
        <v>0.875</v>
      </c>
      <c r="E12" s="657"/>
      <c r="F12" s="372"/>
    </row>
    <row r="13" spans="2:8">
      <c r="B13" s="657"/>
      <c r="C13" s="371" t="s">
        <v>100</v>
      </c>
      <c r="D13" s="354">
        <f>+'Variacion '!G91</f>
        <v>-0.35243279948046125</v>
      </c>
      <c r="E13" s="657"/>
      <c r="F13" s="373"/>
    </row>
    <row r="14" spans="2:8">
      <c r="B14" s="657"/>
      <c r="C14" s="371" t="s">
        <v>101</v>
      </c>
      <c r="D14" s="354">
        <f>+'Variacion '!G92</f>
        <v>0</v>
      </c>
      <c r="E14" s="657"/>
      <c r="F14" s="373"/>
    </row>
    <row r="15" spans="2:8">
      <c r="B15" s="657"/>
      <c r="C15" s="371" t="s">
        <v>102</v>
      </c>
      <c r="D15" s="354">
        <f>+'Variacion '!G93</f>
        <v>3.0625</v>
      </c>
      <c r="E15" s="657"/>
      <c r="F15" s="374"/>
      <c r="H15" s="355"/>
    </row>
    <row r="16" spans="2:8">
      <c r="B16" s="657"/>
      <c r="C16" s="375" t="s">
        <v>103</v>
      </c>
      <c r="D16" s="376"/>
      <c r="E16" s="657"/>
      <c r="F16" s="367">
        <v>60</v>
      </c>
    </row>
    <row r="17" spans="2:6">
      <c r="B17" s="657"/>
      <c r="C17" s="371" t="s">
        <v>18</v>
      </c>
      <c r="D17" s="377">
        <f>+'Variacion '!G4</f>
        <v>0</v>
      </c>
      <c r="E17" s="657"/>
      <c r="F17" s="378"/>
    </row>
    <row r="18" spans="2:6">
      <c r="B18" s="657"/>
      <c r="C18" s="375" t="s">
        <v>19</v>
      </c>
      <c r="D18" s="375"/>
      <c r="E18" s="657"/>
      <c r="F18" s="347">
        <v>49</v>
      </c>
    </row>
    <row r="19" spans="2:6">
      <c r="B19" s="657"/>
      <c r="C19" s="371" t="s">
        <v>20</v>
      </c>
      <c r="D19" s="377">
        <f>+'Variacion '!G6</f>
        <v>0</v>
      </c>
      <c r="E19" s="657"/>
      <c r="F19" s="378"/>
    </row>
    <row r="20" spans="2:6">
      <c r="B20" s="657"/>
      <c r="C20" s="375" t="s">
        <v>21</v>
      </c>
      <c r="D20" s="375"/>
      <c r="E20" s="657"/>
      <c r="F20" s="347">
        <v>51</v>
      </c>
    </row>
    <row r="21" spans="2:6" ht="15.75" customHeight="1">
      <c r="B21" s="657"/>
      <c r="C21" s="371" t="s">
        <v>22</v>
      </c>
      <c r="D21" s="377">
        <f>+'Variacion '!G8</f>
        <v>-4.2079416698686999E-2</v>
      </c>
      <c r="E21" s="657"/>
      <c r="F21" s="378"/>
    </row>
    <row r="22" spans="2:6" ht="15.75" customHeight="1">
      <c r="B22" s="657"/>
      <c r="C22" s="379" t="s">
        <v>23</v>
      </c>
      <c r="D22" s="380"/>
      <c r="E22" s="658"/>
      <c r="F22" s="347">
        <v>53</v>
      </c>
    </row>
    <row r="23" spans="2:6" ht="15.75" hidden="1" customHeight="1">
      <c r="B23" s="657"/>
      <c r="C23" s="361" t="s">
        <v>109</v>
      </c>
      <c r="D23" s="362"/>
      <c r="E23" s="381"/>
      <c r="F23" s="382"/>
    </row>
    <row r="24" spans="2:6" ht="15.75" hidden="1" customHeight="1">
      <c r="B24" s="657"/>
      <c r="C24" s="383" t="s">
        <v>110</v>
      </c>
      <c r="D24" s="354"/>
      <c r="E24" s="384"/>
      <c r="F24" s="382"/>
    </row>
    <row r="25" spans="2:6" ht="15.75" hidden="1" customHeight="1">
      <c r="B25" s="657"/>
      <c r="C25" s="383" t="s">
        <v>111</v>
      </c>
      <c r="D25" s="354"/>
      <c r="E25" s="384"/>
      <c r="F25" s="382"/>
    </row>
    <row r="26" spans="2:6" ht="15.75" hidden="1" customHeight="1">
      <c r="B26" s="657"/>
      <c r="C26" s="353" t="s">
        <v>571</v>
      </c>
      <c r="D26" s="354"/>
      <c r="E26" s="384"/>
      <c r="F26" s="382"/>
    </row>
    <row r="27" spans="2:6" ht="15.75" hidden="1" customHeight="1">
      <c r="B27" s="657"/>
      <c r="C27" s="383" t="s">
        <v>113</v>
      </c>
      <c r="D27" s="354"/>
      <c r="E27" s="384"/>
      <c r="F27" s="382"/>
    </row>
    <row r="28" spans="2:6" ht="15.75" hidden="1" customHeight="1">
      <c r="B28" s="657"/>
      <c r="C28" s="353" t="s">
        <v>18</v>
      </c>
      <c r="D28" s="354"/>
      <c r="E28" s="384"/>
      <c r="F28" s="382"/>
    </row>
    <row r="29" spans="2:6" ht="15.75" hidden="1" customHeight="1">
      <c r="B29" s="657"/>
      <c r="C29" s="353" t="s">
        <v>19</v>
      </c>
      <c r="D29" s="354"/>
      <c r="E29" s="384"/>
      <c r="F29" s="382"/>
    </row>
    <row r="30" spans="2:6" ht="15.75" hidden="1" customHeight="1">
      <c r="B30" s="657"/>
      <c r="C30" s="353" t="s">
        <v>20</v>
      </c>
      <c r="D30" s="354"/>
      <c r="E30" s="384"/>
      <c r="F30" s="382"/>
    </row>
    <row r="31" spans="2:6" ht="15.75" hidden="1" customHeight="1">
      <c r="B31" s="657"/>
      <c r="C31" s="383" t="s">
        <v>21</v>
      </c>
      <c r="D31" s="354"/>
      <c r="E31" s="384"/>
      <c r="F31" s="382"/>
    </row>
    <row r="32" spans="2:6" ht="15.75" hidden="1" customHeight="1">
      <c r="B32" s="657"/>
      <c r="C32" s="353" t="s">
        <v>22</v>
      </c>
      <c r="D32" s="354"/>
      <c r="E32" s="384"/>
      <c r="F32" s="382"/>
    </row>
    <row r="33" spans="2:6" ht="15.75" hidden="1" customHeight="1">
      <c r="B33" s="658"/>
      <c r="C33" s="356" t="s">
        <v>23</v>
      </c>
      <c r="D33" s="357"/>
      <c r="E33" s="385"/>
      <c r="F33" s="382"/>
    </row>
    <row r="34" spans="2:6" ht="15.75" customHeight="1">
      <c r="B34" s="656">
        <v>3212</v>
      </c>
      <c r="C34" s="386" t="s">
        <v>81</v>
      </c>
      <c r="D34" s="359"/>
      <c r="E34" s="659">
        <f>+AVERAGE(D34:D47)</f>
        <v>0.82349909099241803</v>
      </c>
      <c r="F34" s="347">
        <v>111</v>
      </c>
    </row>
    <row r="35" spans="2:6" ht="15.75" customHeight="1">
      <c r="B35" s="657"/>
      <c r="C35" s="386" t="s">
        <v>82</v>
      </c>
      <c r="D35" s="359"/>
      <c r="E35" s="657"/>
      <c r="F35" s="347">
        <v>112</v>
      </c>
    </row>
    <row r="36" spans="2:6" ht="15.75" customHeight="1">
      <c r="B36" s="657"/>
      <c r="C36" s="387" t="s">
        <v>55</v>
      </c>
      <c r="D36" s="388">
        <f>+'Variacion '!G36</f>
        <v>0.89298809523809519</v>
      </c>
      <c r="E36" s="657"/>
      <c r="F36" s="350"/>
    </row>
    <row r="37" spans="2:6" ht="15.75" customHeight="1">
      <c r="B37" s="657"/>
      <c r="C37" s="356" t="s">
        <v>65</v>
      </c>
      <c r="D37" s="389">
        <f>+'Variacion '!G55</f>
        <v>1.8717958382647457</v>
      </c>
      <c r="E37" s="657"/>
      <c r="F37" s="350"/>
    </row>
    <row r="38" spans="2:6" ht="15.75" customHeight="1">
      <c r="B38" s="657"/>
      <c r="C38" s="387" t="s">
        <v>119</v>
      </c>
      <c r="D38" s="388">
        <f>+'Variacion '!G113</f>
        <v>0.42101563179794782</v>
      </c>
      <c r="E38" s="657"/>
      <c r="F38" s="350"/>
    </row>
    <row r="39" spans="2:6" ht="15.75" customHeight="1">
      <c r="B39" s="657"/>
      <c r="C39" s="353" t="s">
        <v>120</v>
      </c>
      <c r="D39" s="369">
        <f>+'Variacion '!G114</f>
        <v>2.6931955767386761E-3</v>
      </c>
      <c r="E39" s="657"/>
      <c r="F39" s="350"/>
    </row>
    <row r="40" spans="2:6" ht="15.75" customHeight="1">
      <c r="B40" s="657"/>
      <c r="C40" s="383" t="s">
        <v>121</v>
      </c>
      <c r="D40" s="354">
        <f>+'Variacion '!G115</f>
        <v>0.78507653061224492</v>
      </c>
      <c r="E40" s="657"/>
      <c r="F40" s="350"/>
    </row>
    <row r="41" spans="2:6" ht="15.75" customHeight="1">
      <c r="B41" s="657"/>
      <c r="C41" s="353" t="s">
        <v>122</v>
      </c>
      <c r="D41" s="354">
        <f>+'Variacion '!G116</f>
        <v>1.6229116945107398</v>
      </c>
      <c r="E41" s="657"/>
      <c r="F41" s="350"/>
    </row>
    <row r="42" spans="2:6" ht="15.75" customHeight="1">
      <c r="B42" s="657"/>
      <c r="C42" s="383" t="s">
        <v>124</v>
      </c>
      <c r="D42" s="369">
        <f>+'Variacion '!G117</f>
        <v>0.89657444005270093</v>
      </c>
      <c r="E42" s="657"/>
      <c r="F42" s="350"/>
    </row>
    <row r="43" spans="2:6" ht="15.75" customHeight="1">
      <c r="B43" s="657"/>
      <c r="C43" s="390" t="s">
        <v>125</v>
      </c>
      <c r="D43" s="389">
        <f>+'Variacion '!G118</f>
        <v>1.7419354838709677</v>
      </c>
      <c r="E43" s="657"/>
      <c r="F43" s="391"/>
    </row>
    <row r="44" spans="2:6" ht="15.75" customHeight="1">
      <c r="B44" s="657"/>
      <c r="C44" s="386" t="s">
        <v>572</v>
      </c>
      <c r="D44" s="359"/>
      <c r="E44" s="657"/>
      <c r="F44" s="347" t="s">
        <v>573</v>
      </c>
    </row>
    <row r="45" spans="2:6" ht="15.75" customHeight="1">
      <c r="B45" s="657"/>
      <c r="C45" s="9" t="s">
        <v>574</v>
      </c>
      <c r="D45" s="392">
        <f>+'Variacion '!G161</f>
        <v>0</v>
      </c>
      <c r="E45" s="657"/>
      <c r="F45" s="350"/>
    </row>
    <row r="46" spans="2:6" ht="15.75" customHeight="1">
      <c r="B46" s="657"/>
      <c r="C46" s="386" t="s">
        <v>159</v>
      </c>
      <c r="D46" s="359"/>
      <c r="E46" s="657"/>
      <c r="F46" s="347" t="s">
        <v>575</v>
      </c>
    </row>
    <row r="47" spans="2:6" ht="15.75" customHeight="1">
      <c r="B47" s="658"/>
      <c r="C47" s="393" t="s">
        <v>14</v>
      </c>
      <c r="D47" s="392">
        <f>+'Variacion '!G3</f>
        <v>0</v>
      </c>
      <c r="E47" s="658"/>
      <c r="F47" s="350"/>
    </row>
    <row r="48" spans="2:6" ht="15.75" customHeight="1">
      <c r="B48" s="656">
        <v>3211</v>
      </c>
      <c r="C48" s="358" t="s">
        <v>146</v>
      </c>
      <c r="D48" s="359"/>
      <c r="E48" s="659">
        <f>D50</f>
        <v>0.29045167590616999</v>
      </c>
      <c r="F48" s="347">
        <v>96</v>
      </c>
    </row>
    <row r="49" spans="2:6" ht="15.75" customHeight="1">
      <c r="B49" s="657"/>
      <c r="C49" s="358" t="s">
        <v>147</v>
      </c>
      <c r="D49" s="359"/>
      <c r="E49" s="657"/>
      <c r="F49" s="347">
        <v>97</v>
      </c>
    </row>
    <row r="50" spans="2:6" ht="15.75" customHeight="1">
      <c r="B50" s="658"/>
      <c r="C50" s="330" t="s">
        <v>114</v>
      </c>
      <c r="D50" s="392">
        <f>+'Variacion '!G108</f>
        <v>0.29045167590616999</v>
      </c>
      <c r="E50" s="658"/>
      <c r="F50" s="350"/>
    </row>
    <row r="51" spans="2:6" ht="15.75" customHeight="1">
      <c r="B51" s="656">
        <v>3213</v>
      </c>
      <c r="C51" s="358" t="s">
        <v>150</v>
      </c>
      <c r="D51" s="359"/>
      <c r="E51" s="659">
        <f>+AVERAGE(D51:D54)</f>
        <v>0.36980125479195319</v>
      </c>
      <c r="F51" s="347">
        <v>105</v>
      </c>
    </row>
    <row r="52" spans="2:6" ht="15.75" customHeight="1">
      <c r="B52" s="657"/>
      <c r="C52" s="330" t="s">
        <v>50</v>
      </c>
      <c r="D52" s="392">
        <f>+'Variacion '!G31</f>
        <v>4.6054122487132171E-2</v>
      </c>
      <c r="E52" s="657"/>
      <c r="F52" s="350"/>
    </row>
    <row r="53" spans="2:6" ht="15.75" customHeight="1">
      <c r="B53" s="657"/>
      <c r="C53" s="358" t="s">
        <v>51</v>
      </c>
      <c r="D53" s="359"/>
      <c r="E53" s="657"/>
      <c r="F53" s="350"/>
    </row>
    <row r="54" spans="2:6" ht="15.75" customHeight="1">
      <c r="B54" s="658"/>
      <c r="C54" s="394" t="s">
        <v>149</v>
      </c>
      <c r="D54" s="395">
        <f>+'Variacion '!G146</f>
        <v>0.69354838709677424</v>
      </c>
      <c r="E54" s="658"/>
      <c r="F54" s="391"/>
    </row>
    <row r="55" spans="2:6" ht="15.75" customHeight="1">
      <c r="B55" s="9"/>
      <c r="C55" s="9"/>
      <c r="D55" s="396"/>
      <c r="E55" s="9"/>
      <c r="F55" s="382"/>
    </row>
    <row r="56" spans="2:6" ht="15.75" customHeight="1">
      <c r="B56" s="9"/>
      <c r="C56" s="9"/>
      <c r="D56" s="397"/>
      <c r="E56" s="9"/>
      <c r="F56" s="382"/>
    </row>
    <row r="57" spans="2:6" ht="15.75" customHeight="1">
      <c r="B57" s="9"/>
      <c r="C57" s="9"/>
      <c r="D57" s="397"/>
      <c r="E57" s="9"/>
      <c r="F57" s="382"/>
    </row>
    <row r="58" spans="2:6" ht="15.75" customHeight="1">
      <c r="B58" s="9"/>
      <c r="C58" s="9"/>
      <c r="D58" s="397"/>
      <c r="E58" s="9"/>
      <c r="F58" s="382"/>
    </row>
    <row r="59" spans="2:6" ht="15.75" customHeight="1">
      <c r="B59" s="9"/>
      <c r="C59" s="9"/>
      <c r="D59" s="397"/>
      <c r="E59" s="9"/>
      <c r="F59" s="382"/>
    </row>
    <row r="60" spans="2:6" ht="15.75" customHeight="1">
      <c r="B60" s="9"/>
      <c r="C60" s="9"/>
      <c r="D60" s="397"/>
      <c r="E60" s="9"/>
      <c r="F60" s="382"/>
    </row>
    <row r="61" spans="2:6" ht="15.75" customHeight="1">
      <c r="B61" s="9"/>
      <c r="C61" s="9"/>
      <c r="D61" s="397"/>
      <c r="E61" s="9"/>
      <c r="F61" s="382"/>
    </row>
    <row r="62" spans="2:6" ht="15.75" customHeight="1">
      <c r="B62" s="9"/>
      <c r="C62" s="9"/>
      <c r="D62" s="397"/>
      <c r="E62" s="9"/>
      <c r="F62" s="382"/>
    </row>
    <row r="63" spans="2:6" ht="15.75" customHeight="1">
      <c r="B63" s="9"/>
      <c r="C63" s="9"/>
      <c r="D63" s="397"/>
      <c r="E63" s="9"/>
      <c r="F63" s="382"/>
    </row>
    <row r="64" spans="2:6" ht="15.75" customHeight="1">
      <c r="B64" s="9"/>
      <c r="C64" s="9"/>
      <c r="D64" s="397"/>
      <c r="E64" s="9"/>
      <c r="F64" s="382"/>
    </row>
    <row r="65" spans="2:6" ht="15.75" customHeight="1">
      <c r="B65" s="9"/>
      <c r="C65" s="9"/>
      <c r="D65" s="397"/>
      <c r="E65" s="9"/>
      <c r="F65" s="382"/>
    </row>
    <row r="66" spans="2:6" ht="15.75" customHeight="1">
      <c r="B66" s="9"/>
      <c r="C66" s="9"/>
      <c r="D66" s="397"/>
      <c r="E66" s="9"/>
      <c r="F66" s="382"/>
    </row>
    <row r="67" spans="2:6" ht="15.75" customHeight="1">
      <c r="B67" s="9"/>
      <c r="C67" s="9"/>
      <c r="D67" s="397"/>
      <c r="E67" s="9"/>
      <c r="F67" s="382"/>
    </row>
    <row r="68" spans="2:6" ht="15.75" customHeight="1">
      <c r="B68" s="9"/>
      <c r="C68" s="9"/>
      <c r="D68" s="397"/>
      <c r="E68" s="9"/>
      <c r="F68" s="382"/>
    </row>
    <row r="69" spans="2:6" ht="15.75" customHeight="1">
      <c r="B69" s="9"/>
      <c r="C69" s="9"/>
      <c r="D69" s="397"/>
      <c r="E69" s="9"/>
      <c r="F69" s="382"/>
    </row>
    <row r="70" spans="2:6" ht="15.75" customHeight="1">
      <c r="B70" s="9"/>
      <c r="C70" s="9"/>
      <c r="D70" s="397"/>
      <c r="E70" s="9"/>
      <c r="F70" s="382"/>
    </row>
    <row r="71" spans="2:6" ht="15.75" customHeight="1">
      <c r="B71" s="9"/>
      <c r="C71" s="9"/>
      <c r="D71" s="397"/>
      <c r="E71" s="9"/>
      <c r="F71" s="382"/>
    </row>
    <row r="72" spans="2:6" ht="15.75" customHeight="1">
      <c r="B72" s="9"/>
      <c r="C72" s="9"/>
      <c r="D72" s="397"/>
      <c r="E72" s="9"/>
      <c r="F72" s="382"/>
    </row>
    <row r="73" spans="2:6" ht="15.75" customHeight="1">
      <c r="B73" s="9"/>
      <c r="C73" s="9"/>
      <c r="D73" s="397"/>
      <c r="E73" s="9"/>
      <c r="F73" s="382"/>
    </row>
    <row r="74" spans="2:6" ht="15.75" customHeight="1">
      <c r="B74" s="9"/>
      <c r="C74" s="9"/>
      <c r="D74" s="397"/>
      <c r="E74" s="9"/>
      <c r="F74" s="382"/>
    </row>
    <row r="75" spans="2:6" ht="15.75" customHeight="1">
      <c r="B75" s="9"/>
      <c r="C75" s="9"/>
      <c r="D75" s="397"/>
      <c r="E75" s="9"/>
      <c r="F75" s="382"/>
    </row>
    <row r="76" spans="2:6" ht="15.75" customHeight="1">
      <c r="B76" s="9"/>
      <c r="C76" s="9"/>
      <c r="D76" s="397"/>
      <c r="E76" s="9"/>
      <c r="F76" s="382"/>
    </row>
    <row r="77" spans="2:6" ht="15.75" customHeight="1">
      <c r="B77" s="9"/>
      <c r="C77" s="9"/>
      <c r="D77" s="397"/>
      <c r="E77" s="9"/>
      <c r="F77" s="382"/>
    </row>
    <row r="78" spans="2:6" ht="15.75" customHeight="1">
      <c r="B78" s="9"/>
      <c r="C78" s="9"/>
      <c r="D78" s="397"/>
      <c r="E78" s="9"/>
      <c r="F78" s="382"/>
    </row>
    <row r="79" spans="2:6" ht="15.75" customHeight="1">
      <c r="B79" s="9"/>
      <c r="C79" s="9"/>
      <c r="D79" s="397"/>
      <c r="E79" s="9"/>
      <c r="F79" s="382"/>
    </row>
    <row r="80" spans="2:6" ht="15.75" customHeight="1">
      <c r="B80" s="9"/>
      <c r="C80" s="9"/>
      <c r="D80" s="397"/>
      <c r="E80" s="9"/>
      <c r="F80" s="382"/>
    </row>
    <row r="81" spans="2:6" ht="15.75" customHeight="1">
      <c r="B81" s="9"/>
      <c r="C81" s="9"/>
      <c r="D81" s="397"/>
      <c r="E81" s="9"/>
      <c r="F81" s="382"/>
    </row>
    <row r="82" spans="2:6" ht="15.75" customHeight="1">
      <c r="B82" s="9"/>
      <c r="C82" s="9"/>
      <c r="D82" s="397"/>
      <c r="E82" s="9"/>
      <c r="F82" s="382"/>
    </row>
    <row r="83" spans="2:6" ht="15.75" customHeight="1">
      <c r="B83" s="9"/>
      <c r="C83" s="9"/>
      <c r="D83" s="397"/>
      <c r="E83" s="9"/>
      <c r="F83" s="382"/>
    </row>
    <row r="84" spans="2:6" ht="15.75" customHeight="1">
      <c r="B84" s="9"/>
      <c r="C84" s="9"/>
      <c r="D84" s="397"/>
      <c r="E84" s="9"/>
      <c r="F84" s="382"/>
    </row>
    <row r="85" spans="2:6" ht="15.75" customHeight="1">
      <c r="B85" s="9"/>
      <c r="C85" s="9"/>
      <c r="D85" s="397"/>
      <c r="E85" s="9"/>
      <c r="F85" s="382"/>
    </row>
    <row r="86" spans="2:6" ht="15.75" customHeight="1">
      <c r="B86" s="9"/>
      <c r="C86" s="9"/>
      <c r="D86" s="397"/>
      <c r="E86" s="9"/>
      <c r="F86" s="382"/>
    </row>
    <row r="87" spans="2:6" ht="15.75" customHeight="1">
      <c r="B87" s="9"/>
      <c r="C87" s="9"/>
      <c r="D87" s="397"/>
      <c r="E87" s="9"/>
      <c r="F87" s="382"/>
    </row>
    <row r="88" spans="2:6" ht="15.75" customHeight="1">
      <c r="B88" s="9"/>
      <c r="C88" s="9"/>
      <c r="D88" s="397"/>
      <c r="E88" s="9"/>
      <c r="F88" s="382"/>
    </row>
    <row r="89" spans="2:6" ht="15.75" customHeight="1">
      <c r="B89" s="9"/>
      <c r="C89" s="9"/>
      <c r="D89" s="397"/>
      <c r="E89" s="9"/>
      <c r="F89" s="382"/>
    </row>
    <row r="90" spans="2:6" ht="15.75" customHeight="1">
      <c r="B90" s="9"/>
      <c r="C90" s="9"/>
      <c r="D90" s="397"/>
      <c r="E90" s="9"/>
      <c r="F90" s="382"/>
    </row>
    <row r="91" spans="2:6" ht="15.75" customHeight="1">
      <c r="B91" s="9"/>
      <c r="C91" s="9"/>
      <c r="D91" s="397"/>
      <c r="E91" s="9"/>
      <c r="F91" s="382"/>
    </row>
    <row r="92" spans="2:6" ht="15.75" customHeight="1">
      <c r="B92" s="9"/>
      <c r="C92" s="9"/>
      <c r="D92" s="397"/>
      <c r="E92" s="9"/>
      <c r="F92" s="382"/>
    </row>
    <row r="93" spans="2:6" ht="15.75" customHeight="1">
      <c r="B93" s="9"/>
      <c r="C93" s="9"/>
      <c r="D93" s="397"/>
      <c r="E93" s="9"/>
      <c r="F93" s="382"/>
    </row>
    <row r="94" spans="2:6" ht="15.75" customHeight="1">
      <c r="B94" s="9"/>
      <c r="C94" s="9"/>
      <c r="D94" s="397"/>
      <c r="E94" s="9"/>
      <c r="F94" s="382"/>
    </row>
    <row r="95" spans="2:6" ht="15.75" customHeight="1">
      <c r="B95" s="9"/>
      <c r="C95" s="9"/>
      <c r="D95" s="397"/>
      <c r="E95" s="9"/>
      <c r="F95" s="382"/>
    </row>
    <row r="96" spans="2:6" ht="15.75" customHeight="1">
      <c r="B96" s="9"/>
      <c r="C96" s="9"/>
      <c r="D96" s="397"/>
      <c r="E96" s="9"/>
      <c r="F96" s="382"/>
    </row>
    <row r="97" spans="2:6" ht="15.75" customHeight="1">
      <c r="B97" s="9"/>
      <c r="C97" s="9"/>
      <c r="D97" s="397"/>
      <c r="E97" s="9"/>
      <c r="F97" s="382"/>
    </row>
    <row r="98" spans="2:6" ht="15.75" customHeight="1">
      <c r="B98" s="9"/>
      <c r="C98" s="9"/>
      <c r="D98" s="397"/>
      <c r="E98" s="9"/>
      <c r="F98" s="382"/>
    </row>
    <row r="99" spans="2:6" ht="15.75" customHeight="1">
      <c r="B99" s="9"/>
      <c r="C99" s="9"/>
      <c r="D99" s="397"/>
      <c r="E99" s="9"/>
      <c r="F99" s="382"/>
    </row>
    <row r="100" spans="2:6" ht="15.75" customHeight="1">
      <c r="B100" s="9"/>
      <c r="C100" s="9"/>
      <c r="D100" s="397"/>
      <c r="E100" s="9"/>
      <c r="F100" s="382"/>
    </row>
  </sheetData>
  <mergeCells count="10">
    <mergeCell ref="B2:B9"/>
    <mergeCell ref="B34:B47"/>
    <mergeCell ref="E2:E9"/>
    <mergeCell ref="E34:E47"/>
    <mergeCell ref="B10:B33"/>
    <mergeCell ref="B48:B50"/>
    <mergeCell ref="B51:B54"/>
    <mergeCell ref="E48:E50"/>
    <mergeCell ref="E51:E54"/>
    <mergeCell ref="E10:E2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showGridLines="0" workbookViewId="0"/>
  </sheetViews>
  <sheetFormatPr baseColWidth="10" defaultColWidth="14.42578125" defaultRowHeight="15" customHeight="1"/>
  <cols>
    <col min="1" max="1" width="6.85546875" customWidth="1"/>
    <col min="2" max="2" width="15.42578125" customWidth="1"/>
    <col min="3" max="3" width="48.85546875" customWidth="1"/>
    <col min="4" max="4" width="14.85546875" customWidth="1"/>
    <col min="5" max="5" width="10.7109375" customWidth="1"/>
    <col min="6" max="6" width="15.140625" customWidth="1"/>
    <col min="7" max="7" width="14.28515625" customWidth="1"/>
    <col min="8" max="8" width="12" customWidth="1"/>
    <col min="9" max="11" width="10.7109375" customWidth="1"/>
  </cols>
  <sheetData>
    <row r="1" spans="2:8">
      <c r="B1" s="3"/>
      <c r="C1" s="3"/>
      <c r="D1" s="3"/>
      <c r="G1" s="4"/>
      <c r="H1" s="398"/>
    </row>
    <row r="2" spans="2:8" ht="30">
      <c r="B2" s="6" t="s">
        <v>2</v>
      </c>
      <c r="C2" s="399" t="s">
        <v>3</v>
      </c>
      <c r="D2" s="6" t="s">
        <v>4</v>
      </c>
      <c r="F2" s="400" t="s">
        <v>576</v>
      </c>
      <c r="G2" s="401" t="s">
        <v>577</v>
      </c>
      <c r="H2" s="402" t="s">
        <v>578</v>
      </c>
    </row>
    <row r="3" spans="2:8">
      <c r="B3" s="665"/>
      <c r="C3" s="666"/>
      <c r="D3" s="667"/>
      <c r="G3" s="4"/>
      <c r="H3" s="398"/>
    </row>
    <row r="4" spans="2:8">
      <c r="B4" s="663" t="s">
        <v>13</v>
      </c>
      <c r="C4" s="569"/>
      <c r="D4" s="570"/>
      <c r="G4" s="4"/>
      <c r="H4" s="398"/>
    </row>
    <row r="5" spans="2:8">
      <c r="B5" s="40">
        <v>321200019</v>
      </c>
      <c r="C5" s="30" t="s">
        <v>14</v>
      </c>
      <c r="D5" s="38" t="s">
        <v>15</v>
      </c>
      <c r="F5" s="335" t="e">
        <f>(#REF!)</f>
        <v>#REF!</v>
      </c>
      <c r="G5" s="335">
        <v>180.2</v>
      </c>
      <c r="H5" s="403" t="e">
        <f>(G5+F5)/2</f>
        <v>#REF!</v>
      </c>
    </row>
    <row r="6" spans="2:8">
      <c r="B6" s="580">
        <v>320700022</v>
      </c>
      <c r="C6" s="30" t="s">
        <v>16</v>
      </c>
      <c r="D6" s="38" t="s">
        <v>17</v>
      </c>
      <c r="F6" s="335"/>
      <c r="G6" s="335"/>
      <c r="H6" s="403"/>
    </row>
    <row r="7" spans="2:8">
      <c r="B7" s="572"/>
      <c r="C7" s="404" t="s">
        <v>18</v>
      </c>
      <c r="D7" s="329" t="s">
        <v>15</v>
      </c>
      <c r="F7" s="335" t="e">
        <f t="shared" ref="F7:F9" si="0">(#REF!)</f>
        <v>#REF!</v>
      </c>
      <c r="G7" s="335">
        <v>1.62</v>
      </c>
      <c r="H7" s="403" t="e">
        <f>(G7+F7)/2</f>
        <v>#REF!</v>
      </c>
    </row>
    <row r="8" spans="2:8">
      <c r="B8" s="572"/>
      <c r="C8" s="404" t="s">
        <v>19</v>
      </c>
      <c r="D8" s="329" t="s">
        <v>15</v>
      </c>
      <c r="F8" s="335" t="e">
        <f t="shared" si="0"/>
        <v>#REF!</v>
      </c>
      <c r="G8" s="335">
        <v>1.74</v>
      </c>
      <c r="H8" s="403">
        <f t="shared" ref="H8:H12" si="1">(G8)</f>
        <v>1.74</v>
      </c>
    </row>
    <row r="9" spans="2:8">
      <c r="B9" s="572"/>
      <c r="C9" s="404" t="s">
        <v>20</v>
      </c>
      <c r="D9" s="329" t="s">
        <v>15</v>
      </c>
      <c r="F9" s="335" t="e">
        <f t="shared" si="0"/>
        <v>#REF!</v>
      </c>
      <c r="G9" s="335">
        <v>1.58</v>
      </c>
      <c r="H9" s="403">
        <f t="shared" si="1"/>
        <v>1.58</v>
      </c>
    </row>
    <row r="10" spans="2:8">
      <c r="B10" s="572"/>
      <c r="C10" s="404" t="s">
        <v>21</v>
      </c>
      <c r="D10" s="329" t="s">
        <v>15</v>
      </c>
      <c r="F10" s="335">
        <v>0</v>
      </c>
      <c r="G10" s="335">
        <v>1.84</v>
      </c>
      <c r="H10" s="403">
        <f t="shared" si="1"/>
        <v>1.84</v>
      </c>
    </row>
    <row r="11" spans="2:8">
      <c r="B11" s="572"/>
      <c r="C11" s="404" t="s">
        <v>22</v>
      </c>
      <c r="D11" s="329" t="s">
        <v>15</v>
      </c>
      <c r="F11" s="335" t="e">
        <f t="shared" ref="F11:F12" si="2">(#REF!)</f>
        <v>#REF!</v>
      </c>
      <c r="G11" s="335">
        <v>1.6</v>
      </c>
      <c r="H11" s="403">
        <f t="shared" si="1"/>
        <v>1.6</v>
      </c>
    </row>
    <row r="12" spans="2:8">
      <c r="B12" s="573"/>
      <c r="C12" s="404" t="s">
        <v>23</v>
      </c>
      <c r="D12" s="329" t="s">
        <v>15</v>
      </c>
      <c r="F12" s="335" t="e">
        <f t="shared" si="2"/>
        <v>#REF!</v>
      </c>
      <c r="G12" s="335">
        <v>2.0499999999999998</v>
      </c>
      <c r="H12" s="403">
        <f t="shared" si="1"/>
        <v>2.0499999999999998</v>
      </c>
    </row>
    <row r="13" spans="2:8">
      <c r="B13" s="663" t="s">
        <v>24</v>
      </c>
      <c r="C13" s="569"/>
      <c r="D13" s="570"/>
      <c r="F13" s="335"/>
      <c r="G13" s="335"/>
      <c r="H13" s="403"/>
    </row>
    <row r="14" spans="2:8">
      <c r="B14" s="580">
        <v>31290027</v>
      </c>
      <c r="C14" s="30" t="s">
        <v>25</v>
      </c>
      <c r="D14" s="38" t="s">
        <v>26</v>
      </c>
      <c r="F14" s="335" t="e">
        <f t="shared" ref="F14:F15" si="3">(#REF!)</f>
        <v>#REF!</v>
      </c>
      <c r="G14" s="335">
        <v>193.8</v>
      </c>
      <c r="H14" s="403" t="e">
        <f t="shared" ref="H14:H15" si="4">(G14+F14)/2</f>
        <v>#REF!</v>
      </c>
    </row>
    <row r="15" spans="2:8">
      <c r="B15" s="573"/>
      <c r="C15" s="30" t="s">
        <v>27</v>
      </c>
      <c r="D15" s="38" t="s">
        <v>28</v>
      </c>
      <c r="F15" s="335" t="e">
        <f t="shared" si="3"/>
        <v>#REF!</v>
      </c>
      <c r="G15" s="335">
        <v>209.59</v>
      </c>
      <c r="H15" s="403" t="e">
        <f t="shared" si="4"/>
        <v>#REF!</v>
      </c>
    </row>
    <row r="16" spans="2:8">
      <c r="B16" s="663" t="s">
        <v>29</v>
      </c>
      <c r="C16" s="569"/>
      <c r="D16" s="570"/>
      <c r="F16" s="335"/>
      <c r="G16" s="335"/>
      <c r="H16" s="403"/>
    </row>
    <row r="17" spans="2:8">
      <c r="B17" s="580">
        <v>32020001</v>
      </c>
      <c r="C17" s="30" t="s">
        <v>30</v>
      </c>
      <c r="D17" s="38" t="s">
        <v>31</v>
      </c>
      <c r="F17" s="335" t="e">
        <f t="shared" ref="F17:F18" si="5">(#REF!)</f>
        <v>#REF!</v>
      </c>
      <c r="G17" s="335">
        <v>304</v>
      </c>
      <c r="H17" s="403" t="e">
        <f t="shared" ref="H17:H18" si="6">(G17+F17)/2</f>
        <v>#REF!</v>
      </c>
    </row>
    <row r="18" spans="2:8">
      <c r="B18" s="573"/>
      <c r="C18" s="30" t="s">
        <v>32</v>
      </c>
      <c r="D18" s="38" t="s">
        <v>33</v>
      </c>
      <c r="F18" s="335" t="e">
        <f t="shared" si="5"/>
        <v>#REF!</v>
      </c>
      <c r="G18" s="335">
        <v>42.79</v>
      </c>
      <c r="H18" s="403" t="e">
        <f t="shared" si="6"/>
        <v>#REF!</v>
      </c>
    </row>
    <row r="19" spans="2:8">
      <c r="B19" s="663" t="s">
        <v>34</v>
      </c>
      <c r="C19" s="569"/>
      <c r="D19" s="570"/>
      <c r="F19" s="335"/>
      <c r="G19" s="335"/>
      <c r="H19" s="403"/>
    </row>
    <row r="20" spans="2:8">
      <c r="B20" s="580">
        <v>321000014</v>
      </c>
      <c r="C20" s="30" t="s">
        <v>35</v>
      </c>
      <c r="D20" s="38" t="s">
        <v>17</v>
      </c>
      <c r="F20" s="335" t="e">
        <f t="shared" ref="F20:F23" si="7">(#REF!)</f>
        <v>#REF!</v>
      </c>
      <c r="G20" s="335">
        <v>106.55</v>
      </c>
      <c r="H20" s="403" t="e">
        <f>(G20+F20)/2</f>
        <v>#REF!</v>
      </c>
    </row>
    <row r="21" spans="2:8" ht="15.75" customHeight="1">
      <c r="B21" s="573"/>
      <c r="C21" s="30" t="s">
        <v>36</v>
      </c>
      <c r="D21" s="38" t="s">
        <v>15</v>
      </c>
      <c r="F21" s="335" t="e">
        <f t="shared" si="7"/>
        <v>#REF!</v>
      </c>
      <c r="G21" s="335">
        <v>0</v>
      </c>
      <c r="H21" s="403" t="e">
        <f t="shared" ref="H21:H23" si="8">(F21)</f>
        <v>#REF!</v>
      </c>
    </row>
    <row r="22" spans="2:8" ht="15.75" customHeight="1">
      <c r="B22" s="580">
        <v>32020007</v>
      </c>
      <c r="C22" s="30" t="s">
        <v>37</v>
      </c>
      <c r="D22" s="38" t="s">
        <v>17</v>
      </c>
      <c r="F22" s="335" t="e">
        <f t="shared" si="7"/>
        <v>#REF!</v>
      </c>
      <c r="G22" s="335">
        <v>0</v>
      </c>
      <c r="H22" s="403" t="e">
        <f t="shared" si="8"/>
        <v>#REF!</v>
      </c>
    </row>
    <row r="23" spans="2:8" ht="15.75" customHeight="1">
      <c r="B23" s="573"/>
      <c r="C23" s="30" t="s">
        <v>38</v>
      </c>
      <c r="D23" s="38" t="s">
        <v>15</v>
      </c>
      <c r="F23" s="335" t="e">
        <f t="shared" si="7"/>
        <v>#REF!</v>
      </c>
      <c r="G23" s="335">
        <v>0</v>
      </c>
      <c r="H23" s="403" t="e">
        <f t="shared" si="8"/>
        <v>#REF!</v>
      </c>
    </row>
    <row r="24" spans="2:8" ht="15.75" customHeight="1">
      <c r="B24" s="663" t="s">
        <v>39</v>
      </c>
      <c r="C24" s="569"/>
      <c r="D24" s="570"/>
      <c r="F24" s="335"/>
      <c r="G24" s="335"/>
      <c r="H24" s="403"/>
    </row>
    <row r="25" spans="2:8" ht="15.75" customHeight="1">
      <c r="B25" s="580">
        <v>32090001</v>
      </c>
      <c r="C25" s="30" t="s">
        <v>40</v>
      </c>
      <c r="D25" s="38" t="s">
        <v>41</v>
      </c>
      <c r="F25" s="335" t="e">
        <f t="shared" ref="F25:F26" si="9">(#REF!)</f>
        <v>#REF!</v>
      </c>
      <c r="G25" s="335">
        <v>119.6</v>
      </c>
      <c r="H25" s="403" t="e">
        <f t="shared" ref="H25:H26" si="10">(G25+F25)/2</f>
        <v>#REF!</v>
      </c>
    </row>
    <row r="26" spans="2:8" ht="15.75" customHeight="1">
      <c r="B26" s="573"/>
      <c r="C26" s="30" t="s">
        <v>42</v>
      </c>
      <c r="D26" s="38" t="s">
        <v>41</v>
      </c>
      <c r="F26" s="335" t="e">
        <f t="shared" si="9"/>
        <v>#REF!</v>
      </c>
      <c r="G26" s="335">
        <v>119.6</v>
      </c>
      <c r="H26" s="403" t="e">
        <f t="shared" si="10"/>
        <v>#REF!</v>
      </c>
    </row>
    <row r="27" spans="2:8" ht="15.75" customHeight="1">
      <c r="B27" s="663" t="s">
        <v>43</v>
      </c>
      <c r="C27" s="569"/>
      <c r="D27" s="570"/>
      <c r="F27" s="335"/>
      <c r="G27" s="335"/>
      <c r="H27" s="403"/>
    </row>
    <row r="28" spans="2:8" ht="15.75" customHeight="1">
      <c r="B28" s="40">
        <v>32010001</v>
      </c>
      <c r="C28" s="30" t="s">
        <v>44</v>
      </c>
      <c r="D28" s="38" t="s">
        <v>17</v>
      </c>
      <c r="F28" s="335" t="e">
        <f>(#REF!)</f>
        <v>#REF!</v>
      </c>
      <c r="G28" s="335">
        <v>4.9400000000000004</v>
      </c>
      <c r="H28" s="403">
        <f>(G28)</f>
        <v>4.9400000000000004</v>
      </c>
    </row>
    <row r="29" spans="2:8" ht="15.75" customHeight="1">
      <c r="B29" s="663" t="s">
        <v>45</v>
      </c>
      <c r="C29" s="569"/>
      <c r="D29" s="570"/>
      <c r="F29" s="335"/>
      <c r="G29" s="335"/>
      <c r="H29" s="403"/>
    </row>
    <row r="30" spans="2:8" ht="15.75" customHeight="1">
      <c r="B30" s="40">
        <v>320100049</v>
      </c>
      <c r="C30" s="30" t="s">
        <v>46</v>
      </c>
      <c r="D30" s="38" t="s">
        <v>17</v>
      </c>
      <c r="F30" s="335" t="e">
        <f t="shared" ref="F30:F32" si="11">(#REF!)</f>
        <v>#REF!</v>
      </c>
      <c r="G30" s="335">
        <v>0</v>
      </c>
      <c r="H30" s="403" t="e">
        <f>(F30)</f>
        <v>#REF!</v>
      </c>
    </row>
    <row r="31" spans="2:8" ht="15.75" customHeight="1">
      <c r="B31" s="40">
        <v>320100053</v>
      </c>
      <c r="C31" s="30" t="s">
        <v>47</v>
      </c>
      <c r="D31" s="38" t="s">
        <v>48</v>
      </c>
      <c r="F31" s="335" t="e">
        <f t="shared" si="11"/>
        <v>#REF!</v>
      </c>
      <c r="G31" s="335">
        <v>15.06</v>
      </c>
      <c r="H31" s="403" t="e">
        <f t="shared" ref="H31:H32" si="12">(G31+F31)/2</f>
        <v>#REF!</v>
      </c>
    </row>
    <row r="32" spans="2:8" ht="15.75" customHeight="1">
      <c r="B32" s="40">
        <v>320100073</v>
      </c>
      <c r="C32" s="30" t="s">
        <v>49</v>
      </c>
      <c r="D32" s="38" t="s">
        <v>17</v>
      </c>
      <c r="F32" s="335" t="e">
        <f t="shared" si="11"/>
        <v>#REF!</v>
      </c>
      <c r="G32" s="335">
        <v>4.3899999999999997</v>
      </c>
      <c r="H32" s="403" t="e">
        <f t="shared" si="12"/>
        <v>#REF!</v>
      </c>
    </row>
    <row r="33" spans="2:8" ht="15.75" customHeight="1">
      <c r="B33" s="663"/>
      <c r="C33" s="569"/>
      <c r="D33" s="570"/>
      <c r="F33" s="335"/>
      <c r="G33" s="335"/>
      <c r="H33" s="403"/>
    </row>
    <row r="34" spans="2:8" ht="15.75" customHeight="1">
      <c r="B34" s="580">
        <v>32130001</v>
      </c>
      <c r="C34" s="30" t="s">
        <v>50</v>
      </c>
      <c r="D34" s="38" t="s">
        <v>17</v>
      </c>
      <c r="F34" s="335" t="e">
        <f t="shared" ref="F34:F37" si="13">(#REF!)</f>
        <v>#REF!</v>
      </c>
      <c r="G34" s="335">
        <v>0</v>
      </c>
      <c r="H34" s="403" t="e">
        <f t="shared" ref="H34:H35" si="14">(F34)</f>
        <v>#REF!</v>
      </c>
    </row>
    <row r="35" spans="2:8" ht="15.75" customHeight="1">
      <c r="B35" s="573"/>
      <c r="C35" s="30" t="s">
        <v>51</v>
      </c>
      <c r="D35" s="38" t="s">
        <v>17</v>
      </c>
      <c r="F35" s="335" t="e">
        <f t="shared" si="13"/>
        <v>#REF!</v>
      </c>
      <c r="G35" s="335">
        <v>0</v>
      </c>
      <c r="H35" s="403" t="e">
        <f t="shared" si="14"/>
        <v>#REF!</v>
      </c>
    </row>
    <row r="36" spans="2:8" ht="15.75" customHeight="1">
      <c r="B36" s="40">
        <v>322300022</v>
      </c>
      <c r="C36" s="30" t="s">
        <v>52</v>
      </c>
      <c r="D36" s="38" t="s">
        <v>17</v>
      </c>
      <c r="F36" s="335" t="e">
        <f t="shared" si="13"/>
        <v>#REF!</v>
      </c>
      <c r="G36" s="335">
        <v>45.6</v>
      </c>
      <c r="H36" s="403">
        <f t="shared" ref="H36:H37" si="15">(G36)</f>
        <v>45.6</v>
      </c>
    </row>
    <row r="37" spans="2:8" ht="15.75" customHeight="1">
      <c r="B37" s="40">
        <v>321500181</v>
      </c>
      <c r="C37" s="329" t="s">
        <v>53</v>
      </c>
      <c r="D37" s="38" t="s">
        <v>17</v>
      </c>
      <c r="F37" s="335" t="e">
        <f t="shared" si="13"/>
        <v>#REF!</v>
      </c>
      <c r="G37" s="335">
        <v>748.5</v>
      </c>
      <c r="H37" s="403">
        <f t="shared" si="15"/>
        <v>748.5</v>
      </c>
    </row>
    <row r="38" spans="2:8" ht="15.75" customHeight="1">
      <c r="B38" s="663" t="s">
        <v>54</v>
      </c>
      <c r="C38" s="569"/>
      <c r="D38" s="570"/>
      <c r="F38" s="335"/>
      <c r="G38" s="335"/>
      <c r="H38" s="403"/>
    </row>
    <row r="39" spans="2:8" ht="15.75" customHeight="1">
      <c r="B39" s="40">
        <v>321220013</v>
      </c>
      <c r="C39" s="30" t="s">
        <v>55</v>
      </c>
      <c r="D39" s="38" t="s">
        <v>15</v>
      </c>
      <c r="F39" s="335" t="e">
        <f>(#REF!)</f>
        <v>#REF!</v>
      </c>
      <c r="G39" s="335">
        <v>0</v>
      </c>
      <c r="H39" s="403" t="e">
        <f>(F39)</f>
        <v>#REF!</v>
      </c>
    </row>
    <row r="40" spans="2:8" ht="15.75" customHeight="1">
      <c r="B40" s="663"/>
      <c r="C40" s="569"/>
      <c r="D40" s="570"/>
      <c r="F40" s="335"/>
      <c r="G40" s="335"/>
      <c r="H40" s="403"/>
    </row>
    <row r="41" spans="2:8" ht="15.75" customHeight="1">
      <c r="B41" s="40">
        <v>322300061</v>
      </c>
      <c r="C41" s="30" t="s">
        <v>56</v>
      </c>
      <c r="D41" s="38" t="s">
        <v>17</v>
      </c>
      <c r="F41" s="335" t="e">
        <f>(#REF!)</f>
        <v>#REF!</v>
      </c>
      <c r="G41" s="335">
        <v>305</v>
      </c>
      <c r="H41" s="403" t="e">
        <f>(G41+F41)/2</f>
        <v>#REF!</v>
      </c>
    </row>
    <row r="42" spans="2:8" ht="15.75" customHeight="1">
      <c r="B42" s="663"/>
      <c r="C42" s="569"/>
      <c r="D42" s="570"/>
      <c r="F42" s="335"/>
      <c r="G42" s="335"/>
      <c r="H42" s="403"/>
    </row>
    <row r="43" spans="2:8" ht="15.75" customHeight="1">
      <c r="B43" s="40">
        <v>320300033</v>
      </c>
      <c r="C43" s="30" t="s">
        <v>57</v>
      </c>
      <c r="D43" s="38" t="s">
        <v>15</v>
      </c>
      <c r="F43" s="335" t="e">
        <f>(#REF!)</f>
        <v>#REF!</v>
      </c>
      <c r="G43" s="335">
        <v>348.9</v>
      </c>
      <c r="H43" s="403">
        <f>(G43)</f>
        <v>348.9</v>
      </c>
    </row>
    <row r="44" spans="2:8" ht="15.75" customHeight="1">
      <c r="B44" s="663"/>
      <c r="C44" s="569"/>
      <c r="D44" s="570"/>
      <c r="F44" s="335"/>
      <c r="G44" s="335"/>
      <c r="H44" s="403"/>
    </row>
    <row r="45" spans="2:8" ht="15.75" customHeight="1">
      <c r="B45" s="40">
        <v>3207000511</v>
      </c>
      <c r="C45" s="30" t="s">
        <v>58</v>
      </c>
      <c r="D45" s="38" t="s">
        <v>17</v>
      </c>
      <c r="F45" s="335" t="e">
        <f>(#REF!)</f>
        <v>#REF!</v>
      </c>
      <c r="G45" s="335">
        <v>63.37</v>
      </c>
      <c r="H45" s="403">
        <f>(G45)</f>
        <v>63.37</v>
      </c>
    </row>
    <row r="46" spans="2:8" ht="15.75" customHeight="1">
      <c r="B46" s="663"/>
      <c r="C46" s="569"/>
      <c r="D46" s="570"/>
      <c r="F46" s="335"/>
      <c r="G46" s="335"/>
      <c r="H46" s="403"/>
    </row>
    <row r="47" spans="2:8" ht="15.75" customHeight="1">
      <c r="B47" s="40">
        <v>321600012</v>
      </c>
      <c r="C47" s="30" t="s">
        <v>59</v>
      </c>
      <c r="D47" s="38" t="s">
        <v>17</v>
      </c>
      <c r="F47" s="335" t="e">
        <f>(#REF!)</f>
        <v>#REF!</v>
      </c>
      <c r="G47" s="335">
        <v>25.93</v>
      </c>
      <c r="H47" s="403" t="e">
        <f>(G47+F47)/2</f>
        <v>#REF!</v>
      </c>
    </row>
    <row r="48" spans="2:8" ht="15.75" customHeight="1">
      <c r="B48" s="663"/>
      <c r="C48" s="569"/>
      <c r="D48" s="570"/>
      <c r="F48" s="335"/>
      <c r="G48" s="335"/>
      <c r="H48" s="403"/>
    </row>
    <row r="49" spans="2:8" ht="15.75" customHeight="1">
      <c r="B49" s="40">
        <v>320900071</v>
      </c>
      <c r="C49" s="30" t="s">
        <v>60</v>
      </c>
      <c r="D49" s="38" t="s">
        <v>15</v>
      </c>
      <c r="F49" s="335" t="e">
        <f>(#REF!)</f>
        <v>#REF!</v>
      </c>
      <c r="G49" s="335">
        <v>379.05</v>
      </c>
      <c r="H49" s="403" t="e">
        <f>(G49+F49)/2</f>
        <v>#REF!</v>
      </c>
    </row>
    <row r="50" spans="2:8" ht="15.75" customHeight="1">
      <c r="B50" s="663" t="s">
        <v>61</v>
      </c>
      <c r="C50" s="569"/>
      <c r="D50" s="570"/>
      <c r="F50" s="335"/>
      <c r="G50" s="335"/>
      <c r="H50" s="403"/>
    </row>
    <row r="51" spans="2:8" ht="15.75" customHeight="1">
      <c r="B51" s="580">
        <v>32150002</v>
      </c>
      <c r="C51" s="30" t="s">
        <v>62</v>
      </c>
      <c r="D51" s="38" t="s">
        <v>63</v>
      </c>
      <c r="F51" s="335" t="e">
        <f t="shared" ref="F51:F52" si="16">(#REF!)</f>
        <v>#REF!</v>
      </c>
      <c r="G51" s="335">
        <v>0</v>
      </c>
      <c r="H51" s="403" t="e">
        <f t="shared" ref="H51:H52" si="17">(F51)</f>
        <v>#REF!</v>
      </c>
    </row>
    <row r="52" spans="2:8" ht="15.75" customHeight="1">
      <c r="B52" s="573"/>
      <c r="C52" s="30" t="s">
        <v>64</v>
      </c>
      <c r="D52" s="38" t="s">
        <v>33</v>
      </c>
      <c r="F52" s="335" t="e">
        <f t="shared" si="16"/>
        <v>#REF!</v>
      </c>
      <c r="G52" s="335">
        <v>0</v>
      </c>
      <c r="H52" s="403" t="e">
        <f t="shared" si="17"/>
        <v>#REF!</v>
      </c>
    </row>
    <row r="53" spans="2:8" ht="15.75" customHeight="1">
      <c r="B53" s="663"/>
      <c r="C53" s="569"/>
      <c r="D53" s="570"/>
      <c r="F53" s="335"/>
      <c r="G53" s="335"/>
      <c r="H53" s="403"/>
    </row>
    <row r="54" spans="2:8" ht="15.75" customHeight="1">
      <c r="B54" s="40">
        <v>3212002017</v>
      </c>
      <c r="C54" s="30" t="s">
        <v>65</v>
      </c>
      <c r="D54" s="38" t="s">
        <v>15</v>
      </c>
      <c r="F54" s="335" t="e">
        <f>(#REF!)</f>
        <v>#REF!</v>
      </c>
      <c r="G54" s="335">
        <v>1627</v>
      </c>
      <c r="H54" s="403" t="e">
        <f>(G54+F54)/2</f>
        <v>#REF!</v>
      </c>
    </row>
    <row r="55" spans="2:8" ht="15.75" customHeight="1">
      <c r="B55" s="663" t="s">
        <v>66</v>
      </c>
      <c r="C55" s="569"/>
      <c r="D55" s="570"/>
      <c r="F55" s="335"/>
      <c r="G55" s="335"/>
      <c r="H55" s="403"/>
    </row>
    <row r="56" spans="2:8" ht="15.75" customHeight="1">
      <c r="B56" s="40">
        <v>32220001</v>
      </c>
      <c r="C56" s="30" t="s">
        <v>67</v>
      </c>
      <c r="D56" s="38" t="s">
        <v>17</v>
      </c>
      <c r="F56" s="335" t="e">
        <f>(#REF!)</f>
        <v>#REF!</v>
      </c>
      <c r="G56" s="335">
        <v>0</v>
      </c>
      <c r="H56" s="403" t="e">
        <f>(F56)</f>
        <v>#REF!</v>
      </c>
    </row>
    <row r="57" spans="2:8" ht="15.75" customHeight="1">
      <c r="B57" s="663"/>
      <c r="C57" s="569"/>
      <c r="D57" s="570"/>
      <c r="F57" s="335"/>
      <c r="G57" s="335"/>
      <c r="H57" s="403"/>
    </row>
    <row r="58" spans="2:8" ht="15.75" customHeight="1">
      <c r="B58" s="40">
        <v>321500041</v>
      </c>
      <c r="C58" s="30" t="s">
        <v>68</v>
      </c>
      <c r="D58" s="38" t="s">
        <v>15</v>
      </c>
      <c r="F58" s="335" t="e">
        <f>(#REF!)</f>
        <v>#REF!</v>
      </c>
      <c r="G58" s="335">
        <v>0</v>
      </c>
      <c r="H58" s="403" t="e">
        <f>(F58)</f>
        <v>#REF!</v>
      </c>
    </row>
    <row r="59" spans="2:8" ht="15.75" customHeight="1">
      <c r="B59" s="663"/>
      <c r="C59" s="569"/>
      <c r="D59" s="570"/>
      <c r="F59" s="335"/>
      <c r="G59" s="335"/>
      <c r="H59" s="403"/>
    </row>
    <row r="60" spans="2:8" ht="15.75" customHeight="1">
      <c r="B60" s="405"/>
      <c r="C60" s="30" t="s">
        <v>69</v>
      </c>
      <c r="D60" s="30" t="s">
        <v>17</v>
      </c>
      <c r="F60" s="335" t="e">
        <f t="shared" ref="F60:F62" si="18">(#REF!)</f>
        <v>#REF!</v>
      </c>
      <c r="G60" s="335">
        <v>165</v>
      </c>
      <c r="H60" s="403">
        <f t="shared" ref="H60:H61" si="19">(G60)</f>
        <v>165</v>
      </c>
    </row>
    <row r="61" spans="2:8" ht="15.75" customHeight="1">
      <c r="B61" s="405"/>
      <c r="C61" s="30" t="s">
        <v>70</v>
      </c>
      <c r="D61" s="30" t="s">
        <v>17</v>
      </c>
      <c r="F61" s="335" t="e">
        <f t="shared" si="18"/>
        <v>#REF!</v>
      </c>
      <c r="G61" s="335">
        <v>295</v>
      </c>
      <c r="H61" s="403">
        <f t="shared" si="19"/>
        <v>295</v>
      </c>
    </row>
    <row r="62" spans="2:8" ht="15.75" customHeight="1">
      <c r="B62" s="40">
        <v>3201000612</v>
      </c>
      <c r="C62" s="30" t="s">
        <v>71</v>
      </c>
      <c r="D62" s="38" t="s">
        <v>17</v>
      </c>
      <c r="F62" s="335" t="e">
        <f t="shared" si="18"/>
        <v>#REF!</v>
      </c>
      <c r="G62" s="335">
        <v>88.55</v>
      </c>
      <c r="H62" s="403" t="e">
        <f>(G62+F62)/2</f>
        <v>#REF!</v>
      </c>
    </row>
    <row r="63" spans="2:8" ht="15.75" customHeight="1">
      <c r="B63" s="663"/>
      <c r="C63" s="569"/>
      <c r="D63" s="570"/>
      <c r="F63" s="335"/>
      <c r="G63" s="335"/>
      <c r="H63" s="403"/>
    </row>
    <row r="64" spans="2:8" ht="15.75" customHeight="1">
      <c r="B64" s="40">
        <v>321500036</v>
      </c>
      <c r="C64" s="30" t="s">
        <v>72</v>
      </c>
      <c r="D64" s="38" t="s">
        <v>73</v>
      </c>
      <c r="F64" s="335" t="e">
        <f>(#REF!)</f>
        <v>#REF!</v>
      </c>
      <c r="G64" s="335">
        <v>0</v>
      </c>
      <c r="H64" s="403" t="e">
        <f>(F64)</f>
        <v>#REF!</v>
      </c>
    </row>
    <row r="65" spans="2:8" ht="15.75" customHeight="1">
      <c r="B65" s="663" t="s">
        <v>74</v>
      </c>
      <c r="C65" s="569"/>
      <c r="D65" s="570"/>
      <c r="F65" s="335"/>
      <c r="G65" s="335"/>
      <c r="H65" s="403"/>
    </row>
    <row r="66" spans="2:8" ht="15.75" customHeight="1">
      <c r="B66" s="40">
        <v>32050001</v>
      </c>
      <c r="C66" s="30" t="s">
        <v>75</v>
      </c>
      <c r="D66" s="38" t="s">
        <v>17</v>
      </c>
      <c r="F66" s="335" t="e">
        <f>(#REF!)</f>
        <v>#REF!</v>
      </c>
      <c r="G66" s="335">
        <v>9.48</v>
      </c>
      <c r="H66" s="403" t="e">
        <f>(G66+F66)/2</f>
        <v>#REF!</v>
      </c>
    </row>
    <row r="67" spans="2:8" ht="15.75" customHeight="1">
      <c r="B67" s="663"/>
      <c r="C67" s="569"/>
      <c r="D67" s="570"/>
      <c r="F67" s="335"/>
      <c r="G67" s="335"/>
      <c r="H67" s="403"/>
    </row>
    <row r="68" spans="2:8" ht="15.75" customHeight="1">
      <c r="B68" s="40">
        <v>320700121</v>
      </c>
      <c r="C68" s="30" t="s">
        <v>76</v>
      </c>
      <c r="D68" s="38" t="s">
        <v>17</v>
      </c>
      <c r="F68" s="335" t="e">
        <f>(#REF!)</f>
        <v>#REF!</v>
      </c>
      <c r="G68" s="335">
        <v>89.9</v>
      </c>
      <c r="H68" s="403">
        <f>(G68)</f>
        <v>89.9</v>
      </c>
    </row>
    <row r="69" spans="2:8" ht="15.75" customHeight="1">
      <c r="B69" s="663" t="s">
        <v>77</v>
      </c>
      <c r="C69" s="569"/>
      <c r="D69" s="570"/>
      <c r="F69" s="335"/>
      <c r="G69" s="335"/>
      <c r="H69" s="403"/>
    </row>
    <row r="70" spans="2:8" ht="15.75" customHeight="1">
      <c r="B70" s="580">
        <v>32160002</v>
      </c>
      <c r="C70" s="30" t="s">
        <v>78</v>
      </c>
      <c r="D70" s="38" t="s">
        <v>17</v>
      </c>
      <c r="F70" s="335" t="e">
        <f t="shared" ref="F70:F72" si="20">(#REF!)</f>
        <v>#REF!</v>
      </c>
      <c r="G70" s="335">
        <v>0</v>
      </c>
      <c r="H70" s="403" t="e">
        <f>(F70)</f>
        <v>#REF!</v>
      </c>
    </row>
    <row r="71" spans="2:8" ht="15.75" customHeight="1">
      <c r="B71" s="572"/>
      <c r="C71" s="30" t="s">
        <v>79</v>
      </c>
      <c r="D71" s="38" t="s">
        <v>17</v>
      </c>
      <c r="F71" s="335" t="e">
        <f t="shared" si="20"/>
        <v>#REF!</v>
      </c>
      <c r="G71" s="335">
        <v>73.2</v>
      </c>
      <c r="H71" s="403" t="e">
        <f t="shared" ref="H71:H72" si="21">(G71+F71)/2</f>
        <v>#REF!</v>
      </c>
    </row>
    <row r="72" spans="2:8" ht="15.75" customHeight="1">
      <c r="B72" s="573"/>
      <c r="C72" s="30" t="s">
        <v>80</v>
      </c>
      <c r="D72" s="38" t="s">
        <v>17</v>
      </c>
      <c r="F72" s="335" t="e">
        <f t="shared" si="20"/>
        <v>#REF!</v>
      </c>
      <c r="G72" s="335">
        <v>92</v>
      </c>
      <c r="H72" s="403" t="e">
        <f t="shared" si="21"/>
        <v>#REF!</v>
      </c>
    </row>
    <row r="73" spans="2:8" ht="15.75" customHeight="1">
      <c r="B73" s="663"/>
      <c r="C73" s="569"/>
      <c r="D73" s="570"/>
      <c r="F73" s="335"/>
      <c r="G73" s="335"/>
      <c r="H73" s="403"/>
    </row>
    <row r="74" spans="2:8" ht="15.75" customHeight="1">
      <c r="B74" s="40">
        <v>321200161</v>
      </c>
      <c r="C74" s="30" t="s">
        <v>81</v>
      </c>
      <c r="D74" s="38" t="s">
        <v>15</v>
      </c>
      <c r="F74" s="335" t="e">
        <f t="shared" ref="F74:F75" si="22">(#REF!)</f>
        <v>#REF!</v>
      </c>
      <c r="G74" s="335">
        <v>172.33</v>
      </c>
      <c r="H74" s="403">
        <f>(G74)</f>
        <v>172.33</v>
      </c>
    </row>
    <row r="75" spans="2:8" ht="15.75" customHeight="1">
      <c r="B75" s="40">
        <v>321200172</v>
      </c>
      <c r="C75" s="30" t="s">
        <v>82</v>
      </c>
      <c r="D75" s="38" t="s">
        <v>15</v>
      </c>
      <c r="F75" s="335" t="e">
        <f t="shared" si="22"/>
        <v>#REF!</v>
      </c>
      <c r="G75" s="335">
        <v>0</v>
      </c>
      <c r="H75" s="403">
        <v>0</v>
      </c>
    </row>
    <row r="76" spans="2:8" ht="15.75" customHeight="1">
      <c r="B76" s="663"/>
      <c r="C76" s="569"/>
      <c r="D76" s="570"/>
      <c r="F76" s="335"/>
      <c r="G76" s="335"/>
      <c r="H76" s="403"/>
    </row>
    <row r="77" spans="2:8" ht="15.75" customHeight="1">
      <c r="B77" s="40">
        <v>321200192</v>
      </c>
      <c r="C77" s="30" t="s">
        <v>83</v>
      </c>
      <c r="D77" s="38" t="s">
        <v>17</v>
      </c>
      <c r="F77" s="335" t="e">
        <f>(#REF!)</f>
        <v>#REF!</v>
      </c>
      <c r="G77" s="335">
        <v>0</v>
      </c>
      <c r="H77" s="403" t="e">
        <f>(F77)</f>
        <v>#REF!</v>
      </c>
    </row>
    <row r="78" spans="2:8" ht="15.75" customHeight="1">
      <c r="B78" s="663" t="s">
        <v>84</v>
      </c>
      <c r="C78" s="569"/>
      <c r="D78" s="570"/>
      <c r="F78" s="335"/>
      <c r="G78" s="335"/>
      <c r="H78" s="403"/>
    </row>
    <row r="79" spans="2:8" ht="15.75" customHeight="1">
      <c r="B79" s="580">
        <v>32020003</v>
      </c>
      <c r="C79" s="30" t="s">
        <v>85</v>
      </c>
      <c r="D79" s="38" t="s">
        <v>86</v>
      </c>
      <c r="F79" s="335" t="e">
        <f t="shared" ref="F79:F81" si="23">(#REF!)</f>
        <v>#REF!</v>
      </c>
      <c r="G79" s="335">
        <v>1721.66</v>
      </c>
      <c r="H79" s="403" t="e">
        <f>(G79+F79)/2</f>
        <v>#REF!</v>
      </c>
    </row>
    <row r="80" spans="2:8" ht="15.75" customHeight="1">
      <c r="B80" s="573"/>
      <c r="C80" s="30" t="s">
        <v>87</v>
      </c>
      <c r="D80" s="38" t="s">
        <v>88</v>
      </c>
      <c r="F80" s="335" t="e">
        <f t="shared" si="23"/>
        <v>#REF!</v>
      </c>
      <c r="G80" s="335">
        <v>0</v>
      </c>
      <c r="H80" s="403" t="e">
        <f>(F80)</f>
        <v>#REF!</v>
      </c>
    </row>
    <row r="81" spans="2:8" ht="15.75" customHeight="1">
      <c r="B81" s="40">
        <v>320200024</v>
      </c>
      <c r="C81" s="30" t="s">
        <v>89</v>
      </c>
      <c r="D81" s="38" t="s">
        <v>86</v>
      </c>
      <c r="F81" s="335" t="e">
        <f t="shared" si="23"/>
        <v>#REF!</v>
      </c>
      <c r="G81" s="335">
        <v>0</v>
      </c>
      <c r="H81" s="403"/>
    </row>
    <row r="82" spans="2:8" ht="15.75" customHeight="1">
      <c r="B82" s="663"/>
      <c r="C82" s="569"/>
      <c r="D82" s="570"/>
      <c r="F82" s="335"/>
      <c r="G82" s="335"/>
      <c r="H82" s="403"/>
    </row>
    <row r="83" spans="2:8" ht="15.75" customHeight="1">
      <c r="B83" s="40">
        <v>320500026</v>
      </c>
      <c r="C83" s="30" t="s">
        <v>90</v>
      </c>
      <c r="D83" s="38" t="s">
        <v>91</v>
      </c>
      <c r="F83" s="335" t="e">
        <f>(#REF!)</f>
        <v>#REF!</v>
      </c>
      <c r="G83" s="335">
        <v>181</v>
      </c>
      <c r="H83" s="403" t="e">
        <f>(G83+F83)/2</f>
        <v>#REF!</v>
      </c>
    </row>
    <row r="84" spans="2:8" ht="15.75" customHeight="1">
      <c r="B84" s="663" t="s">
        <v>92</v>
      </c>
      <c r="C84" s="569"/>
      <c r="D84" s="570"/>
      <c r="F84" s="335"/>
      <c r="G84" s="335"/>
      <c r="H84" s="403"/>
    </row>
    <row r="85" spans="2:8" ht="15.75" customHeight="1">
      <c r="B85" s="40">
        <v>320100112</v>
      </c>
      <c r="C85" s="30" t="s">
        <v>93</v>
      </c>
      <c r="D85" s="38" t="s">
        <v>94</v>
      </c>
      <c r="F85" s="335" t="e">
        <f t="shared" ref="F85:F87" si="24">(#REF!)</f>
        <v>#REF!</v>
      </c>
      <c r="G85" s="335">
        <v>374.5</v>
      </c>
      <c r="H85" s="403">
        <f>(G85)</f>
        <v>374.5</v>
      </c>
    </row>
    <row r="86" spans="2:8" ht="15.75" customHeight="1">
      <c r="B86" s="40">
        <v>320100123</v>
      </c>
      <c r="C86" s="30" t="s">
        <v>95</v>
      </c>
      <c r="D86" s="38" t="s">
        <v>96</v>
      </c>
      <c r="F86" s="335" t="e">
        <f t="shared" si="24"/>
        <v>#REF!</v>
      </c>
      <c r="G86" s="335">
        <v>36</v>
      </c>
      <c r="H86" s="403" t="e">
        <f>(G86+F86)/2</f>
        <v>#REF!</v>
      </c>
    </row>
    <row r="87" spans="2:8" ht="15.75" customHeight="1">
      <c r="B87" s="40">
        <v>3201001710</v>
      </c>
      <c r="C87" s="30" t="s">
        <v>97</v>
      </c>
      <c r="D87" s="38" t="s">
        <v>94</v>
      </c>
      <c r="F87" s="335" t="e">
        <f t="shared" si="24"/>
        <v>#REF!</v>
      </c>
      <c r="G87" s="335">
        <v>0</v>
      </c>
      <c r="H87" s="403" t="e">
        <f>(F87)</f>
        <v>#REF!</v>
      </c>
    </row>
    <row r="88" spans="2:8" ht="15.75" customHeight="1">
      <c r="B88" s="663" t="s">
        <v>98</v>
      </c>
      <c r="C88" s="569"/>
      <c r="D88" s="570"/>
      <c r="F88" s="335"/>
      <c r="G88" s="335"/>
      <c r="H88" s="403"/>
    </row>
    <row r="89" spans="2:8" ht="15.75" customHeight="1">
      <c r="B89" s="580">
        <v>32070006</v>
      </c>
      <c r="C89" s="30" t="s">
        <v>99</v>
      </c>
      <c r="D89" s="38" t="s">
        <v>15</v>
      </c>
      <c r="F89" s="335" t="e">
        <f t="shared" ref="F89:F92" si="25">(#REF!)</f>
        <v>#REF!</v>
      </c>
      <c r="G89" s="335">
        <v>43.98</v>
      </c>
      <c r="H89" s="403" t="e">
        <f t="shared" ref="H89:H90" si="26">(G89+F89)/2</f>
        <v>#REF!</v>
      </c>
    </row>
    <row r="90" spans="2:8" ht="15.75" customHeight="1">
      <c r="B90" s="572"/>
      <c r="C90" s="30" t="s">
        <v>100</v>
      </c>
      <c r="D90" s="38" t="s">
        <v>17</v>
      </c>
      <c r="F90" s="335" t="e">
        <f t="shared" si="25"/>
        <v>#REF!</v>
      </c>
      <c r="G90" s="335">
        <v>21.06</v>
      </c>
      <c r="H90" s="403" t="e">
        <f t="shared" si="26"/>
        <v>#REF!</v>
      </c>
    </row>
    <row r="91" spans="2:8" ht="15.75" customHeight="1">
      <c r="B91" s="572"/>
      <c r="C91" s="30" t="s">
        <v>101</v>
      </c>
      <c r="D91" s="38" t="s">
        <v>17</v>
      </c>
      <c r="F91" s="335" t="e">
        <f t="shared" si="25"/>
        <v>#REF!</v>
      </c>
      <c r="G91" s="335">
        <v>62</v>
      </c>
      <c r="H91" s="403">
        <f>(G91)</f>
        <v>62</v>
      </c>
    </row>
    <row r="92" spans="2:8" ht="15.75" customHeight="1">
      <c r="B92" s="572"/>
      <c r="C92" s="30" t="s">
        <v>102</v>
      </c>
      <c r="D92" s="38" t="s">
        <v>15</v>
      </c>
      <c r="F92" s="335" t="e">
        <f t="shared" si="25"/>
        <v>#REF!</v>
      </c>
      <c r="G92" s="335">
        <v>21.54</v>
      </c>
      <c r="H92" s="403" t="e">
        <f>(G92+F92)/2</f>
        <v>#REF!</v>
      </c>
    </row>
    <row r="93" spans="2:8" ht="15.75" customHeight="1">
      <c r="B93" s="573"/>
      <c r="C93" s="30" t="s">
        <v>103</v>
      </c>
      <c r="D93" s="38" t="s">
        <v>17</v>
      </c>
      <c r="F93" s="335">
        <v>0</v>
      </c>
      <c r="G93" s="335">
        <v>0</v>
      </c>
      <c r="H93" s="403">
        <v>0</v>
      </c>
    </row>
    <row r="94" spans="2:8" ht="15.75" customHeight="1">
      <c r="B94" s="406"/>
      <c r="C94" s="406"/>
      <c r="D94" s="406"/>
      <c r="F94" s="335"/>
      <c r="G94" s="335"/>
      <c r="H94" s="403"/>
    </row>
    <row r="95" spans="2:8" ht="15.75" customHeight="1">
      <c r="B95" s="40">
        <v>321600081</v>
      </c>
      <c r="C95" s="30" t="s">
        <v>104</v>
      </c>
      <c r="D95" s="38" t="s">
        <v>17</v>
      </c>
      <c r="F95" s="335" t="e">
        <f>(#REF!)</f>
        <v>#REF!</v>
      </c>
      <c r="G95" s="335">
        <v>0</v>
      </c>
      <c r="H95" s="403" t="e">
        <f>(F95)</f>
        <v>#REF!</v>
      </c>
    </row>
    <row r="96" spans="2:8" ht="15.75" customHeight="1">
      <c r="B96" s="663" t="s">
        <v>105</v>
      </c>
      <c r="C96" s="569"/>
      <c r="D96" s="570"/>
      <c r="F96" s="335"/>
      <c r="G96" s="335"/>
      <c r="H96" s="403"/>
    </row>
    <row r="97" spans="2:8" ht="15.75" customHeight="1">
      <c r="B97" s="40">
        <v>32030001</v>
      </c>
      <c r="C97" s="30" t="s">
        <v>106</v>
      </c>
      <c r="D97" s="38" t="s">
        <v>17</v>
      </c>
      <c r="F97" s="335" t="e">
        <f>(#REF!)</f>
        <v>#REF!</v>
      </c>
      <c r="G97" s="335">
        <v>4.8</v>
      </c>
      <c r="H97" s="403" t="e">
        <f>(G97+F97)/2</f>
        <v>#REF!</v>
      </c>
    </row>
    <row r="98" spans="2:8" ht="15.75" customHeight="1">
      <c r="B98" s="663"/>
      <c r="C98" s="569"/>
      <c r="D98" s="570"/>
      <c r="F98" s="335"/>
      <c r="G98" s="335"/>
      <c r="H98" s="403"/>
    </row>
    <row r="99" spans="2:8" ht="15.75" customHeight="1">
      <c r="B99" s="40">
        <v>321500154</v>
      </c>
      <c r="C99" s="30" t="s">
        <v>107</v>
      </c>
      <c r="D99" s="38" t="s">
        <v>15</v>
      </c>
      <c r="F99" s="335" t="e">
        <f>(#REF!)</f>
        <v>#REF!</v>
      </c>
      <c r="G99" s="335">
        <v>0</v>
      </c>
      <c r="H99" s="403">
        <v>0</v>
      </c>
    </row>
    <row r="100" spans="2:8" ht="15.75" customHeight="1">
      <c r="B100" s="663" t="s">
        <v>108</v>
      </c>
      <c r="C100" s="569"/>
      <c r="D100" s="570"/>
      <c r="F100" s="335"/>
      <c r="G100" s="335"/>
      <c r="H100" s="403"/>
    </row>
    <row r="101" spans="2:8" ht="15.75" customHeight="1">
      <c r="B101" s="580">
        <v>32070007</v>
      </c>
      <c r="C101" s="30" t="s">
        <v>109</v>
      </c>
      <c r="D101" s="38" t="s">
        <v>17</v>
      </c>
      <c r="F101" s="335" t="e">
        <f t="shared" ref="F101:F105" si="27">(#REF!)</f>
        <v>#REF!</v>
      </c>
      <c r="G101" s="335">
        <v>4.25</v>
      </c>
      <c r="H101" s="403" t="e">
        <f t="shared" ref="H101:H105" si="28">(G101+F101)/2</f>
        <v>#REF!</v>
      </c>
    </row>
    <row r="102" spans="2:8" ht="15.75" customHeight="1">
      <c r="B102" s="572"/>
      <c r="C102" s="30" t="s">
        <v>110</v>
      </c>
      <c r="D102" s="38" t="s">
        <v>17</v>
      </c>
      <c r="F102" s="335" t="e">
        <f t="shared" si="27"/>
        <v>#REF!</v>
      </c>
      <c r="G102" s="335">
        <v>5.94</v>
      </c>
      <c r="H102" s="403" t="e">
        <f t="shared" si="28"/>
        <v>#REF!</v>
      </c>
    </row>
    <row r="103" spans="2:8" ht="15.75" customHeight="1">
      <c r="B103" s="572"/>
      <c r="C103" s="30" t="s">
        <v>111</v>
      </c>
      <c r="D103" s="38" t="s">
        <v>17</v>
      </c>
      <c r="F103" s="335" t="e">
        <f t="shared" si="27"/>
        <v>#REF!</v>
      </c>
      <c r="G103" s="335">
        <v>9.94</v>
      </c>
      <c r="H103" s="403" t="e">
        <f t="shared" si="28"/>
        <v>#REF!</v>
      </c>
    </row>
    <row r="104" spans="2:8" ht="15.75" customHeight="1">
      <c r="B104" s="572"/>
      <c r="C104" s="30" t="s">
        <v>112</v>
      </c>
      <c r="D104" s="38" t="s">
        <v>17</v>
      </c>
      <c r="F104" s="335" t="e">
        <f t="shared" si="27"/>
        <v>#REF!</v>
      </c>
      <c r="G104" s="335">
        <v>27.5</v>
      </c>
      <c r="H104" s="403" t="e">
        <f t="shared" si="28"/>
        <v>#REF!</v>
      </c>
    </row>
    <row r="105" spans="2:8" ht="15.75" customHeight="1">
      <c r="B105" s="573"/>
      <c r="C105" s="30" t="s">
        <v>113</v>
      </c>
      <c r="D105" s="38" t="s">
        <v>17</v>
      </c>
      <c r="F105" s="335" t="e">
        <f t="shared" si="27"/>
        <v>#REF!</v>
      </c>
      <c r="G105" s="335">
        <v>3.95</v>
      </c>
      <c r="H105" s="403" t="e">
        <f t="shared" si="28"/>
        <v>#REF!</v>
      </c>
    </row>
    <row r="106" spans="2:8" ht="15.75" customHeight="1">
      <c r="B106" s="663"/>
      <c r="C106" s="569"/>
      <c r="D106" s="570"/>
      <c r="F106" s="335"/>
      <c r="G106" s="335"/>
      <c r="H106" s="403"/>
    </row>
    <row r="107" spans="2:8" ht="15.75" customHeight="1">
      <c r="B107" s="40">
        <v>321100011</v>
      </c>
      <c r="C107" s="30" t="s">
        <v>114</v>
      </c>
      <c r="D107" s="38" t="s">
        <v>17</v>
      </c>
      <c r="F107" s="335" t="e">
        <f>(#REF!)</f>
        <v>#REF!</v>
      </c>
      <c r="G107" s="335">
        <v>22.54</v>
      </c>
      <c r="H107" s="403" t="e">
        <f>(G107+F107)/2</f>
        <v>#REF!</v>
      </c>
    </row>
    <row r="108" spans="2:8" ht="15.75" customHeight="1">
      <c r="B108" s="663" t="s">
        <v>115</v>
      </c>
      <c r="C108" s="569"/>
      <c r="D108" s="570"/>
      <c r="F108" s="335"/>
      <c r="G108" s="335"/>
      <c r="H108" s="403"/>
    </row>
    <row r="109" spans="2:8" ht="15.75" customHeight="1">
      <c r="B109" s="580">
        <v>32090019</v>
      </c>
      <c r="C109" s="30" t="s">
        <v>116</v>
      </c>
      <c r="D109" s="38" t="s">
        <v>15</v>
      </c>
      <c r="F109" s="335" t="e">
        <f t="shared" ref="F109:F117" si="29">(#REF!)</f>
        <v>#REF!</v>
      </c>
      <c r="G109" s="335">
        <v>386.5</v>
      </c>
      <c r="H109" s="403" t="e">
        <f t="shared" ref="H109:H114" si="30">(G109+F109)/2</f>
        <v>#REF!</v>
      </c>
    </row>
    <row r="110" spans="2:8" ht="15.75" customHeight="1">
      <c r="B110" s="572"/>
      <c r="C110" s="30" t="s">
        <v>117</v>
      </c>
      <c r="D110" s="38" t="s">
        <v>15</v>
      </c>
      <c r="F110" s="335" t="e">
        <f t="shared" si="29"/>
        <v>#REF!</v>
      </c>
      <c r="G110" s="335">
        <v>386.5</v>
      </c>
      <c r="H110" s="403" t="e">
        <f t="shared" si="30"/>
        <v>#REF!</v>
      </c>
    </row>
    <row r="111" spans="2:8" ht="15.75" customHeight="1">
      <c r="B111" s="573"/>
      <c r="C111" s="30" t="s">
        <v>118</v>
      </c>
      <c r="D111" s="38" t="s">
        <v>15</v>
      </c>
      <c r="F111" s="335" t="e">
        <f t="shared" si="29"/>
        <v>#REF!</v>
      </c>
      <c r="G111" s="335">
        <v>386.5</v>
      </c>
      <c r="H111" s="403" t="e">
        <f t="shared" si="30"/>
        <v>#REF!</v>
      </c>
    </row>
    <row r="112" spans="2:8" ht="15.75" customHeight="1">
      <c r="B112" s="580">
        <v>32120004</v>
      </c>
      <c r="C112" s="30" t="s">
        <v>119</v>
      </c>
      <c r="D112" s="38" t="s">
        <v>17</v>
      </c>
      <c r="F112" s="335" t="e">
        <f t="shared" si="29"/>
        <v>#REF!</v>
      </c>
      <c r="G112" s="335">
        <v>64.8</v>
      </c>
      <c r="H112" s="403" t="e">
        <f t="shared" si="30"/>
        <v>#REF!</v>
      </c>
    </row>
    <row r="113" spans="2:8" ht="15.75" customHeight="1">
      <c r="B113" s="573"/>
      <c r="C113" s="30" t="s">
        <v>120</v>
      </c>
      <c r="D113" s="38" t="s">
        <v>17</v>
      </c>
      <c r="F113" s="335" t="e">
        <f t="shared" si="29"/>
        <v>#REF!</v>
      </c>
      <c r="G113" s="335">
        <v>64.8</v>
      </c>
      <c r="H113" s="403" t="e">
        <f t="shared" si="30"/>
        <v>#REF!</v>
      </c>
    </row>
    <row r="114" spans="2:8" ht="15.75" customHeight="1">
      <c r="B114" s="580">
        <v>32120005</v>
      </c>
      <c r="C114" s="30" t="s">
        <v>121</v>
      </c>
      <c r="D114" s="38" t="s">
        <v>17</v>
      </c>
      <c r="F114" s="335" t="e">
        <f t="shared" si="29"/>
        <v>#REF!</v>
      </c>
      <c r="G114" s="335">
        <v>134.4</v>
      </c>
      <c r="H114" s="403" t="e">
        <f t="shared" si="30"/>
        <v>#REF!</v>
      </c>
    </row>
    <row r="115" spans="2:8" ht="15.75" customHeight="1">
      <c r="B115" s="572"/>
      <c r="C115" s="30" t="s">
        <v>122</v>
      </c>
      <c r="D115" s="38" t="s">
        <v>123</v>
      </c>
      <c r="F115" s="335" t="e">
        <f t="shared" si="29"/>
        <v>#REF!</v>
      </c>
      <c r="G115" s="335">
        <v>0</v>
      </c>
      <c r="H115" s="403" t="e">
        <f t="shared" ref="H115:H116" si="31">(F115)</f>
        <v>#REF!</v>
      </c>
    </row>
    <row r="116" spans="2:8" ht="15.75" customHeight="1">
      <c r="B116" s="572"/>
      <c r="C116" s="30" t="s">
        <v>124</v>
      </c>
      <c r="D116" s="38" t="s">
        <v>123</v>
      </c>
      <c r="F116" s="335" t="e">
        <f t="shared" si="29"/>
        <v>#REF!</v>
      </c>
      <c r="G116" s="335">
        <v>0</v>
      </c>
      <c r="H116" s="403" t="e">
        <f t="shared" si="31"/>
        <v>#REF!</v>
      </c>
    </row>
    <row r="117" spans="2:8" ht="15.75" customHeight="1">
      <c r="B117" s="573"/>
      <c r="C117" s="30" t="s">
        <v>125</v>
      </c>
      <c r="D117" s="38" t="s">
        <v>17</v>
      </c>
      <c r="F117" s="335" t="e">
        <f t="shared" si="29"/>
        <v>#REF!</v>
      </c>
      <c r="G117" s="335">
        <v>132.49</v>
      </c>
      <c r="H117" s="403" t="e">
        <f>(G117+F117)/2</f>
        <v>#REF!</v>
      </c>
    </row>
    <row r="118" spans="2:8" ht="15.75" customHeight="1">
      <c r="B118" s="663" t="s">
        <v>126</v>
      </c>
      <c r="C118" s="569"/>
      <c r="D118" s="570"/>
      <c r="F118" s="335"/>
      <c r="G118" s="335"/>
      <c r="H118" s="403"/>
    </row>
    <row r="119" spans="2:8" ht="15.75" customHeight="1">
      <c r="B119" s="40">
        <v>32120011</v>
      </c>
      <c r="C119" s="30" t="s">
        <v>127</v>
      </c>
      <c r="D119" s="38" t="s">
        <v>17</v>
      </c>
      <c r="F119" s="335" t="e">
        <f>(#REF!)</f>
        <v>#REF!</v>
      </c>
      <c r="G119" s="335">
        <v>156.79</v>
      </c>
      <c r="H119" s="403">
        <f>(G119)</f>
        <v>156.79</v>
      </c>
    </row>
    <row r="120" spans="2:8" ht="15.75" customHeight="1">
      <c r="B120" s="663" t="s">
        <v>128</v>
      </c>
      <c r="C120" s="569"/>
      <c r="D120" s="570"/>
      <c r="F120" s="335"/>
      <c r="G120" s="335"/>
      <c r="H120" s="403"/>
    </row>
    <row r="121" spans="2:8" ht="15.75" customHeight="1">
      <c r="B121" s="580">
        <v>32080004</v>
      </c>
      <c r="C121" s="30" t="s">
        <v>129</v>
      </c>
      <c r="D121" s="38" t="s">
        <v>17</v>
      </c>
      <c r="F121" s="335" t="e">
        <f t="shared" ref="F121:F124" si="32">(#REF!)</f>
        <v>#REF!</v>
      </c>
      <c r="G121" s="335">
        <v>100.79</v>
      </c>
      <c r="H121" s="403" t="e">
        <f t="shared" ref="H121:H124" si="33">(G121+F121)/2</f>
        <v>#REF!</v>
      </c>
    </row>
    <row r="122" spans="2:8" ht="15.75" customHeight="1">
      <c r="B122" s="572"/>
      <c r="C122" s="30" t="s">
        <v>130</v>
      </c>
      <c r="D122" s="38" t="s">
        <v>17</v>
      </c>
      <c r="F122" s="335" t="e">
        <f t="shared" si="32"/>
        <v>#REF!</v>
      </c>
      <c r="G122" s="335">
        <v>100.79</v>
      </c>
      <c r="H122" s="403" t="e">
        <f t="shared" si="33"/>
        <v>#REF!</v>
      </c>
    </row>
    <row r="123" spans="2:8" ht="15.75" customHeight="1">
      <c r="B123" s="573"/>
      <c r="C123" s="30" t="s">
        <v>131</v>
      </c>
      <c r="D123" s="38" t="s">
        <v>17</v>
      </c>
      <c r="F123" s="335" t="e">
        <f t="shared" si="32"/>
        <v>#REF!</v>
      </c>
      <c r="G123" s="335">
        <v>90.72</v>
      </c>
      <c r="H123" s="403" t="e">
        <f t="shared" si="33"/>
        <v>#REF!</v>
      </c>
    </row>
    <row r="124" spans="2:8" ht="15.75" customHeight="1">
      <c r="B124" s="40">
        <v>320800057</v>
      </c>
      <c r="C124" s="30" t="s">
        <v>132</v>
      </c>
      <c r="D124" s="38" t="s">
        <v>17</v>
      </c>
      <c r="F124" s="335" t="e">
        <f t="shared" si="32"/>
        <v>#REF!</v>
      </c>
      <c r="G124" s="335">
        <v>167.2</v>
      </c>
      <c r="H124" s="403" t="e">
        <f t="shared" si="33"/>
        <v>#REF!</v>
      </c>
    </row>
    <row r="125" spans="2:8" ht="15.75" customHeight="1">
      <c r="B125" s="663"/>
      <c r="C125" s="569"/>
      <c r="D125" s="570"/>
      <c r="F125" s="335"/>
      <c r="G125" s="335"/>
      <c r="H125" s="403"/>
    </row>
    <row r="126" spans="2:8" ht="15.75" customHeight="1">
      <c r="B126" s="40">
        <v>320900102</v>
      </c>
      <c r="C126" s="30" t="s">
        <v>133</v>
      </c>
      <c r="D126" s="38" t="s">
        <v>15</v>
      </c>
      <c r="F126" s="335" t="e">
        <f>(#REF!)</f>
        <v>#REF!</v>
      </c>
      <c r="G126" s="335">
        <v>134.9</v>
      </c>
      <c r="H126" s="403" t="e">
        <f>(G126+F126)/2</f>
        <v>#REF!</v>
      </c>
    </row>
    <row r="127" spans="2:8" ht="15.75" customHeight="1">
      <c r="B127" s="663" t="s">
        <v>134</v>
      </c>
      <c r="C127" s="569"/>
      <c r="D127" s="570"/>
      <c r="F127" s="335"/>
      <c r="G127" s="335"/>
      <c r="H127" s="403"/>
    </row>
    <row r="128" spans="2:8" ht="15.75" customHeight="1">
      <c r="B128" s="40">
        <v>320900135</v>
      </c>
      <c r="C128" s="30" t="s">
        <v>135</v>
      </c>
      <c r="D128" s="38" t="s">
        <v>17</v>
      </c>
      <c r="F128" s="335" t="e">
        <f t="shared" ref="F128:F129" si="34">(#REF!)</f>
        <v>#REF!</v>
      </c>
      <c r="G128" s="4">
        <v>0</v>
      </c>
      <c r="H128" s="403" t="e">
        <f>(F128)</f>
        <v>#REF!</v>
      </c>
    </row>
    <row r="129" spans="2:8" ht="15.75" customHeight="1">
      <c r="B129" s="40">
        <v>320900131</v>
      </c>
      <c r="C129" s="30" t="s">
        <v>136</v>
      </c>
      <c r="D129" s="38" t="s">
        <v>17</v>
      </c>
      <c r="F129" s="335" t="e">
        <f t="shared" si="34"/>
        <v>#REF!</v>
      </c>
      <c r="G129" s="335">
        <v>29.39</v>
      </c>
      <c r="H129" s="403" t="e">
        <f>(G129+F129)/2</f>
        <v>#REF!</v>
      </c>
    </row>
    <row r="130" spans="2:8" ht="15.75" customHeight="1">
      <c r="B130" s="663"/>
      <c r="C130" s="569"/>
      <c r="D130" s="570"/>
      <c r="F130" s="335"/>
      <c r="G130" s="335"/>
      <c r="H130" s="403"/>
    </row>
    <row r="131" spans="2:8" ht="15.75" customHeight="1">
      <c r="B131" s="40">
        <v>320900212</v>
      </c>
      <c r="C131" s="30" t="s">
        <v>137</v>
      </c>
      <c r="D131" s="38" t="s">
        <v>15</v>
      </c>
      <c r="F131" s="335" t="e">
        <f>(#REF!)</f>
        <v>#REF!</v>
      </c>
      <c r="G131" s="335">
        <v>13.88</v>
      </c>
      <c r="H131" s="403" t="e">
        <f>(G131+F131)/2</f>
        <v>#REF!</v>
      </c>
    </row>
    <row r="132" spans="2:8" ht="15.75" customHeight="1">
      <c r="B132" s="663"/>
      <c r="C132" s="569"/>
      <c r="D132" s="570"/>
      <c r="F132" s="335"/>
      <c r="G132" s="335"/>
      <c r="H132" s="403"/>
    </row>
    <row r="133" spans="2:8" ht="15.75" customHeight="1">
      <c r="B133" s="40">
        <v>320500044</v>
      </c>
      <c r="C133" s="30" t="s">
        <v>138</v>
      </c>
      <c r="D133" s="38" t="s">
        <v>63</v>
      </c>
      <c r="F133" s="335" t="e">
        <f t="shared" ref="F133:F135" si="35">(#REF!)</f>
        <v>#REF!</v>
      </c>
      <c r="G133" s="335">
        <v>108.54</v>
      </c>
      <c r="H133" s="403" t="e">
        <f t="shared" ref="H133:H134" si="36">(G133+F133)/2</f>
        <v>#REF!</v>
      </c>
    </row>
    <row r="134" spans="2:8" ht="15.75" customHeight="1">
      <c r="B134" s="40">
        <v>320500031</v>
      </c>
      <c r="C134" s="30" t="s">
        <v>139</v>
      </c>
      <c r="D134" s="38" t="s">
        <v>63</v>
      </c>
      <c r="F134" s="335" t="e">
        <f t="shared" si="35"/>
        <v>#REF!</v>
      </c>
      <c r="G134" s="335">
        <v>2145</v>
      </c>
      <c r="H134" s="403" t="e">
        <f t="shared" si="36"/>
        <v>#REF!</v>
      </c>
    </row>
    <row r="135" spans="2:8" ht="15.75" customHeight="1">
      <c r="B135" s="40">
        <v>321500066</v>
      </c>
      <c r="C135" s="30" t="s">
        <v>140</v>
      </c>
      <c r="D135" s="38" t="s">
        <v>141</v>
      </c>
      <c r="F135" s="335" t="e">
        <f t="shared" si="35"/>
        <v>#REF!</v>
      </c>
      <c r="G135" s="335">
        <v>0</v>
      </c>
      <c r="H135" s="403" t="e">
        <f>(F135)</f>
        <v>#REF!</v>
      </c>
    </row>
    <row r="136" spans="2:8" ht="15.75" customHeight="1">
      <c r="B136" s="663"/>
      <c r="C136" s="569"/>
      <c r="D136" s="570"/>
      <c r="F136" s="335"/>
      <c r="G136" s="335"/>
      <c r="H136" s="403"/>
    </row>
    <row r="137" spans="2:8" ht="15.75" customHeight="1">
      <c r="B137" s="40">
        <v>321600051</v>
      </c>
      <c r="C137" s="30" t="s">
        <v>142</v>
      </c>
      <c r="D137" s="38" t="s">
        <v>17</v>
      </c>
      <c r="F137" s="335" t="e">
        <f t="shared" ref="F137:F138" si="37">(#REF!)</f>
        <v>#REF!</v>
      </c>
      <c r="G137" s="335">
        <v>0</v>
      </c>
      <c r="H137" s="403" t="e">
        <f>(F137)</f>
        <v>#REF!</v>
      </c>
    </row>
    <row r="138" spans="2:8" ht="15.75" customHeight="1">
      <c r="B138" s="40">
        <v>320900041</v>
      </c>
      <c r="C138" s="30" t="s">
        <v>143</v>
      </c>
      <c r="D138" s="38" t="s">
        <v>15</v>
      </c>
      <c r="F138" s="335" t="e">
        <f t="shared" si="37"/>
        <v>#REF!</v>
      </c>
      <c r="G138" s="335">
        <v>15.91</v>
      </c>
      <c r="H138" s="403" t="e">
        <f>(G138+F138)/2</f>
        <v>#REF!</v>
      </c>
    </row>
    <row r="139" spans="2:8" ht="15.75" customHeight="1">
      <c r="B139" s="663"/>
      <c r="C139" s="569"/>
      <c r="D139" s="570"/>
      <c r="F139" s="335"/>
      <c r="G139" s="335"/>
      <c r="H139" s="403"/>
    </row>
    <row r="140" spans="2:8" ht="15.75" customHeight="1">
      <c r="B140" s="40">
        <v>321500062</v>
      </c>
      <c r="C140" s="30" t="s">
        <v>144</v>
      </c>
      <c r="D140" s="38" t="s">
        <v>63</v>
      </c>
      <c r="F140" s="335" t="e">
        <f>(#REF!)</f>
        <v>#REF!</v>
      </c>
      <c r="G140" s="335">
        <v>0</v>
      </c>
      <c r="H140" s="403" t="e">
        <f>(F140)</f>
        <v>#REF!</v>
      </c>
    </row>
    <row r="141" spans="2:8" ht="15.75" customHeight="1">
      <c r="B141" s="663" t="s">
        <v>145</v>
      </c>
      <c r="C141" s="569"/>
      <c r="D141" s="570"/>
      <c r="F141" s="335"/>
      <c r="G141" s="335"/>
      <c r="H141" s="403"/>
    </row>
    <row r="142" spans="2:8" ht="15.75" customHeight="1">
      <c r="B142" s="40">
        <v>3211000211</v>
      </c>
      <c r="C142" s="30" t="s">
        <v>146</v>
      </c>
      <c r="D142" s="38" t="s">
        <v>17</v>
      </c>
      <c r="F142" s="335" t="e">
        <f t="shared" ref="F142:F143" si="38">(#REF!)</f>
        <v>#REF!</v>
      </c>
      <c r="G142" s="335">
        <v>0</v>
      </c>
      <c r="H142" s="403">
        <v>0</v>
      </c>
    </row>
    <row r="143" spans="2:8" ht="15.75" customHeight="1">
      <c r="B143" s="40">
        <v>3211000212</v>
      </c>
      <c r="C143" s="30" t="s">
        <v>147</v>
      </c>
      <c r="D143" s="38" t="s">
        <v>15</v>
      </c>
      <c r="F143" s="335" t="e">
        <f t="shared" si="38"/>
        <v>#REF!</v>
      </c>
      <c r="G143" s="335">
        <v>295</v>
      </c>
      <c r="H143" s="403">
        <f>(G143)</f>
        <v>295</v>
      </c>
    </row>
    <row r="144" spans="2:8" ht="15.75" customHeight="1">
      <c r="B144" s="663" t="s">
        <v>148</v>
      </c>
      <c r="C144" s="569"/>
      <c r="D144" s="570"/>
      <c r="F144" s="335"/>
      <c r="G144" s="335"/>
      <c r="H144" s="403"/>
    </row>
    <row r="145" spans="2:8" ht="15.75" customHeight="1">
      <c r="B145" s="580">
        <v>32130006</v>
      </c>
      <c r="C145" s="30" t="s">
        <v>149</v>
      </c>
      <c r="D145" s="38" t="s">
        <v>15</v>
      </c>
      <c r="F145" s="335" t="e">
        <f>(#REF!)</f>
        <v>#REF!</v>
      </c>
      <c r="G145" s="335">
        <v>53.2</v>
      </c>
      <c r="H145" s="403" t="e">
        <f>(G145+F145)/2</f>
        <v>#REF!</v>
      </c>
    </row>
    <row r="146" spans="2:8" ht="15.75" customHeight="1">
      <c r="B146" s="573"/>
      <c r="C146" s="30" t="s">
        <v>150</v>
      </c>
      <c r="D146" s="38" t="s">
        <v>17</v>
      </c>
      <c r="F146" s="335"/>
      <c r="G146" s="335">
        <v>46.07</v>
      </c>
      <c r="H146" s="403">
        <f>(G146)</f>
        <v>46.07</v>
      </c>
    </row>
    <row r="147" spans="2:8" ht="15.75" customHeight="1">
      <c r="B147" s="40">
        <v>322300033</v>
      </c>
      <c r="C147" s="30" t="s">
        <v>151</v>
      </c>
      <c r="D147" s="38" t="s">
        <v>15</v>
      </c>
      <c r="F147" s="335" t="e">
        <f t="shared" ref="F147:F148" si="39">(#REF!)</f>
        <v>#REF!</v>
      </c>
      <c r="G147" s="335">
        <v>87</v>
      </c>
      <c r="H147" s="403" t="e">
        <f>(G147+F147)/2</f>
        <v>#REF!</v>
      </c>
    </row>
    <row r="148" spans="2:8" ht="15.75" customHeight="1">
      <c r="B148" s="40">
        <v>322300054</v>
      </c>
      <c r="C148" s="30" t="s">
        <v>152</v>
      </c>
      <c r="D148" s="38" t="s">
        <v>17</v>
      </c>
      <c r="F148" s="335" t="e">
        <f t="shared" si="39"/>
        <v>#REF!</v>
      </c>
      <c r="G148" s="335">
        <v>0</v>
      </c>
      <c r="H148" s="403" t="e">
        <f>(F148)</f>
        <v>#REF!</v>
      </c>
    </row>
    <row r="149" spans="2:8" ht="15.75" customHeight="1">
      <c r="B149" s="663" t="s">
        <v>153</v>
      </c>
      <c r="C149" s="569"/>
      <c r="D149" s="570"/>
      <c r="F149" s="335"/>
      <c r="G149" s="335"/>
      <c r="H149" s="403"/>
    </row>
    <row r="150" spans="2:8" ht="15.75" customHeight="1">
      <c r="B150" s="580">
        <v>32020006</v>
      </c>
      <c r="C150" s="30" t="s">
        <v>154</v>
      </c>
      <c r="D150" s="38" t="s">
        <v>63</v>
      </c>
      <c r="F150" s="335" t="e">
        <f t="shared" ref="F150:F152" si="40">(#REF!)</f>
        <v>#REF!</v>
      </c>
      <c r="G150" s="335">
        <v>262.64</v>
      </c>
      <c r="H150" s="403" t="e">
        <f t="shared" ref="H150:H152" si="41">(G150+F150)/2</f>
        <v>#REF!</v>
      </c>
    </row>
    <row r="151" spans="2:8" ht="15.75" customHeight="1">
      <c r="B151" s="572"/>
      <c r="C151" s="30" t="s">
        <v>155</v>
      </c>
      <c r="D151" s="38" t="s">
        <v>63</v>
      </c>
      <c r="F151" s="335" t="e">
        <f t="shared" si="40"/>
        <v>#REF!</v>
      </c>
      <c r="G151" s="335">
        <v>88.4</v>
      </c>
      <c r="H151" s="403" t="e">
        <f t="shared" si="41"/>
        <v>#REF!</v>
      </c>
    </row>
    <row r="152" spans="2:8" ht="15.75" customHeight="1">
      <c r="B152" s="573"/>
      <c r="C152" s="30" t="s">
        <v>156</v>
      </c>
      <c r="D152" s="38" t="s">
        <v>63</v>
      </c>
      <c r="F152" s="335" t="e">
        <f t="shared" si="40"/>
        <v>#REF!</v>
      </c>
      <c r="G152" s="335">
        <v>107.5</v>
      </c>
      <c r="H152" s="403" t="e">
        <f t="shared" si="41"/>
        <v>#REF!</v>
      </c>
    </row>
    <row r="153" spans="2:8" ht="15.75" customHeight="1">
      <c r="B153" s="664"/>
      <c r="C153" s="569"/>
      <c r="D153" s="570"/>
      <c r="F153" s="335"/>
      <c r="G153" s="335"/>
      <c r="H153" s="403"/>
    </row>
    <row r="154" spans="2:8" ht="15.75" customHeight="1">
      <c r="B154" s="40">
        <v>320900052</v>
      </c>
      <c r="C154" s="30" t="s">
        <v>157</v>
      </c>
      <c r="D154" s="38" t="s">
        <v>17</v>
      </c>
      <c r="F154" s="335" t="e">
        <f>(#REF!)</f>
        <v>#REF!</v>
      </c>
      <c r="G154" s="335">
        <v>233.44</v>
      </c>
      <c r="H154" s="403">
        <f>(G154)</f>
        <v>233.44</v>
      </c>
    </row>
    <row r="155" spans="2:8" ht="15.75" customHeight="1">
      <c r="B155" s="663"/>
      <c r="C155" s="569"/>
      <c r="D155" s="570"/>
      <c r="F155" s="335"/>
      <c r="G155" s="335"/>
      <c r="H155" s="403"/>
    </row>
    <row r="156" spans="2:8" ht="15.75" customHeight="1">
      <c r="B156" s="40">
        <v>3212000815</v>
      </c>
      <c r="C156" s="30" t="s">
        <v>158</v>
      </c>
      <c r="D156" s="38" t="s">
        <v>17</v>
      </c>
      <c r="F156" s="335" t="e">
        <f>(#REF!)</f>
        <v>#REF!</v>
      </c>
      <c r="G156" s="335">
        <v>91.16</v>
      </c>
      <c r="H156" s="403" t="e">
        <f>(G156+F156)/2</f>
        <v>#REF!</v>
      </c>
    </row>
    <row r="157" spans="2:8" ht="15.75" customHeight="1">
      <c r="B157" s="40">
        <v>321200332</v>
      </c>
      <c r="C157" s="30" t="s">
        <v>159</v>
      </c>
      <c r="D157" s="38"/>
      <c r="F157" s="335">
        <v>0</v>
      </c>
      <c r="G157" s="335">
        <v>0</v>
      </c>
      <c r="H157" s="403">
        <v>0</v>
      </c>
    </row>
    <row r="158" spans="2:8" ht="15.75" customHeight="1">
      <c r="B158" s="663" t="s">
        <v>160</v>
      </c>
      <c r="C158" s="569"/>
      <c r="D158" s="570"/>
      <c r="F158" s="335"/>
      <c r="G158" s="335"/>
      <c r="H158" s="403"/>
    </row>
    <row r="159" spans="2:8" ht="15.75" customHeight="1">
      <c r="B159" s="580">
        <v>32060005</v>
      </c>
      <c r="C159" s="30" t="s">
        <v>161</v>
      </c>
      <c r="D159" s="38" t="s">
        <v>33</v>
      </c>
      <c r="F159" s="335" t="e">
        <f t="shared" ref="F159:F163" si="42">(#REF!)</f>
        <v>#REF!</v>
      </c>
      <c r="G159" s="335">
        <v>131.4</v>
      </c>
      <c r="H159" s="403" t="e">
        <f t="shared" ref="H159:H161" si="43">(G159+F159)/2</f>
        <v>#REF!</v>
      </c>
    </row>
    <row r="160" spans="2:8" ht="15.75" customHeight="1">
      <c r="B160" s="572"/>
      <c r="C160" s="30" t="s">
        <v>162</v>
      </c>
      <c r="D160" s="38" t="s">
        <v>33</v>
      </c>
      <c r="F160" s="335" t="e">
        <f t="shared" si="42"/>
        <v>#REF!</v>
      </c>
      <c r="G160" s="335">
        <v>179.5</v>
      </c>
      <c r="H160" s="403" t="e">
        <f t="shared" si="43"/>
        <v>#REF!</v>
      </c>
    </row>
    <row r="161" spans="2:8" ht="15.75" customHeight="1">
      <c r="B161" s="573"/>
      <c r="C161" s="30" t="s">
        <v>163</v>
      </c>
      <c r="D161" s="38" t="s">
        <v>33</v>
      </c>
      <c r="F161" s="335" t="e">
        <f t="shared" si="42"/>
        <v>#REF!</v>
      </c>
      <c r="G161" s="335">
        <v>233.4</v>
      </c>
      <c r="H161" s="403" t="e">
        <f t="shared" si="43"/>
        <v>#REF!</v>
      </c>
    </row>
    <row r="162" spans="2:8" ht="15.75" customHeight="1">
      <c r="B162" s="580">
        <v>32020004</v>
      </c>
      <c r="C162" s="30" t="s">
        <v>164</v>
      </c>
      <c r="D162" s="38" t="s">
        <v>63</v>
      </c>
      <c r="F162" s="335" t="e">
        <f t="shared" si="42"/>
        <v>#REF!</v>
      </c>
      <c r="G162" s="335">
        <v>0</v>
      </c>
      <c r="H162" s="403" t="e">
        <f>(F162)</f>
        <v>#REF!</v>
      </c>
    </row>
    <row r="163" spans="2:8" ht="15.75" customHeight="1">
      <c r="B163" s="573"/>
      <c r="C163" s="30" t="s">
        <v>165</v>
      </c>
      <c r="D163" s="38" t="s">
        <v>63</v>
      </c>
      <c r="F163" s="335" t="e">
        <f t="shared" si="42"/>
        <v>#REF!</v>
      </c>
      <c r="G163" s="335">
        <v>37.950000000000003</v>
      </c>
      <c r="H163" s="403" t="e">
        <f>(G163+F163)/2</f>
        <v>#REF!</v>
      </c>
    </row>
  </sheetData>
  <mergeCells count="69">
    <mergeCell ref="B16:D16"/>
    <mergeCell ref="B3:D3"/>
    <mergeCell ref="B4:D4"/>
    <mergeCell ref="B13:D13"/>
    <mergeCell ref="B14:B15"/>
    <mergeCell ref="B6:B12"/>
    <mergeCell ref="B78:D78"/>
    <mergeCell ref="B73:D73"/>
    <mergeCell ref="B76:D76"/>
    <mergeCell ref="B22:B23"/>
    <mergeCell ref="B17:B18"/>
    <mergeCell ref="B19:D19"/>
    <mergeCell ref="B20:B21"/>
    <mergeCell ref="B24:D24"/>
    <mergeCell ref="B25:B26"/>
    <mergeCell ref="B51:B52"/>
    <mergeCell ref="B27:D27"/>
    <mergeCell ref="B29:D29"/>
    <mergeCell ref="B50:D50"/>
    <mergeCell ref="B33:D33"/>
    <mergeCell ref="B34:B35"/>
    <mergeCell ref="B38:D38"/>
    <mergeCell ref="B40:D40"/>
    <mergeCell ref="B42:D42"/>
    <mergeCell ref="B44:D44"/>
    <mergeCell ref="B121:B123"/>
    <mergeCell ref="B125:D125"/>
    <mergeCell ref="B65:D65"/>
    <mergeCell ref="B67:D67"/>
    <mergeCell ref="B46:D46"/>
    <mergeCell ref="B48:D48"/>
    <mergeCell ref="B53:D53"/>
    <mergeCell ref="B59:D59"/>
    <mergeCell ref="B63:D63"/>
    <mergeCell ref="B55:D55"/>
    <mergeCell ref="B57:D57"/>
    <mergeCell ref="B69:D69"/>
    <mergeCell ref="B70:B72"/>
    <mergeCell ref="B118:D118"/>
    <mergeCell ref="B120:D120"/>
    <mergeCell ref="B100:D100"/>
    <mergeCell ref="B101:B105"/>
    <mergeCell ref="B106:D106"/>
    <mergeCell ref="B108:D108"/>
    <mergeCell ref="B114:B117"/>
    <mergeCell ref="B109:B111"/>
    <mergeCell ref="B79:B80"/>
    <mergeCell ref="B89:B93"/>
    <mergeCell ref="B112:B113"/>
    <mergeCell ref="B96:D96"/>
    <mergeCell ref="B98:D98"/>
    <mergeCell ref="B82:D82"/>
    <mergeCell ref="B84:D84"/>
    <mergeCell ref="B88:D88"/>
    <mergeCell ref="B141:D141"/>
    <mergeCell ref="B150:B152"/>
    <mergeCell ref="B153:D153"/>
    <mergeCell ref="B127:D127"/>
    <mergeCell ref="B130:D130"/>
    <mergeCell ref="B132:D132"/>
    <mergeCell ref="B136:D136"/>
    <mergeCell ref="B144:D144"/>
    <mergeCell ref="B139:D139"/>
    <mergeCell ref="B158:D158"/>
    <mergeCell ref="B159:B161"/>
    <mergeCell ref="B162:B163"/>
    <mergeCell ref="B145:B146"/>
    <mergeCell ref="B149:D149"/>
    <mergeCell ref="B155:D15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PRECIOS COMPR.AR MARZO</vt:lpstr>
      <vt:lpstr>PRECIO REFERENCIA MAYO</vt:lpstr>
      <vt:lpstr>PRECIO REFERENCIA JULIO</vt:lpstr>
      <vt:lpstr>Variacion </vt:lpstr>
      <vt:lpstr>Grupo por codigo de insumos</vt:lpstr>
      <vt:lpstr>PRECIOS COMPR.AR MAYO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MARINO</dc:creator>
  <cp:lastModifiedBy>Roberto Cabaña</cp:lastModifiedBy>
  <cp:lastPrinted>2022-08-05T15:32:24Z</cp:lastPrinted>
  <dcterms:created xsi:type="dcterms:W3CDTF">2018-07-13T15:13:17Z</dcterms:created>
  <dcterms:modified xsi:type="dcterms:W3CDTF">2023-07-19T12:06:42Z</dcterms:modified>
</cp:coreProperties>
</file>