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A.MARCO\"/>
    </mc:Choice>
  </mc:AlternateContent>
  <bookViews>
    <workbookView xWindow="0" yWindow="0" windowWidth="24000" windowHeight="9435"/>
  </bookViews>
  <sheets>
    <sheet name="Precio 06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94" i="1" l="1"/>
  <c r="F258" i="1"/>
  <c r="J208" i="1" l="1"/>
  <c r="J206" i="1"/>
  <c r="J171" i="1"/>
  <c r="J169" i="1"/>
  <c r="J166" i="1"/>
  <c r="J165" i="1"/>
  <c r="J129" i="1"/>
  <c r="M125" i="1"/>
  <c r="J125" i="1"/>
  <c r="J124" i="1"/>
  <c r="J90" i="1"/>
  <c r="J84" i="1"/>
  <c r="J49" i="1"/>
  <c r="M43" i="1"/>
  <c r="J36" i="1"/>
  <c r="J35" i="1"/>
  <c r="J25" i="1"/>
  <c r="J19" i="1"/>
  <c r="J18" i="1"/>
  <c r="J16" i="1"/>
  <c r="J14" i="1"/>
  <c r="J13" i="1"/>
  <c r="J12" i="1"/>
  <c r="G282" i="1" l="1"/>
  <c r="G277" i="1"/>
  <c r="G242" i="1" l="1"/>
  <c r="J234" i="1"/>
  <c r="J231" i="1"/>
  <c r="J207" i="1"/>
  <c r="G206" i="1"/>
  <c r="F184" i="1"/>
  <c r="G181" i="1"/>
  <c r="J173" i="1"/>
  <c r="J172" i="1"/>
  <c r="G173" i="1"/>
  <c r="G172" i="1"/>
  <c r="G168" i="1"/>
  <c r="G169" i="1"/>
  <c r="G167" i="1"/>
  <c r="J158" i="1"/>
  <c r="J157" i="1"/>
  <c r="J155" i="1"/>
  <c r="J154" i="1"/>
  <c r="G111" i="1" l="1"/>
  <c r="M63" i="1"/>
  <c r="J46" i="1"/>
  <c r="J43" i="1"/>
  <c r="J38" i="1"/>
  <c r="J31" i="1"/>
  <c r="J26" i="1"/>
  <c r="F316" i="1" l="1"/>
  <c r="F314" i="1"/>
  <c r="F313" i="1"/>
  <c r="F312" i="1"/>
  <c r="F311" i="1"/>
  <c r="F308" i="1"/>
  <c r="F307" i="1"/>
  <c r="F306" i="1"/>
  <c r="F302" i="1"/>
  <c r="F242" i="1"/>
  <c r="F241" i="1"/>
  <c r="F240" i="1"/>
  <c r="F239" i="1"/>
  <c r="F238" i="1"/>
  <c r="F235" i="1"/>
  <c r="F234" i="1"/>
  <c r="F233" i="1"/>
  <c r="F231" i="1"/>
  <c r="F230" i="1"/>
  <c r="F174" i="1"/>
  <c r="F173" i="1"/>
  <c r="F172" i="1"/>
  <c r="F171" i="1"/>
  <c r="F170" i="1"/>
  <c r="F169" i="1"/>
  <c r="F168" i="1"/>
  <c r="F167" i="1"/>
  <c r="G165" i="1"/>
  <c r="F165" i="1" s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66" i="1" l="1"/>
  <c r="F300" i="1"/>
  <c r="F299" i="1"/>
  <c r="F298" i="1"/>
  <c r="F199" i="1" l="1"/>
  <c r="F297" i="1"/>
  <c r="F296" i="1"/>
  <c r="G116" i="1"/>
  <c r="F294" i="1"/>
  <c r="F292" i="1"/>
  <c r="F290" i="1"/>
  <c r="F291" i="1"/>
  <c r="F289" i="1" l="1"/>
  <c r="F288" i="1"/>
  <c r="F287" i="1"/>
  <c r="F286" i="1"/>
  <c r="F285" i="1"/>
  <c r="F284" i="1"/>
  <c r="F283" i="1"/>
  <c r="F282" i="1" l="1"/>
  <c r="F281" i="1"/>
  <c r="F280" i="1"/>
  <c r="F87" i="1"/>
  <c r="F72" i="1" l="1"/>
  <c r="F71" i="1"/>
  <c r="F279" i="1"/>
  <c r="F278" i="1"/>
  <c r="F193" i="1"/>
  <c r="F192" i="1"/>
  <c r="F191" i="1"/>
  <c r="F277" i="1"/>
  <c r="F276" i="1" l="1"/>
  <c r="F275" i="1"/>
  <c r="F99" i="1"/>
  <c r="F274" i="1"/>
  <c r="F273" i="1"/>
  <c r="F272" i="1"/>
  <c r="F271" i="1" l="1"/>
  <c r="F270" i="1"/>
  <c r="F269" i="1"/>
  <c r="F268" i="1"/>
  <c r="F267" i="1"/>
  <c r="F266" i="1"/>
  <c r="F265" i="1"/>
  <c r="F264" i="1"/>
  <c r="F263" i="1"/>
  <c r="F262" i="1"/>
  <c r="F261" i="1"/>
  <c r="F229" i="1"/>
  <c r="F228" i="1"/>
  <c r="F227" i="1"/>
  <c r="F226" i="1"/>
  <c r="F225" i="1"/>
  <c r="F224" i="1"/>
  <c r="F222" i="1"/>
  <c r="F220" i="1"/>
  <c r="F219" i="1"/>
  <c r="F218" i="1"/>
  <c r="F221" i="1"/>
  <c r="F217" i="1"/>
  <c r="F223" i="1"/>
  <c r="F197" i="1"/>
  <c r="F142" i="1"/>
  <c r="F137" i="1"/>
  <c r="F10" i="1"/>
  <c r="F9" i="1"/>
  <c r="F259" i="1"/>
  <c r="F257" i="1"/>
  <c r="F256" i="1" l="1"/>
  <c r="F35" i="1"/>
  <c r="F37" i="1"/>
  <c r="F34" i="1"/>
  <c r="F255" i="1"/>
  <c r="F254" i="1"/>
  <c r="F253" i="1"/>
  <c r="F88" i="1"/>
  <c r="F86" i="1"/>
  <c r="F252" i="1"/>
  <c r="F251" i="1"/>
  <c r="F196" i="1"/>
  <c r="F195" i="1" l="1"/>
  <c r="F194" i="1"/>
  <c r="F129" i="1"/>
  <c r="M127" i="1"/>
  <c r="F127" i="1" s="1"/>
  <c r="J128" i="1"/>
  <c r="M114" i="1"/>
  <c r="F114" i="1" s="1"/>
  <c r="F128" i="1" l="1"/>
  <c r="F125" i="1"/>
  <c r="F113" i="1"/>
  <c r="F63" i="1"/>
  <c r="F62" i="1"/>
  <c r="F59" i="1"/>
  <c r="F13" i="1"/>
  <c r="F12" i="1"/>
  <c r="F11" i="1"/>
  <c r="F22" i="1"/>
  <c r="F21" i="1"/>
  <c r="F20" i="1"/>
  <c r="M31" i="1"/>
  <c r="F31" i="1" s="1"/>
  <c r="F30" i="1"/>
  <c r="G179" i="1"/>
  <c r="F179" i="1" s="1"/>
  <c r="F76" i="1"/>
  <c r="F61" i="1" l="1"/>
  <c r="F75" i="1"/>
  <c r="J237" i="1"/>
  <c r="F237" i="1" s="1"/>
  <c r="F236" i="1"/>
  <c r="F119" i="1"/>
  <c r="F38" i="1"/>
  <c r="F210" i="1"/>
  <c r="F207" i="1"/>
  <c r="F103" i="1" l="1"/>
  <c r="F45" i="1"/>
  <c r="G204" i="1" l="1"/>
  <c r="J183" i="1"/>
  <c r="F176" i="1"/>
  <c r="J126" i="1"/>
  <c r="G122" i="1"/>
  <c r="F118" i="1"/>
  <c r="G112" i="1"/>
  <c r="G108" i="1"/>
  <c r="G105" i="1"/>
  <c r="F105" i="1" s="1"/>
  <c r="G102" i="1"/>
  <c r="G101" i="1"/>
  <c r="G96" i="1"/>
  <c r="G80" i="1" l="1"/>
  <c r="F69" i="1" l="1"/>
  <c r="F65" i="1" l="1"/>
  <c r="F56" i="1" l="1"/>
  <c r="F246" i="1"/>
  <c r="F214" i="1"/>
  <c r="F204" i="1"/>
  <c r="F200" i="1" l="1"/>
  <c r="F201" i="1"/>
  <c r="F202" i="1"/>
  <c r="F203" i="1"/>
  <c r="F138" i="1"/>
  <c r="F126" i="1"/>
  <c r="F60" i="1" l="1"/>
  <c r="F58" i="1"/>
  <c r="F54" i="1"/>
  <c r="F49" i="1"/>
  <c r="F43" i="1"/>
  <c r="F70" i="1" l="1"/>
  <c r="F80" i="1"/>
  <c r="F36" i="1"/>
  <c r="F33" i="1"/>
  <c r="F14" i="1"/>
  <c r="F15" i="1"/>
  <c r="F16" i="1"/>
  <c r="F17" i="1"/>
  <c r="F18" i="1"/>
  <c r="F19" i="1"/>
  <c r="F248" i="1" l="1"/>
  <c r="F247" i="1"/>
  <c r="F245" i="1"/>
  <c r="F244" i="1"/>
  <c r="F216" i="1"/>
  <c r="F209" i="1"/>
  <c r="F208" i="1"/>
  <c r="F206" i="1"/>
  <c r="F198" i="1"/>
  <c r="F190" i="1"/>
  <c r="F188" i="1"/>
  <c r="F186" i="1"/>
  <c r="F183" i="1"/>
  <c r="F181" i="1"/>
  <c r="F180" i="1"/>
  <c r="F163" i="1"/>
  <c r="F143" i="1"/>
  <c r="F141" i="1"/>
  <c r="F140" i="1"/>
  <c r="F139" i="1"/>
  <c r="F136" i="1"/>
  <c r="F135" i="1"/>
  <c r="F134" i="1"/>
  <c r="F133" i="1"/>
  <c r="F131" i="1"/>
  <c r="F124" i="1"/>
  <c r="F123" i="1"/>
  <c r="F122" i="1"/>
  <c r="F116" i="1"/>
  <c r="F112" i="1"/>
  <c r="F111" i="1"/>
  <c r="F109" i="1"/>
  <c r="F108" i="1"/>
  <c r="F107" i="1"/>
  <c r="F102" i="1"/>
  <c r="F101" i="1"/>
  <c r="F97" i="1"/>
  <c r="F96" i="1"/>
  <c r="F93" i="1"/>
  <c r="F90" i="1"/>
  <c r="F84" i="1"/>
  <c r="F83" i="1"/>
  <c r="F82" i="1"/>
  <c r="F78" i="1"/>
  <c r="F74" i="1"/>
  <c r="F67" i="1"/>
  <c r="F52" i="1"/>
  <c r="F50" i="1"/>
  <c r="F47" i="1"/>
  <c r="F41" i="1"/>
  <c r="F40" i="1"/>
  <c r="F29" i="1"/>
  <c r="F28" i="1"/>
  <c r="F26" i="1"/>
  <c r="F25" i="1"/>
  <c r="F8" i="1"/>
  <c r="F178" i="1" l="1"/>
  <c r="F94" i="1"/>
  <c r="F46" i="1"/>
  <c r="F92" i="1"/>
</calcChain>
</file>

<file path=xl/sharedStrings.xml><?xml version="1.0" encoding="utf-8"?>
<sst xmlns="http://schemas.openxmlformats.org/spreadsheetml/2006/main" count="1481" uniqueCount="964">
  <si>
    <t>Codigo Item</t>
  </si>
  <si>
    <t>Descripcion</t>
  </si>
  <si>
    <t>Cantidades</t>
  </si>
  <si>
    <t>Precio promedio</t>
  </si>
  <si>
    <t>Precio ref. 1</t>
  </si>
  <si>
    <t>Marca px 1</t>
  </si>
  <si>
    <t>Link px 1</t>
  </si>
  <si>
    <t xml:space="preserve">Precio ref. 2 </t>
  </si>
  <si>
    <t>Marca px 2</t>
  </si>
  <si>
    <t>Link px 2</t>
  </si>
  <si>
    <t>Precio ref. 3</t>
  </si>
  <si>
    <t>Marca px3</t>
  </si>
  <si>
    <t>Link px 3</t>
  </si>
  <si>
    <t>OBSERVACIONES</t>
  </si>
  <si>
    <t xml:space="preserve">PRECIOS FUENTES CONSULTADAS </t>
  </si>
  <si>
    <t>AGUJAS</t>
  </si>
  <si>
    <t xml:space="preserve">AGUJA DE PUNCION RAQUIDEA Nº25 G PUNTA LAPIZ DESC.EST. </t>
  </si>
  <si>
    <t>UNIDAD</t>
  </si>
  <si>
    <t>AURINCO</t>
  </si>
  <si>
    <t>48Base032070002.2AGUJA HIPODERMICA 15/5 DESC.EST.  Presentación:  UNIDAD</t>
  </si>
  <si>
    <t xml:space="preserve">AGUJA HIPODERMICA 15/5 DESC.EST. </t>
  </si>
  <si>
    <t>49Base032070002.3AGUJA HIPODERMICA 25/6 DESC.EST.  Presentacion:  UNIDAD</t>
  </si>
  <si>
    <t xml:space="preserve">AGUJA HIPODERMICA 25/6 DESC.EST.  </t>
  </si>
  <si>
    <t>GREETMED</t>
  </si>
  <si>
    <t>https://www.lilis.com.ar/agujas-terumo-todos-los-tama-os</t>
  </si>
  <si>
    <t>50Base032070002.4AGUJA HIPODERMICA 25/8 DESC.EST.  Presentación:  UNIDAD</t>
  </si>
  <si>
    <t xml:space="preserve">AGUJA HIPODERMICA 25/8 DESC.EST. </t>
  </si>
  <si>
    <t>NOVAMED</t>
  </si>
  <si>
    <t>51Base032070002.6AGUJA HIPODERMICA 30/7 DESC.EST.  Presentacion:  UNIDAD</t>
  </si>
  <si>
    <t xml:space="preserve">AGUJA HIPODERMICA 30/7 DESC.EST. </t>
  </si>
  <si>
    <t>NOVOFINE</t>
  </si>
  <si>
    <t>https://www.farmaplus.com.ar/novofine-agujas-30g-x-8-mm-para-pen-caja-100-unidades/p?gclid=EAIaIQobChMIitjau-by_wIVLWtMCh3KOgiMEAMYAyAAEgL1YvD_BwE%20NOVOFINE</t>
  </si>
  <si>
    <t>52Base032070002.7AGUJA HIPODERMICA 40/8 DESC.EST.  Presentación:  UNIDAD</t>
  </si>
  <si>
    <t xml:space="preserve">AGUJA HIPODERMICA 40/8 DESC.EST. </t>
  </si>
  <si>
    <t>53Base032070002.8AGUJA HIPODERMICA 50/8 DESC.EST.  Presentación:  UNIDAD</t>
  </si>
  <si>
    <t xml:space="preserve">AGUJA HIPODERMICA 50/8 DESC.EST. </t>
  </si>
  <si>
    <t>EUROMIX</t>
  </si>
  <si>
    <t>ALCOHOL ETILICO</t>
  </si>
  <si>
    <t>2Base031290027.4ALCOHOL ETILICO 70º  Presentación:  X 1000 ML  Solicitado:  ENVASE</t>
  </si>
  <si>
    <t>ALCOHOL ETILICO 70º</t>
  </si>
  <si>
    <t xml:space="preserve">X 1000 ML    </t>
  </si>
  <si>
    <t>SANICOL</t>
  </si>
  <si>
    <t>https://www.tiendahospimed.com.ar/MLA-918606757-alcohol-medicinal-70-1-litro-sanicol-3-unidades-_JM#position=3&amp;search_layout=stack&amp;type=item&amp;tracking_id=b1377160-a1b4-4e65-9b75-b0f100f44cb1</t>
  </si>
  <si>
    <t>1Base031290027.1ALCOHOL ETILICO PURO 96º  Presentación:  X LT  Solicitado:  LT</t>
  </si>
  <si>
    <t>ALCOHOL ETILICO PURO 96º</t>
  </si>
  <si>
    <t xml:space="preserve">LT           </t>
  </si>
  <si>
    <t>https://www.tiendahospimed.com.ar/MLA-918604306-alcohol-etilico-96-1-litro-x-3-unidades-sanicol-_JM#position=1&amp;search_layout=stack&amp;type=item&amp;tracking_id=b1377160-a1b4-4e65-9b75-b0f100f44cb1</t>
  </si>
  <si>
    <t>ALGODÓN</t>
  </si>
  <si>
    <t>21Base032020001.1ALGODON HIDROFILO PLEGADO X 400/500 G  Presentación:  PAQUETE</t>
  </si>
  <si>
    <t>ALGODON HIDROFILO PLEGADO X 400/500 G</t>
  </si>
  <si>
    <t xml:space="preserve">PAQUETE      </t>
  </si>
  <si>
    <t>DONCELLA</t>
  </si>
  <si>
    <t>INSUMOS XXI</t>
  </si>
  <si>
    <t>https://www.lilis.com.ar/algodon-1-2-k-doncella-igalte</t>
  </si>
  <si>
    <t>42Base032060001.2ALGODON LAMINADO X 10 CM ANCHO Y 2.5 MTS LARGO APROX.  Presentación:  ROLLO</t>
  </si>
  <si>
    <t>ALGODON LAMINADO X 10 CM ANCHO Y 2.5 MTS LARGO APROX.</t>
  </si>
  <si>
    <t>ROLLO</t>
  </si>
  <si>
    <t>FAVE</t>
  </si>
  <si>
    <t>https://cirugiarex.com.ar/producto/venda-ovata-de-algodon-10cm-x-3m/</t>
  </si>
  <si>
    <t>APOSITO</t>
  </si>
  <si>
    <t>93Base032100001.4APOSITO ADHESIVO 10 X 12 CM (tipo Tegaderm)  Presentación:  UNIDAD</t>
  </si>
  <si>
    <t>APOSITO ADHESIVO 10 X 12 CM (tipo Tegaderm)</t>
  </si>
  <si>
    <t xml:space="preserve">UNIDAD       </t>
  </si>
  <si>
    <t>3M</t>
  </si>
  <si>
    <t>https://www.tiendahospimed.com.ar/MLA-607569932-aposito-impermeable-tegaderm-3m-10x12-10-unidades-_JM#position=1&amp;search_layout=stack&amp;type=item&amp;tracking_id=5aa2351b-d0ee-4e1b-af50-92b53d2c6d2d</t>
  </si>
  <si>
    <t>94Base032100001.10APOSITO HIDROCOLOIDE  Presentación:  10 X 10  Solicitado:  UNIDAD</t>
  </si>
  <si>
    <t xml:space="preserve">APOSITO HIDROCOLOIDE 10X 10 </t>
  </si>
  <si>
    <t>COLOPLAST</t>
  </si>
  <si>
    <t>https://cirugiarex.com.ar/producto/aposito-hidrocoloide-10x10cm-33110/</t>
  </si>
  <si>
    <t>31Base032020007.4APOSITO DE 10X20CM Y 14G APROX.CONFECCIONADO C/ALGODON HIDROFILO Y GASA TUBULAR,ACONDICIONADO ESTERIL  Presentacion:  UNIDAD</t>
  </si>
  <si>
    <t>APOSITO DE 10X20CM Y 14G APROX.CONFECCIONADO C/ALGODON HIDROFILO Y GASA TUBULAR,ACONDICIONADO ESTERIL</t>
  </si>
  <si>
    <t>MEDICA</t>
  </si>
  <si>
    <t>GENERIC</t>
  </si>
  <si>
    <t>https://www.tiendahospimed.com.ar/MLA-1120422069-aposito-esteril-gasa-algodon-kraft-10x20-20-unidades-_JM#position=4&amp;search_layout=stack&amp;type=item&amp;tracking_id=77054436-6e98-4191-b4ee-f45c3346c70f</t>
  </si>
  <si>
    <t>BAJALENGUAS</t>
  </si>
  <si>
    <t>81Base032090001.1BAJALENGUA DE MADERA ADULTO  Presentación:  ENVASE X 100  Solicitado:  ENVASE</t>
  </si>
  <si>
    <t>BAJALENGUA DE MADERA ADULTO</t>
  </si>
  <si>
    <t xml:space="preserve">ENVASE X 100 </t>
  </si>
  <si>
    <t>CLERICOT</t>
  </si>
  <si>
    <t>https://www.lilis.com.ar/bajalenguas-adulto-100</t>
  </si>
  <si>
    <t>https://cirugiarex.com.ar/producto/baja-lengua-de-madera-adultos-x100-unidades/</t>
  </si>
  <si>
    <t>82Base032090001.2BAJALENGUA DE MADERA NI#O  Presentación:  ENVASE X 100  Solicitado:  ENVASE</t>
  </si>
  <si>
    <t>BAJALENGUA DE MADERA NIÑO</t>
  </si>
  <si>
    <t>https://cirugiarex.com.ar/producto/baja-lengua-de-madera-pediatricos-x100-unidades/</t>
  </si>
  <si>
    <t>BARBIJOS</t>
  </si>
  <si>
    <t>3Base032010001.3BARBIJO DESC TRIPLE CAPA HEMOREP MIN 40 GR CON SUJETADOR DE NARIZ  Presentación:  UNIDAD</t>
  </si>
  <si>
    <t>BARBIJO DESC TRIPLE CAPA HEMOREP MIN 40 GR CON SUJETADOR DE NARIZ</t>
  </si>
  <si>
    <t>PTM</t>
  </si>
  <si>
    <t>https://www.tiendahospimed.com.ar/MLA-900811282-barbijo-quirurgico-triple-capa-con-elastico-50-unidades-_JM#position=1&amp;search_layout=stack&amp;type=item&amp;tracking_id=26c9d2d1-aa72-46b5-bfd4-c6383639bad9</t>
  </si>
  <si>
    <t>NEW MASK</t>
  </si>
  <si>
    <t>https://cirugiarex.com.ar/producto/barbijo-quirurgico-x50-unidades-2/</t>
  </si>
  <si>
    <t>https://www.lilis.com.ar/barbijo-triple-con-elastico-50-negro</t>
  </si>
  <si>
    <t>ROPA DESCARTABLE</t>
  </si>
  <si>
    <t>4Base032010004.9BLUSON DE CIRUGIA DESC.C/PUÑO ELASTIZADO, HEMORREPELENTE 40GR.1.40 MTS DE LARGO Y 1.50 MTS DE ANCHO APROX  Presentacion:  UNIDAD</t>
  </si>
  <si>
    <t>BLUSON DE CIRUGIA DESC.C/PUÑO TEJIDO/ELASTIZADO, HEMORREPELENTE 40GR. MINIMO,  1.30 MTS DE LARGO, 1.50 MTS DE ANCHO APROX Y 60 CM MINIMO DE BRAZO.</t>
  </si>
  <si>
    <t>SMS</t>
  </si>
  <si>
    <t>5Base032010005.3 BOTAS CAÑA LARGA HEMOREPELENTES NO PLASTICO PERMEABLE AL VAPOR DESC.DE 30 GR. MINIMO  Presentación:  PAR</t>
  </si>
  <si>
    <t xml:space="preserve">BOTAS CAÑA LARGA HEMOREPELENTES NO PLASTICO PERMEABLE AL VAPOR DESC.DE 30 GR. MINIMO </t>
  </si>
  <si>
    <t xml:space="preserve">PAR          </t>
  </si>
  <si>
    <t>9Base032010007.3GORRO CIRUJANO TIPO COFIA HEMOREPELENTE NO PLASTICO PERMEABLE AL VAPOR DESC.  Presentación:  UNIDAD</t>
  </si>
  <si>
    <t>GORRO CIRUJANO TIPO COFIA HEMOREPELENTE NO PLASTICO PERMEABLE AL VAPOR DESC.</t>
  </si>
  <si>
    <t>LYNCMED</t>
  </si>
  <si>
    <t>https://cirugiarex.com.ar/producto/cofia-descartable-x100-unidades-lyncmed/</t>
  </si>
  <si>
    <t>121Base032130001.1BOLSA DE COLOSTOMIA AUTOADHESIVA C/FILTRO Y DIAM.RECORTABLE OPACA  Presentación:  UNIDAD</t>
  </si>
  <si>
    <t>BOLSA DE COLOSTOMIA AUTOADHESIVA C/FILTRO Y DIAM.RECORTABLE OPACA</t>
  </si>
  <si>
    <t>148Base032230002.2BOLSA PLASTICA C/VALVULA DE DESAGOTE Y ANTIREFLUJO CAP. 2 L P/RECOLEC.ORINA EST. FONDO BLANCO  Presentación:  UNIDAD</t>
  </si>
  <si>
    <t>BOLSA PLASTICA C/VALVULA DE DESAGOTE Y ANTIREFLUJO CAP. 2 L P/RECOLEC.ORINA EST. FONDO BLANCO</t>
  </si>
  <si>
    <t>FORLANO</t>
  </si>
  <si>
    <t>ESPIROMETRIA</t>
  </si>
  <si>
    <t>117Base032122001.3BOQUILLA DE CARTON P/ESPIROMETRIA  Presentación:  UNIDAD</t>
  </si>
  <si>
    <t>BOQUILLA DE CARTON P/ESPIROMETRIA</t>
  </si>
  <si>
    <t>https://www.tiendahospimed.com.ar/MLA-738015672-boquilla-para-espirometria-31-mm-20-unidades-_JM#position=1&amp;search_layout=stack&amp;type=item&amp;tracking_id=221e3683-c93b-4582-b29e-6e45c6851180</t>
  </si>
  <si>
    <t>156Base032230006.1BROCAL CON TAPA  Presentación:  UNIDAD</t>
  </si>
  <si>
    <t>BROCAL CON TAPA</t>
  </si>
  <si>
    <t>https://www.tiendahospimed.com.ar/MLA-872162244-frasco-brocal-24hs-muestra-de-orina-completa-2-lts-_JM#position=1&amp;search_layout=stack&amp;type=item&amp;tracking_id=c3b53cc0-b0de-416b-bcc3-d2db57cf3b27</t>
  </si>
  <si>
    <t>https://cirugiarex.com.ar/producto/brocal-descartable-vertice/</t>
  </si>
  <si>
    <t>36Base032030003.3CABLE P/ELECTROBISTURI CON MANGO Y PUNTA P/CORTE DESCARTABLE  Presentación:  SET</t>
  </si>
  <si>
    <t>CABLE P/ELECTROBISTURI CON MANGO Y PUNTA P/CORTE DESCARTABLE</t>
  </si>
  <si>
    <t>https://www.tiendahospimed.com.ar/MLA-1193292917-mango-para-electrobisturi-monopolar-descartable-_JM#position=1&amp;search_layout=stack&amp;type=item&amp;tracking_id=622e4d85-b43d-4b8b-aaaa-51e931ca9843</t>
  </si>
  <si>
    <t>CATETER IV DE POLIURETANO</t>
  </si>
  <si>
    <t>54Base032070005.11CATETER I.V. DE POLIURETANO N 14 G RADIOPACO  Presentacion:  UNIDAD</t>
  </si>
  <si>
    <t>CATETER I.V. DE POLIURETANO N 16 G RADIOPACO</t>
  </si>
  <si>
    <t>POLYMED</t>
  </si>
  <si>
    <t>https://www.lilis.com.ar/agujas-cateter-todos-los-tama-os</t>
  </si>
  <si>
    <t xml:space="preserve">CATETER I.V. DE POLIURETANO N 18 G RADIOPACO </t>
  </si>
  <si>
    <t xml:space="preserve">CATETER I.V. DE POLIURETANO N 20 G RADIOPACO </t>
  </si>
  <si>
    <t xml:space="preserve">CATETER I.V. DE POLIURETANO N 22 G RADIOPACO </t>
  </si>
  <si>
    <t>CATETER I.V. DE POLIURETANO N 24 G RADIOPACO</t>
  </si>
  <si>
    <t>139Base032160001.2CEPILLO P/TOMA CITOLOGICA ENDOCERVICAL DESC.EST.  Presentación:  UNIDAD</t>
  </si>
  <si>
    <t>CEPILLO P/TOMA CITOLOGICA ENDOCERVICAL DESC.EST.</t>
  </si>
  <si>
    <t>85Base032090007.1CHATA PLASTICA ADULTO  Presentación:  UNIDAD</t>
  </si>
  <si>
    <t>CHATA PLASTICA ADULTO</t>
  </si>
  <si>
    <t>KASSE</t>
  </si>
  <si>
    <t>https://cirugiarex.com.ar/producto/chata-plastica-orinal-reforzada-kasse/</t>
  </si>
  <si>
    <t>https://www.lilis.com.ar/chata-plastica</t>
  </si>
  <si>
    <t>CINTAS</t>
  </si>
  <si>
    <t>125Base032150002.1CINTA AUTOADHESIVA C/INDICADOR QUIMICO P/CALOR SECO 18 MM-50 MT.APROX.  Presentación:  ROLLO</t>
  </si>
  <si>
    <t>CINTA AUTOADHESIVA C/INDICADOR QUIMICO P/CALOR SECO 18 MM-50 MT.APROX.</t>
  </si>
  <si>
    <t xml:space="preserve">ROLLO        </t>
  </si>
  <si>
    <t>126Base032150002.3CINTA AUTOADHESIVA C/INDICADOR QUIMICO P/VAPOR 18 MM 50 MT.APROX.  Presentación:  ROLLO</t>
  </si>
  <si>
    <t>CINTA AUTOADHESIVA C/INDICADOR QUIMICO P/VAPOR 18 MM 50 MT.APROX. ROLLO</t>
  </si>
  <si>
    <t>114Base032120020.17CIRCUITO CERRADO DE EXTRACCION DE MUCUS 16 F TIPO TRANCHCARE  Presentación:  UNIDAD</t>
  </si>
  <si>
    <t>CIRCUITO CERRADO DE EXTRACCION DE MUCUS 16 F TIPO TRANCHCARE 2.600</t>
  </si>
  <si>
    <t>COLLARES CERVICALES</t>
  </si>
  <si>
    <t>145Base032220001.1COLLAR CERVICAL TIPO PHILADELPHIA CHICO  Presentación:  UNIDAD</t>
  </si>
  <si>
    <t xml:space="preserve">COLLAR CERVICAL TIPO PHILADELPHIA </t>
  </si>
  <si>
    <t>COLTEX</t>
  </si>
  <si>
    <t>128Base032150004.1CONTROL BIOLOGICO P/VAPOR.CALOR SECO Y OXIDO ETILEN.S/MEDIO CULT.INCORPORADO  Presentación:  UNIDAD</t>
  </si>
  <si>
    <t>CONTROL BIOLOGICO P/VAPOR.CALOR SECO Y OXIDO ETILEN.S/MEDIO CULT.INCORPORADO UNIDAD</t>
  </si>
  <si>
    <t>7Base032010006.13DESCARTADOR PLAST CAP 4 LT P/CORTOPUNZANTES BOCA ANCHA  Presentacion:  UNIDAD</t>
  </si>
  <si>
    <t>DESCARTADOR CAP. 4LT. P/PUNZANTES BOCA ANCHA</t>
  </si>
  <si>
    <t>https://www.lilis.com.ar/descartador-agujas-y-corto-punz-e-4</t>
  </si>
  <si>
    <t>https://www.tiendahospimed.com.ar/MLA-915340507-descartador-agujas-y-cortopunzantes-negro-4-litros-_JM#position=21&amp;search_layout=stack&amp;type=item&amp;tracking_id=0b2e9a7f-529f-4b1f-894a-35cbc3e4ea57</t>
  </si>
  <si>
    <t>8Base032010006.14DESCARTADOR PLAST CAP 7 LT P/CORTOPUNZANTES BOCA ANCHA  Presentacion:  UNIDAD</t>
  </si>
  <si>
    <t>DESCARTADOR CAP. 7LT. P/PUNZANTES BOCA ANCHA</t>
  </si>
  <si>
    <t>https://www.lilis.com.ar/descartador-agujas-y-corto-punz-e-7</t>
  </si>
  <si>
    <t>https://www.tiendahospimed.com.ar/MLA-805901351-descartador-agujas-y-cortopunzantes-rojo-7-litros-_JM#position=6&amp;search_layout=stack&amp;type=item&amp;tracking_id=5d5ddbbf-cc65-4aec-9d7c-a7b4551a530c</t>
  </si>
  <si>
    <t>62032010006.12DESCARTADOR PLAST CAP 1 LT P/CORTOPUNZANTES BOCA ANCHA  Presentación:  UNIDAD</t>
  </si>
  <si>
    <t xml:space="preserve">DESCARTADOR CAP.1 LT. P/PUNZANTES BOCA ANCHA                                                                                                                                                                                                            </t>
  </si>
  <si>
    <t>https://www.tiendahospimed.com.ar/MLA-862992543-descartador-agujas-cortopunzantes-negro-1-litro-2-unidades-_JM#position=30&amp;search_layout=stack&amp;type=item&amp;tracking_id=45721ac5-008c-420d-91ec-d16ba69bbf1e</t>
  </si>
  <si>
    <t>127Base032150003.6DETERGENTE TRIENZIMATICO (PROTEASA-AMILASA-LIPASA)BAJA ESPUMA  Presentación:  X LITRO  Solicitado:  BIDON</t>
  </si>
  <si>
    <t>DETERGENTE TRIENZIMATICO (PROTEASA-AMILASA-LIPASA)BAJA ESPUMA</t>
  </si>
  <si>
    <t>SURGIZIME</t>
  </si>
  <si>
    <t>ELECTRODOS</t>
  </si>
  <si>
    <t>37Base032050001.1ELECTRODO P/MONITOREO NIÑOS DESC.  Presentación:  UNIDAD</t>
  </si>
  <si>
    <t>ELECTRODO P/MONITOREO  DESC.</t>
  </si>
  <si>
    <t>SWAROMED</t>
  </si>
  <si>
    <t>ESPECULOS</t>
  </si>
  <si>
    <t>ESPECULO CHICO DESC.EST.</t>
  </si>
  <si>
    <t>GREYTON</t>
  </si>
  <si>
    <t>BIONPRO</t>
  </si>
  <si>
    <t>MEDISUL</t>
  </si>
  <si>
    <t>141Base032160002.2ESPECULO GRANDE DESC.EST.  Presentación:  UNIDAD</t>
  </si>
  <si>
    <t>ESPECULO GRANDE DESC.EST.</t>
  </si>
  <si>
    <t>ESPECULO MEDIANO DESC.EST.</t>
  </si>
  <si>
    <t>FILTRO HUMIDIF P/RESP ANTIBACT/VIRAL ADULTO</t>
  </si>
  <si>
    <t>KANGYUAN</t>
  </si>
  <si>
    <t>https://www.tiendahospimed.com.ar/MLA-1123310076-filtro-con-puerto-oxigeno-kangyuan-x-3-unidades-_JM#position=12&amp;search_layout=stack&amp;type=item&amp;tracking_id=0826f4ba-742b-4114-90c7-f739d290aa8f</t>
  </si>
  <si>
    <t xml:space="preserve">FILTRO P/TUBO ENDOTRAQUEAL ANTIBACTERIANO/VIRAL ESTERIL </t>
  </si>
  <si>
    <t>MICROGARD II</t>
  </si>
  <si>
    <t>https://www.tiendahospimed.com.ar/MLA-1119006063-filtro-para-espirometro-3030-microgard-ii-_JM#position=3&amp;search_layout=stack&amp;type=item&amp;tracking_id=0826f4ba-742b-4114-90c7-f739d290aa8f</t>
  </si>
  <si>
    <t>MIR</t>
  </si>
  <si>
    <t>https://www.lilis.com.ar/filtro-antibacterial-para-espirometro-mir</t>
  </si>
  <si>
    <t>113Base032120019.2FRASCO HUMIDIFICADOR DE OXIGENO x 300 ML  Presentación:  UNIDAD</t>
  </si>
  <si>
    <t>FRASCO HUMIDIFICADOR DE OXIGENO x 300 ML</t>
  </si>
  <si>
    <t>GASAS</t>
  </si>
  <si>
    <t>232032020003.2GASA HIDROFILA DOBLE TUBULAR CON HILADO NO MENOR A 24/1, PIEZA DE80 CM X 22 M Y PESO NO INFERIOR A 1.1OO GR.  Presentación:  PIEZA</t>
  </si>
  <si>
    <t>GASA HIDROFILA DOBLE TUBULAR CON HILADO NO MENOR A 24/1, PIEZA DE80 CM X 22 M Y PESO NO INFERIOR A 1.1OO GR.</t>
  </si>
  <si>
    <t xml:space="preserve">PIEZA        </t>
  </si>
  <si>
    <t xml:space="preserve"> </t>
  </si>
  <si>
    <t>CAVANNA</t>
  </si>
  <si>
    <t>https://cirugiarex.com.ar/producto/pieza-de-gasa-1-kg/</t>
  </si>
  <si>
    <t>Pieza x 1k</t>
  </si>
  <si>
    <t>24Base032020003.3 GASA TUBULAR 7 X 7 CM.ESTERIL DOBLADILLADA APROX.  Presentacion:  POUCH X 3  Solicitado:  POUCH</t>
  </si>
  <si>
    <t>GASA TUBULAR 7 X 7 CM.ESTERIL DOBLADILLADA APROX.</t>
  </si>
  <si>
    <t xml:space="preserve">POUCH X 3    </t>
  </si>
  <si>
    <t>22Base032020002.4GASA SIMPLE-RECTILINEA 36 M LARGO X 1M ANCHO X 18 HILOS  Presentacion:  PIEZA</t>
  </si>
  <si>
    <t>GASA SIMPLE-RECTILINEA 36 M LARGO X 1M ANCHO X 18 HILOS</t>
  </si>
  <si>
    <t xml:space="preserve">Sigue px gasa hidrofilia doble tubular </t>
  </si>
  <si>
    <t>39Base032050002.6GEL PARA ECOGRAFIA CON DOSIFICADOR  Presentación:  X 500 GR  Solicitado:  ENVASE</t>
  </si>
  <si>
    <t>GEL PARA ECOGRAFIA CON DOSIFICADOR</t>
  </si>
  <si>
    <t xml:space="preserve">X 500 GR     </t>
  </si>
  <si>
    <t>MOIST GEL</t>
  </si>
  <si>
    <t>https://www.tiendahospimed.com.ar/MLA-808478889-gel-neutro-1-kg-x-2-unidades-_JM#position=4&amp;search_layout=stack&amp;type=item&amp;tracking_id=4e9e71f7-3bb5-4140-9504-a2190b3ce9db</t>
  </si>
  <si>
    <t>GUANTES</t>
  </si>
  <si>
    <t>10Base032010011.1GUANTE LATEX CHICO DESCARTABLE  Presentación:  CAJA X 100  Solicitado:  CAJA</t>
  </si>
  <si>
    <t>GUANTE LATEX   DESCARTABLE</t>
  </si>
  <si>
    <t xml:space="preserve">CAJA X 100   </t>
  </si>
  <si>
    <t>13Base032010012.1GUANTE LATEX Nº 7 PUÑO LARGO DESC. ESTERIL  Presentación:  X PAR  Solicitado:  PAR</t>
  </si>
  <si>
    <t>GUANTE LATEX  PUÑO LARGO DESC. ESTERIL</t>
  </si>
  <si>
    <t xml:space="preserve">X PAR        </t>
  </si>
  <si>
    <t>KELMER</t>
  </si>
  <si>
    <t>182032010017.9GUANTE LIBRE DE LATEX CHICO DESCARTABLE  Presentación:  CAJA X 100  Solicitado:  CAJA</t>
  </si>
  <si>
    <t>GUANTE LIBRE DE LATEX  DESCARTABLE</t>
  </si>
  <si>
    <t>https://www.tiendahospimed.com.ar/MLA-866945877-guantes-de-nitrilo-negro-sin-polvo-x-100-unidades-_JM?searchVariation=59540783082#searchVariation=59540783082&amp;position=2&amp;search_layout=stack&amp;type=item&amp;tracking_id=13144c16-d71b-4ade-a9f4-c5dc0b72b11b</t>
  </si>
  <si>
    <t>GUIA ESTERIL</t>
  </si>
  <si>
    <t>64Base032070006.15GUIA ESTERIL MACROGOTERO C/FILTRO P/INFUSION DE SANGRE-PLASMA  Presentación:  UNIDAD</t>
  </si>
  <si>
    <t xml:space="preserve">GUIA ESTERIL MACROGOTERO C/FILTRO P/INFUSION DE SANGRE-PLASMA </t>
  </si>
  <si>
    <t>KOLER</t>
  </si>
  <si>
    <t>https://www.tiendahospimed.com.ar/MLA-1291850372-guia-suero-macrogotero-cchapa-v-14-x-10-unidades-sin-aguja-_JM#position=2&amp;search_layout=stack&amp;type=item&amp;tracking_id=57f49db4-9aee-44c5-9095-2a62687ea517</t>
  </si>
  <si>
    <t>63Base032070006.4GUIA ESTERIL MACROGOTERO S/FILTRO Y S/AGUJA  Presentación:  UNIDAD</t>
  </si>
  <si>
    <t>GUIA ESTERIL MACROGOTERO S/FILTRO Y S/AGUJA</t>
  </si>
  <si>
    <t>144Base032160008.1HISTEROMETRO DESCARTABLE  Presentación:  UNIDAD</t>
  </si>
  <si>
    <t>HISTEROMETRO DESCARTABLE</t>
  </si>
  <si>
    <t>32Base032030001.2HOJA DE BISTURI Nº 15 ESTERIL  Presentación:  UNIDAD</t>
  </si>
  <si>
    <t>HOJA DE BISTURI Nº 24 ESTERIL</t>
  </si>
  <si>
    <t>https://www.lilis.com.ar/hojas-de-bisturi-printex-100-todos-los-tama-os</t>
  </si>
  <si>
    <t>JERINGAS DESCARTABLES</t>
  </si>
  <si>
    <t>66Base032070007.4JERINGA   5 CC.S/AGUJA DESC.EST.  Presentación:  UNIDAD</t>
  </si>
  <si>
    <t>JERINGA   5 CC.S/AGUJA DESC.EST.</t>
  </si>
  <si>
    <t>DARLING</t>
  </si>
  <si>
    <t>https://cirugiarex.com.ar/producto/jeringa-hipodermica-descartable-5ml-darling/</t>
  </si>
  <si>
    <t>https://www.tiendahospimed.com.ar/MLA-839003046-jeringa-descartable-5-ml-sin-aguja-100-unidades-_JM?searchVariation=50638209526#searchVariation=50638209526&amp;position=10&amp;search_layout=stack&amp;type=item&amp;tracking_id=6daac8f4-dc44-4bd5-ab5b-995b83254133</t>
  </si>
  <si>
    <t>67Base032070007.5JERINGA  10 CC.S/AGUJA DESC.EST.  Presentación:  UNIDAD</t>
  </si>
  <si>
    <t>JERINGA  10 CC.S/AGUJA DESC.EST.</t>
  </si>
  <si>
    <t>https://www.tiendahospimed.com.ar/MLA-839003144-jeringa-descartable-10-ml-sin-aguja-100-unidades-_JM?searchVariation=50638348833#searchVariation=50638348833&amp;position=3&amp;search_layout=stack&amp;type=item&amp;tracking_id=23682066-0608-4318-9631-44fce24e804f</t>
  </si>
  <si>
    <t>68Base032070007.10JERINGA  20 CC.S/AGUJA DESC.EST.  Presentación:  UNIDAD</t>
  </si>
  <si>
    <t>JERINGA  20 CC.S/AGUJA DESC.EST.</t>
  </si>
  <si>
    <t>https://www.tiendahospimed.com.ar/MLA-839005963-jeringa-descartable-20-ml-sin-aguja-50-unidades-_JM?searchVariation=50639296659#searchVariation=50639296659&amp;position=27&amp;search_layout=stack&amp;type=item&amp;tracking_id=b581924e-6b78-4e94-bc7d-192e82dd69ec</t>
  </si>
  <si>
    <t>69Base032070007.12JERINGA  60 CC.S/AGUJA DESC.EST.  Presentación:  UNIDAD</t>
  </si>
  <si>
    <t xml:space="preserve">JERINGA  60 CC.S/AGUJA DESC.EST.                                                                                                                                                                                                                              </t>
  </si>
  <si>
    <t>65Base032070007.3JERINGA 2.5 /3 CC.S/AGUJA DESC.EST.  Presentación:  UNIDAD</t>
  </si>
  <si>
    <t>JERINGA 2.5 /3 CC.S/AGUJA DESC.EST.</t>
  </si>
  <si>
    <t>95Base032110001.1LLAVE 3 VIAS  Presentación:  UNIDAD</t>
  </si>
  <si>
    <t>LLAVE 3 VIAS</t>
  </si>
  <si>
    <t>https://www.lilis.com.ar/llave-de-3-vias</t>
  </si>
  <si>
    <t>INSUMOS PARA OXIGENOTERAPIA</t>
  </si>
  <si>
    <t>91Base032090019.7AEROCAMARA INHALATORIA C/VALVULA C/MASCARA ADULTO  Presentación:  UNIDAD</t>
  </si>
  <si>
    <t xml:space="preserve">AEROCAMARA INHALATORIA C/VALVULA C/MASCARA ADULTO </t>
  </si>
  <si>
    <t>AERO</t>
  </si>
  <si>
    <t>89Base032090019.5AEROCAMARA INHALATORIA C/VLAVULA C/MASCARA NEONATAL  Presentación:  UNIDAD</t>
  </si>
  <si>
    <t xml:space="preserve">AEROCAMARA INHALATORIA C/VALVULA C/MASCARA NEONATAL </t>
  </si>
  <si>
    <t>90Base032090019.6AEROCAMARA INHALATORIA C/VALVULA C/MASCARA PEDIATRICA  Presentación:  UNIDAD</t>
  </si>
  <si>
    <t xml:space="preserve">AEROCAMARA INHALATORIA C/VALVULA C/MASCARA PEDIATRICA </t>
  </si>
  <si>
    <t>100Base032120004.3INHALADOR DE OXIGENO P/CAVIDAD NASAL ADULTO C/2 TUBULADURAS DESC.EST.  Presentación:  UNIDAD</t>
  </si>
  <si>
    <t>INHALADOR DE OXIGENO P/CAVIDAD NASAL ADULTO C/2 TUBULADURAS DESC.EST.</t>
  </si>
  <si>
    <t>https://www.lilis.com.ar/bigotera-k27-adulto-nasal-kol-78433</t>
  </si>
  <si>
    <t>99Base032120004.2INHALADOR DE OXIGENO P/CAVIDAD NASAL PEDIATRICO C/2 TUBULADURAS DESC.EST.  Presentación:  UNIDAD</t>
  </si>
  <si>
    <t>INHALADOR DE OXIGENO P/CAVIDAD NASAL PEDIATRICO C/2 TUBULADURAS DESC.EST.</t>
  </si>
  <si>
    <t>https://www.lilis.com.ar/bigotera-k27-pediatrica-koler</t>
  </si>
  <si>
    <t>103Base032120005.25MASCARA P/OXIGENA C/RESERVORIO PEDIATRICA  Presentación:  UNIDAD</t>
  </si>
  <si>
    <t>MASCARA P/OXIGENA C/RESERVORIO PEDIATRICA</t>
  </si>
  <si>
    <t>https://www.lilis.com.ar/mascara-de-oxigeno-6-graduaciones-pediatrica-hg-113</t>
  </si>
  <si>
    <t>https://www.tiendahospimed.com.ar/MLA-1111930436-mascara-de-oxigeno-c-reservorio-arnes-y-tubuladora-_JM#position=5&amp;search_layout=stack&amp;type=item&amp;tracking_id=78294b9d-cafd-4586-9d8b-8bea49a452ea</t>
  </si>
  <si>
    <t>101Base032120005.1MASCARA P/OXIGENOTERAPIA ADULTO C/5 VALVULAS P/ GRADUACION  Presentación:  SET  Solicitado:  SET</t>
  </si>
  <si>
    <t>MASCARA P/OXIGENOTERAPIA ADULTO C/5 VALVULAS P/ GRADUACION</t>
  </si>
  <si>
    <t xml:space="preserve"> SET         </t>
  </si>
  <si>
    <t>https://www.lilis.com.ar/mascara-de-oxigeno-6-graduaciones-hg-adulta-59498</t>
  </si>
  <si>
    <t>102Base032120005.2MASCARA P/OXIGENOTERAPIA PEDIATRICA C/5 VALVULAS P/GRADUACION  Presentación:  SET  Solicitado:  SET</t>
  </si>
  <si>
    <t>MASCARA P/OXIGENOTERAPIA PEDIATRICA C/5 VALVULAS P/GRADUACION</t>
  </si>
  <si>
    <t>https://www.tiendahospimed.com.ar/MLA-1111932009-mascara-de-oxigeno-c-reguladores-arnes-y-tubuladora-_JM#position=1&amp;search_layout=stack&amp;type=item&amp;tracking_id=688708a5-e42d-4ff5-9938-1ee3a70f6c44</t>
  </si>
  <si>
    <t>104Base032120005.26MASCARA P/OXIGENA C/RESERVORIO ADULTO  Presentación:  UNIDAD</t>
  </si>
  <si>
    <t>MASCARA PARA OXIGENOTERAPIA  CON RESERVORIO ADULTO</t>
  </si>
  <si>
    <t>SUTURAS</t>
  </si>
  <si>
    <t>75Base032080004.3NYLON N°4/0 C/AGUJA 1/2 CIRC.15 MM APROX.PTA.REV.CORTANTE  Presentación:  UNIDAD</t>
  </si>
  <si>
    <t>NYLON N°4/0 C/AGUJA 1/2 CIRC.15 MM APROX.PTA.REV.CORTANTE</t>
  </si>
  <si>
    <t>SURGIKAL</t>
  </si>
  <si>
    <t>https://www.lilis.com.ar/sutura-de-nylon-supralon-todos-los-tama-os</t>
  </si>
  <si>
    <t>76Base032080004.4NYLON N°5/0 C/AGUJA 1/2 CIRC.15 MM APROX.PTA.REV.CORTANTE  Presentación:  UNIDAD</t>
  </si>
  <si>
    <t>NYLON N°5/0 C/AGUJA 1/2 CIRC.15 MM APROX.PTA.REV.CORTANTE</t>
  </si>
  <si>
    <t>77Base032080004.7NYLON Nº3/0 C/AGUJA 3/8 CIRC.25 MM APROX.PTA.REV.CORTANTE  Presentación:  UNIDAD</t>
  </si>
  <si>
    <t>NYLON Nº3/0 C/AGUJA 3/8 CIRC.25 MM APROX.PTA.REV.CORTANTE</t>
  </si>
  <si>
    <t>78Base032080005.7POLIGLACTINA Nº2/0 C/AGUJA 1/2 CIRC.25 MM APROX.PTA.CILÍNDRICA  Presentación:  UNIDAD</t>
  </si>
  <si>
    <t>POLIGLACTINA C/AGUJA .PTA.CILÍNDRICA</t>
  </si>
  <si>
    <t>https://www.lilis.com.ar/sutura-poliglyd-todos-los-tama-os</t>
  </si>
  <si>
    <t>86Base032090010.2ORINAL DE PLASTICO P/VARON CAP.800 ML.  Presentación:  UNIDAD</t>
  </si>
  <si>
    <t>ORINAL DE PLASTICO P/VARON CAP.800 ML.</t>
  </si>
  <si>
    <t>https://www.lilis.com.ar/papagayo-plastico-masculino</t>
  </si>
  <si>
    <t>PAÑALES</t>
  </si>
  <si>
    <t>88Base032090013.5PAÑAL DESCARTABLE ADULTO EXTRAGRANDE CON ADHESIVO Y GEL  Presentacion:  UNIDAD</t>
  </si>
  <si>
    <t>PAÑAL DESCARTABLE ADULTO EXTRAGRANDE CON ADHESIVO Y GEL</t>
  </si>
  <si>
    <t>NONISEC</t>
  </si>
  <si>
    <t>https://www.tiendasaludonline.com.ar/productos/nonisec-panales-adultos-recto-con-gel-extragrande-x-10pads-x-8-paq/</t>
  </si>
  <si>
    <t>87Base032090013.1PAÑAL DESCARTABLE ADULTO GRANDE C/ADHESIVO Y GEL  Presentación:  UNIDAD</t>
  </si>
  <si>
    <t>PAÑAL DESCARTABLE ADULTO GRANDE C/ADHESIVO Y GEL</t>
  </si>
  <si>
    <t>92Base032090021.2PAÑOS BAÑO FACIL CON CLORHEXIDINA JABONOSA  Presentacion:  UNIDAD</t>
  </si>
  <si>
    <t xml:space="preserve">PAÑOS BAÑO FACIL CON CLORHEXIDINA JABONOSA </t>
  </si>
  <si>
    <t>BAÑO FACIL</t>
  </si>
  <si>
    <t>https://www.lilis.com.ar/ba-o-facil-manzanilla-10-unidades</t>
  </si>
  <si>
    <t>41Base032050004.4PAPEL P/ECG TERMOSENSIBLE 50 MM X 30 MT  Presentación:  ROLLO</t>
  </si>
  <si>
    <t>PAPEL P/ECG TERMOSENSIBLE 50 MM X 30 MT</t>
  </si>
  <si>
    <t>THERMAL PAPER</t>
  </si>
  <si>
    <t>https://cirugiarex.com.ar/producto/papel-ecg-electrocardiografo-50mm-x30-mts/</t>
  </si>
  <si>
    <t>px 1 x10 rollos; px2 60mm*30mm</t>
  </si>
  <si>
    <t>40Base032050003.1PAPEL P/ECOGRAFIA 110 MM X 20 MT  Presentación:  ROLLO</t>
  </si>
  <si>
    <t>PAPEL P/ECOGRAFIA 110 MM X 20 MT</t>
  </si>
  <si>
    <t xml:space="preserve">SONY </t>
  </si>
  <si>
    <t>https://cirugiarex.com.ar/producto/papel-videprinter-ecografico-upp-110s-sony/</t>
  </si>
  <si>
    <t>SONY</t>
  </si>
  <si>
    <t>https://www.lilis.com.ar/papel-para-video-printer-sony-negro-hd-ha</t>
  </si>
  <si>
    <t>134Base032150006.6PAPEL QUIRURGICO BLANCO PURO 60 GR.X M2 (TIPO KRAFT)  Presentacion:  X KG  Solicitado:  KG</t>
  </si>
  <si>
    <t>PAPEL QUIRURGICO BLANCO PURO  (TIPO KRAFT)</t>
  </si>
  <si>
    <t xml:space="preserve">X KG         </t>
  </si>
  <si>
    <t>https://www.tiendahospimed.com.ar/MLA-1103683562-papel-kraff-medicinal-bobina-60-cm-12-kg-_JM#position=14&amp;search_layout=stack&amp;type=item&amp;tracking_id=a3333a02-bdfe-4512-872d-35e5a6e63887</t>
  </si>
  <si>
    <t>60cm 12 km</t>
  </si>
  <si>
    <t>143Base032160005.1PINZA MAIER RECTA DESC. ESTÉRIL  Presentación:  UNIDAD</t>
  </si>
  <si>
    <t>PINZA MAIER RECTA DESC. ESTÉRIL</t>
  </si>
  <si>
    <t>https://www.lilis.com.ar/pinza-maier-medisul-descartable-10-uni</t>
  </si>
  <si>
    <t>MEDICAL PLUS</t>
  </si>
  <si>
    <t>https://www.tiendahospimed.com.ar/MLA-817034684-pinza-maier-ginecologica-descartable-por-5-unidades-_JM#position=1&amp;search_layout=stack&amp;type=item&amp;tracking_id=d269d3a5-cf58-4423-8db1-4c39264c184d</t>
  </si>
  <si>
    <t>83Base032090004.1PINZA UMBILICAL DESCARTABLE-ESTERIL  Presentación:  UNIDAD</t>
  </si>
  <si>
    <t xml:space="preserve">PINZA UMBILICAL DESCARTABLE-ESTERIL </t>
  </si>
  <si>
    <t>PLASTIMED</t>
  </si>
  <si>
    <t>129Base032150006.1POUCH CON INDIC P/VAPOR/O.E 7,5X200 PAPEL QUIRURGICO LISO/LAMINAD.PLAST.TRANSPAREN  Presentacion:  ROLLO</t>
  </si>
  <si>
    <t>POUCH CON INDIC P/VAPOR /O.E  PAPEL QUIRURGICO LISO/LAMINAD.PLAST.TRANSPAREN</t>
  </si>
  <si>
    <t>PROLONGADOR DE CATETER</t>
  </si>
  <si>
    <t>PROLONGADOR TRIPLE VIA PARA VIA CENTRAL 18CM LONG APROX CON CONECTOR DE BIOSEGURIDAD</t>
  </si>
  <si>
    <t>PRINTEX</t>
  </si>
  <si>
    <t>SONDAS</t>
  </si>
  <si>
    <t>118Base032130006.1SONDA (TIPO K 9) P/INTUBACION GASTRICA LONG.125 CM X 4 MM DIAM.EXT.APROX.EST.  Presentación:  UNIDAD</t>
  </si>
  <si>
    <t xml:space="preserve">SONDA (TIPO K ) P/INTUBACION GASTRICA  DIAM.EXT.APROX.EST. </t>
  </si>
  <si>
    <t>https://www.lilis.com.ar/sonda-k-32-nasogastrica-s-33</t>
  </si>
  <si>
    <t>105Base032120006.4SONDA P/INH O SUCCION MUCUS (TIPO K 29) LONG.45 CM X 4.0 MM DIAM.EXT.DESC.EST.  Presentación:  UNIDAD</t>
  </si>
  <si>
    <t>SONDA P/INH O SUCCION MUCUS (TIPO K 29) LONG.45 CM X 4.0 MM DIAM.EXT.DESC.EST.</t>
  </si>
  <si>
    <t>150Base032230003.5SONDA DE FOLEY Nº16 DOBLE VIA BALON 5/15 EST.  Presentación:  UNIDAD</t>
  </si>
  <si>
    <t xml:space="preserve">SONDA DE FOLEY Nº16 DOBLE VIA BALON 5/15 EST. </t>
  </si>
  <si>
    <t>STAR</t>
  </si>
  <si>
    <t>151Base032230003.6SONDA DE FOLEY Nº18 DOBLE VIA BALON 5/15 EST.  Presentación:  UNIDAD</t>
  </si>
  <si>
    <t>SONDA DE FOLEY Nº18 DOBLE VIA BALON 5/15 EST.</t>
  </si>
  <si>
    <t>152Base032230003.7SONDA DE FOLEY Nº20 DOBLE VIA BALON 5/15 EST.  Presentación:  UNIDAD</t>
  </si>
  <si>
    <t xml:space="preserve">SONDA DE FOLEY Nº20 DOBLE VIA BALON 5/15 EST. </t>
  </si>
  <si>
    <t>153Base032230003.8SONDA DE FOLEY Nº22 DOBLE VIA BALON 5/15 EST.  Presentación:  UNIDAD</t>
  </si>
  <si>
    <t>SONDA DE FOLEY Nº22 DOBLE VIA BALON 5/15 EST.</t>
  </si>
  <si>
    <t>154Base032230003.11SONDA DE FOLEY Nº20 TRIPLE VIA BALON 30/45 EST.  Presentación:  UNIDAD</t>
  </si>
  <si>
    <t>SONDA DE FOLEY Nº20 TRIPLE VIA BALON 30/45 EST</t>
  </si>
  <si>
    <t>155Base032230005.4 SONDA URETRAL RECTA N° 12 (TIPO K 93)  Presentación:  UNIDAD</t>
  </si>
  <si>
    <t>SONDA URETRAL RECTA N° 12 (TIPO K 93)</t>
  </si>
  <si>
    <t>TELA</t>
  </si>
  <si>
    <t>27Base032020006.2TELA ADHESIVA X   5 CM DE ANCHO Y 9 M DE LARGO APROX.  Presentación:  ROLLO</t>
  </si>
  <si>
    <t>TELA ADHESIVA X 5 CM DE ANCHO Y 9 M DE LARGO APROX.</t>
  </si>
  <si>
    <t>CORONET</t>
  </si>
  <si>
    <t>28Base032020006.4TELA ADHESIVA X 5 CM MICROPOROSA HIPOALERGENICA 9 M LARGO APROX.  Presentación:  ROLLO</t>
  </si>
  <si>
    <t>TELA ADHESIVA X 5 CM MICROPOROSA HIPOALERGENICA 9 M LARGO APROX.</t>
  </si>
  <si>
    <t>RIASA</t>
  </si>
  <si>
    <t>https://www.lilis.com.ar/tela-adhesiva-micropore-5-sin-carretel-16558</t>
  </si>
  <si>
    <t>https://cirugiarex.com.ar/producto/cinta-hipoalergenica-micropore-3m-1530-2/</t>
  </si>
  <si>
    <t>292032020006.6TELA ADHESIVA X 5 CM TRANSP.HIPOALERGENICA 9 M DE LARGO APROX.  Presentación:  ROLLO</t>
  </si>
  <si>
    <t>TELA ADHESIVA X 5 CM TRANSP.HIPOALERGENICA 9 M DE LARGO APROX.</t>
  </si>
  <si>
    <t>https://cirugiarex.com.ar/producto/tela-transpore-5-00cm-x-6un-3m/</t>
  </si>
  <si>
    <t>84Base032090005.2TERMOMETRO CLINICO DIGITAL (S/MERCURIO)  Presentación:  UNIDAD</t>
  </si>
  <si>
    <t>TERMOMETRO CLINICO DIGITAL (S/MERCURIO)</t>
  </si>
  <si>
    <t>CITIZEN</t>
  </si>
  <si>
    <t>EXATHERM</t>
  </si>
  <si>
    <t>https://www.tiendahospimed.com.ar/MLA-854138982-termometro-digital-lectura-rapida-exatherm-_JM#position=3&amp;search_layout=stack&amp;type=item&amp;tracking_id=ae3e8879-4057-4a0e-88ad-f7c3d73658c0</t>
  </si>
  <si>
    <t>106Base032120008.14TUBO ENDOTRAQUEAL 7.5 MM DIAM.INT.(N°30) CON BALON DESC.EST.  Presentacion:  UNIDAD</t>
  </si>
  <si>
    <t>TUBO ENDOTRAQUEAL  8 MM DIAM.INT.(Nº32) CON BALON DESC.EST.</t>
  </si>
  <si>
    <t>VENDAS</t>
  </si>
  <si>
    <t>45Base032060005.6VENDA ENYESADA-FRAGUADO RAPIDO 10 CM ANCHO X 5 M DE LARGO APROX.  Presentación:  ROLLO</t>
  </si>
  <si>
    <t>VENDA ENYESADA-FRAGUADO RAPIDO 10 CM ANCHO X 5 M DE LARGO APROX.</t>
  </si>
  <si>
    <t>https://cirugiarex.com.ar/producto/venda-enseyada-fraguada-rapido-10cm-x-4m/</t>
  </si>
  <si>
    <t>https://www.lilis.com.ar/venda-yeso-rapida-10-4-gypsofix-25</t>
  </si>
  <si>
    <t>Tamaño 10x4</t>
  </si>
  <si>
    <t>46Base032060005.7VENDA ENYESADA-FRAGUADO RAPIDO 15 CM ANCHO X 5 M DE LARGO APROX.  Presentación:  ROLLO</t>
  </si>
  <si>
    <t>VENDA ENYESADA-FRAGUADO RAPIDO 15 CM ANCHO X 5 M DE LARGO APROX.</t>
  </si>
  <si>
    <t>https://www.lilis.com.ar/venda-yeso-rapida-15-4-gypsofix-25</t>
  </si>
  <si>
    <t>https://cirugiarex.com.ar/producto/venda-enseyada-fraguada-rapido-15cm-x-4m/</t>
  </si>
  <si>
    <t>Tamaño 15x4</t>
  </si>
  <si>
    <t>47Base032060005.8VENDA ENYESADA-FRAGUADO RAPIDO 20 CM ANCHO X 5 M DE LARGO APROX.  Presentación:  ROLLO</t>
  </si>
  <si>
    <t>VENDA ENYESADA-FRAGUADO RAPIDO 20 CM ANCHO X 5 M DE LARGO APROX.</t>
  </si>
  <si>
    <t>https://www.lilis.com.ar/venda-yeso-rapida-20-4-fave-gypsofix-25</t>
  </si>
  <si>
    <t>Tamaño 20x4</t>
  </si>
  <si>
    <t>25Base032020004.2 VENDA TIPO CAMBRIC  7 CM ANCHO ORILLADA MIN 2,5 MTS DE LARGO  Presentación:  ROLLO</t>
  </si>
  <si>
    <t>VENDA TIPO CAMBRIC  7 CM ANCHO ORILLADA MIN 2,5 MTS DE LARGO</t>
  </si>
  <si>
    <t>ANTAR</t>
  </si>
  <si>
    <t>https://cirugiarex.com.ar/producto/venda-cambric-7-cm-x3mm-antar/</t>
  </si>
  <si>
    <t>VENDSUR</t>
  </si>
  <si>
    <t>https://www.lilis.com.ar/venda-cambric-orillada-7-3-plus</t>
  </si>
  <si>
    <t>26Base032020004.3VENDA TIPO CAMBRIC 10 CM ANCHO ORILLADA MIN 2,5 MTS DE LARGO  Presentación:  ROLLO</t>
  </si>
  <si>
    <t>VENDA TIPO CAMBRIC 10 CM ANCHO ORILLADA MIN 2,5 MTS DE LARGO</t>
  </si>
  <si>
    <t>https://cirugiarex.com.ar/producto/venda-cambric-10-cm-x3mm-antar/</t>
  </si>
  <si>
    <t>https://www.lilis.com.ar/venda-cambric-orillada-10-3-plus</t>
  </si>
  <si>
    <t>ADQUISICION DE PRODUCTOS MEDICOS. Nº DE PROCESO: 10606-xxxx-LPU24</t>
  </si>
  <si>
    <t>TERUMO</t>
  </si>
  <si>
    <t>MF</t>
  </si>
  <si>
    <t>PUROCOL</t>
  </si>
  <si>
    <t>PX1 por 500 ml</t>
  </si>
  <si>
    <t>https://cirugiarex.com.ar/producto/tegaderm-1626-10x12cm-3m/</t>
  </si>
  <si>
    <t>https://www.tiendahospimed.com.ar/MLA-817420849-bota-con-tira-descartables-30-grs-x-50-pares-_JM#position=2&amp;search_layout=stack&amp;type=item&amp;tracking_id=b31dcc0c-9a75-4ca1-82b9-cb97c4696270</t>
  </si>
  <si>
    <t>CEVA</t>
  </si>
  <si>
    <t>CM</t>
  </si>
  <si>
    <t>VERTICE</t>
  </si>
  <si>
    <t>CLYSTER</t>
  </si>
  <si>
    <t>MSB</t>
  </si>
  <si>
    <t>PX 2 por 2,5 litros</t>
  </si>
  <si>
    <t>TERRAGENE</t>
  </si>
  <si>
    <t>https://www.tiendahospimed.com.ar/MLA-625881370-collar-filadelfia-collarin-inmovilizador-cervical-_JM#position=1&amp;search_layout=stack&amp;type=item&amp;tracking_id=5e590570-f2ec-4906-8e08-59b2a54857c3</t>
  </si>
  <si>
    <t>EXCELENT</t>
  </si>
  <si>
    <t>https://www.tiendahospimed.com.ar/MLA-1388007085-electrodo-adhesivo-ecg-skintact-adulto-x-30-unidades-_JM#position=2&amp;search_layout=grid&amp;type=item&amp;tracking_id=2ac18f35-66fe-430f-b600-d6bf535df354</t>
  </si>
  <si>
    <t>SKINTACT</t>
  </si>
  <si>
    <t>GALAMED</t>
  </si>
  <si>
    <t>PX por 1kg</t>
  </si>
  <si>
    <t>PROTECTION</t>
  </si>
  <si>
    <t>https://www.tiendahospimed.com.ar/MLA-679310440-guante-latex-esteril-descartable-x-par-10-unidades-_JM#position=2&amp;search_layout=stack&amp;type=item&amp;tracking_id=6fce4e57-9b0c-462c-91a6-d785134f7862</t>
  </si>
  <si>
    <t>HIPODERM</t>
  </si>
  <si>
    <t>PARAMOUNT</t>
  </si>
  <si>
    <t>https://cirugiarex.com.ar/producto/jeringa-hipodermica-descartable-10ml-darling/</t>
  </si>
  <si>
    <t>https://cirugiarex.com.ar/producto/jeringa-hipodermica-descartable-20ml-darling/</t>
  </si>
  <si>
    <t>https://cirugiarex.com.ar/producto/jeringa-descartable-thomey-60ml-x-25un-neojet/</t>
  </si>
  <si>
    <t>NEOJET</t>
  </si>
  <si>
    <t>KLF</t>
  </si>
  <si>
    <t>https://cirugiarex.com.ar/producto/llave-de-3-vias-esteril-klf/</t>
  </si>
  <si>
    <t>con 6 valvulas</t>
  </si>
  <si>
    <t>KIMS</t>
  </si>
  <si>
    <t>https://www.lilis.com.ar/rollo-nylon-papel-pouch-5cm-200sf-1</t>
  </si>
  <si>
    <t>https://www.tiendahospimed.com.ar/MLA-1390517757-sonda-foley-2-vias-latex-_JM#position=1&amp;search_layout=stack&amp;type=item&amp;tracking_id=80d20f98-a589-4336-8ef1-5aefe8148cbd</t>
  </si>
  <si>
    <t>ELIT</t>
  </si>
  <si>
    <t>https://www.tiendahospimed.com.ar/MLA-1390492031-sonda-foley-3-vias-100-silicona-_JM#position=1&amp;search_layout=stack&amp;type=item&amp;tracking_id=082fa34b-a25f-4eed-a849-9a866c074d41</t>
  </si>
  <si>
    <t>PX 1 por 5 mt</t>
  </si>
  <si>
    <t>https://cirugiarex.com.ar/producto/termometro-digital-cta301-c-citizen/</t>
  </si>
  <si>
    <t>https://www.lilis.com.ar/tubo-endotraqueal-con-balon-rusch-todos-los-tama-os</t>
  </si>
  <si>
    <t>https://gontocal.com/product-phoenix-punta-quincke-2308120556015656.h</t>
  </si>
  <si>
    <t>https://elmercadomedico.com/productos/aguja-hipodermica-descartable/</t>
  </si>
  <si>
    <t>https://findingsolutions.mercadoshops.com.ar/MLA-896451830-aguja-descartable-hipodermica-258-21x1-euromix-_JM</t>
  </si>
  <si>
    <t>https://www.tiendahospimed.com.ar/MLA-1116599538-agujas-descartables-408-21-g-x1-12-500-unidades-intramus-_JM</t>
  </si>
  <si>
    <t>INTRAMUS</t>
  </si>
  <si>
    <t>https://www.tiendahospimed.com.ar/MLA-1119302304-agujas-descartables-508-21-g-x-2-500-unidades-_JM</t>
  </si>
  <si>
    <t>https://cirugiarex.com.ar/producto/algodon-500g-doncella/?srsltid=AfmBOorch92RpuJAsrb8vZnxEN8diplMHMsOmaAtIs-Yjva68pcEjNlFB5s</t>
  </si>
  <si>
    <t>https://www.kine-estetic.com/products/ovata-ancho-10-cm</t>
  </si>
  <si>
    <t>OVATA </t>
  </si>
  <si>
    <t>https://www.solerson.com.ar/productos/cofias-kelmer/</t>
  </si>
  <si>
    <t>https://www.tiendahospimed.com.ar/MLA-1166138358-bolsas-de-colostomia-cerrada-coloplast-15408-x-2-unidades-_JM</t>
  </si>
  <si>
    <t>https://www.kine-estetic.com/products/bolsa-colectora-de-orina-f-2000a-x-2000-cc-forlano</t>
  </si>
  <si>
    <t>https://www.kine-estetic.com/products/bolsa-colectora-de-orina-f-2005-x-2000-cc-forlano</t>
  </si>
  <si>
    <t>https://www.gaussbio.com/productos/mango-para-electrobisturi-monopolar-clyster/</t>
  </si>
  <si>
    <t>https://gontocal.com/product-euromix-poliuretano-2309051241011221.h</t>
  </si>
  <si>
    <t>https://www.consortiumsalud.com/cateter-i-v-teflon-dexal.html?srsltid=AfmBOoqx_bVTpi9JZVhZfFZ4UlQViGBPvBA_iQEJ4EpZdVCVSBZ_eGf9P_k</t>
  </si>
  <si>
    <t>TEFLON</t>
  </si>
  <si>
    <t>https://cirugiarex.com.ar/producto/cepillo-colector-citologico-medisul/?srsltid=AfmBOopjMrbeyb8bAs-n0g0MfYmSnDmbRZ7XScknpCxz_W3P3kh7kNwM_g0</t>
  </si>
  <si>
    <t>https://cirugiarex.com.ar/producto/cepillo-endocervical-medibrush-xl-1/?srsltid=AfmBOoqBS2pByU7XjnKeb2p_jWzKPQom222vT7b0EVHO39jxTLQdqeCxcd0</t>
  </si>
  <si>
    <t>MEDIBRUSH</t>
  </si>
  <si>
    <t>https://www.kine-estetic.com/products/cinta-testigo-para-estufa-calor-seco-en-rollo-18-mm-x-50-mts</t>
  </si>
  <si>
    <t>https://i-mek.com/producto/cinta-testigo-autoadhesiva-calor-seco-visto-bueno/?srsltid=AfmBOoqJpvOyD1zAcdLgYc5AdTphynrzLTzkFsC-sJOKoJv4xVSk88RYL6w</t>
  </si>
  <si>
    <t>Visto Bueno</t>
  </si>
  <si>
    <t>https://articulo.mercadolibre.com.ar/MLA-1403929159-cinta-indicadora-autoadhesiva-para-oxido-de-etileno-_JM?variation=#reco_item_pos=1&amp;reco_backend=recomm-platform_ranker_v2p&amp;reco_backend_type=low_level&amp;reco_client=vpp-v2p-pom&amp;reco_id=4c67cf91-4c1c-4be4-ab0e-1dbeeb4fb9ae</t>
  </si>
  <si>
    <t>https://www.igmainsumos.com/productos/para-canula-traqueal-14-fr-sistema-cerrado-de-aspiracion/?variant=412512135&amp;pf=mc</t>
  </si>
  <si>
    <t>https://articulo.mercadolibre.com.ar/MLA-1728140538-circuito-cerrado-de-aspiracion-14fr-60cm-marca-huakun-_JM?matt_tool=38087446&amp;utm_source=google_shopping&amp;utm_medium=organic</t>
  </si>
  <si>
    <t>Huakun</t>
  </si>
  <si>
    <t>Phila</t>
  </si>
  <si>
    <t>https://www.tuortopedia.com.ar/MLA-1379270385-collar-de-filadelfia-cuello-rigido-inmovilizador-cervical-_JM</t>
  </si>
  <si>
    <t>https://www.insumotiendasaludonline.com.ar/productos/indicador-biologico-bt110-oe-rapido-x-50u-terragene/</t>
  </si>
  <si>
    <t>https://www.lilis.com.ar/descartador-agujas-e-500-90-gr-blanco</t>
  </si>
  <si>
    <t>https://www.insumotiendasaludonline.com.ar/productos/especulo-vaginal-descartable-chico-greyton/</t>
  </si>
  <si>
    <t>https://www.insumotiendasaludonline.com.ar/productos/especulo-vaginal-descartable-chico-packing-x-100u-bionpro/</t>
  </si>
  <si>
    <t>https://www.insumotiendasaludonline.com.ar/productos/especulo-vaginal-descartable-grande-packing-x-100u-greyton/</t>
  </si>
  <si>
    <t>https://www.insumotiendasaludonline.com.ar/productos/especulo-vaginal-descartable-grande-packing-x-100u-bionpro/</t>
  </si>
  <si>
    <t>https://www.insumotiendasaludonline.com.ar/productos/especulo-vaginal-descartable-mediano-medisul/</t>
  </si>
  <si>
    <t>https://www.insumotiendasaludonline.com.ar/productos/especulo-vaginal-descartable-mediano-packing-x-100u-bionpro/</t>
  </si>
  <si>
    <t>https://www.insumotiendasaludonline.com.ar/productos/gasa-hidrof-tubular-doble-hilado-24-1-pieza-x-1-kilo-pack-x-5-piezas-x-1-kg-insumos-xxi/</t>
  </si>
  <si>
    <t>https://www.insumotiendasaludonline.com.ar/productos/gasa-doblada-simple-esteril-en-sobre-7x7cm-x-3u-caja-x-500u-insumos-xxi/</t>
  </si>
  <si>
    <t>https://www.insumotiendasaludonline.com.ar/productos/guantes-examen-latex-talle-m-caja-x-100u-aurinco/</t>
  </si>
  <si>
    <t>https://www.insumotiendasaludonline.com.ar/productos/guantes-de-examen-latex-talla-m-cajon-x-100ps-kelmer/</t>
  </si>
  <si>
    <t>https://www.insumotiendasaludonline.com.ar/productos/guantes-de-cirugia-esteriles-n-7-0-caja-x-50-pares-kelmer/</t>
  </si>
  <si>
    <t>https://www.insumotiendasaludonline.com.ar/productos/guante-examen-nitrilo-azul-medium-sin-polvo-aurinco-caja-x100u/</t>
  </si>
  <si>
    <t>https://www.insumotiendasaludonline.com.ar/productos/macrogotero-sin-aguja-v14-caja-x-200-unidades-a-ruedita-novamed/</t>
  </si>
  <si>
    <t>https://www.solerson.com.ar/productos/bisturi-paramoun/</t>
  </si>
  <si>
    <t>https://www.insumotiendasaludonline.com.ar/productos/jeringas-5cc-sin-aguja-caja-x-100-novamed/</t>
  </si>
  <si>
    <t>https://www.insumotiendasaludonline.com.ar/productos/aerocamara-hospitalaria-neonatal-aerospacer/</t>
  </si>
  <si>
    <t>Genérica</t>
  </si>
  <si>
    <t>https://www.ferniplast.com/9361307-panales-adultos-nonisec-xg-con-gel-50-un/p?idsku=4914&amp;https://www.ferniplast.com/&amp;gad_source=1&amp;gclid=Cj0KCQjwq_G1BhCSARIsACc7NxoVf9kzAKsfovAMXHhoy48XFn8IxDBZC8AyZZR8RTDjM-PduhRUqMgaAryPEALw_wcB</t>
  </si>
  <si>
    <t>https://www.icomsalud.com.ar/MLA-1150229630-panal-adulto-nonisec-25-mas-gel-talle-grande-x-50-unidades-_JM?variation=174964036712&amp;gclid=Cj0KCQjwq_G1BhCSARIsACc7NxohWJUfuu04YleOEkTnQ_JwAsd94ONIfW-44OiLQD990Uu7sqbc8YsaApMrEALw_wcB</t>
  </si>
  <si>
    <t>https://www.xn--paalesoeste-2db.com.ar/producto/bano-facil-manzanilla-por-10/?gclid=Cj0KCQjwq_G1BhCSARIsACc7Nxo-BtnHnUqZ8OlhB_UgeV6qLT_kagXEzju96nKCQfB7HsRYkph_6nwaAnVQEALw_wcB</t>
  </si>
  <si>
    <t>https://i-mek.com/producto/bobina-pouch-esterilizacion/?attribute_pa_medida-bobina-pouch=100-mm-x-200-m&amp;gad_source=1&amp;gclid=Cj0KCQjwq_G1BhCSARIsACc7Nxo6cQgHPz4IVTeFkI1P7A6yfmhiFIo0g6N2dOcInoppu1GSaZrB890aAmy2EALw_wcB</t>
  </si>
  <si>
    <t>150mm x 200mm</t>
  </si>
  <si>
    <t>https://www.insumotiendasaludonline.com.ar/productos/sonda-foley-2-vias-100-silicona-pura-n-16-caja-x-10ps-star-kangyuang/</t>
  </si>
  <si>
    <t>https://www.insumotiendasaludonline.com.ar/productos/sonda-foley-silicona-100-3-vias-n-20-caja-x-10u-aurinco/</t>
  </si>
  <si>
    <t>https://www.insumotiendasaludonline.com.ar/productos/sonda-nelaton-uretral-pvc-k93-n12-caja-x-50-ps-novamed-kanyuang-dc-premium/</t>
  </si>
  <si>
    <t>https://medindustrial.com.ar/producto/camisolines-descartables-med/</t>
  </si>
  <si>
    <t>Generica</t>
  </si>
  <si>
    <t>https://www.insumosodontologicosweb.com.ar/productos/bota-descartable-con-tiras-x-50-pares-biokit/?variant=889461709&amp;pf=mc</t>
  </si>
  <si>
    <t>Biokit</t>
  </si>
  <si>
    <t>https://www.tiendahospimed.com.ar/MLA-1124485167-gasa-tubular-en-pieza-entera-de-1-kg-certificada-uso-medico-_JM</t>
  </si>
  <si>
    <t>XXI</t>
  </si>
  <si>
    <t>https://cirugiarex.com.ar/producto/tela-adhesiva-de-uso-medico-2-5cm-euromix/</t>
  </si>
  <si>
    <t>https://gontocal.com/product-euromix-oxido-zinc-2308120710228450.h</t>
  </si>
  <si>
    <t>https://farmavitus.tiendasancorsalud.com.ar/producto?id=5843&amp;nombre=lisfar-tela-adhesiva-500x400-n07-caja-6-u</t>
  </si>
  <si>
    <t>TELA ADHESIVA X 10 CM DE ANCHO Y 9 M DE LARGO APROX.</t>
  </si>
  <si>
    <t>https://www.kine-estetic.com/products/tela-adhesiva-hospitalaria-ancho-10-cm-x-unidad</t>
  </si>
  <si>
    <t>Indistinta</t>
  </si>
  <si>
    <t>https://www.tiendahospimed.com.ar/MLA-1104630258-3-rollos-tela-adhesiva-hospitalaria-deportiva-10cm-x-8mts-_JM</t>
  </si>
  <si>
    <t>Ajec</t>
  </si>
  <si>
    <t>TELA ADHESIVA X 2.5 CM TAFETA HIPOALERGENICA</t>
  </si>
  <si>
    <t>https://www.farmaonline.com/hipoalergic-8025820/p?idsku=8025820&amp;gclid=Cj0KCQjwzva1BhD3ARIsADQuPnUU2dHtJIdu_4eRbEn1ns4Bcst07jeP-ykiqTPZBP8V4-ktKx2h_BQaAgGxEALw_wcB</t>
  </si>
  <si>
    <t>HIPOALERGIC</t>
  </si>
  <si>
    <t>https://gontocal.com/product-euromix-2308120601098919.h</t>
  </si>
  <si>
    <t>HOJA DE BISTURI Nº 11 ESTERIL</t>
  </si>
  <si>
    <t>MORTON</t>
  </si>
  <si>
    <t>https://www.todopeluquerias.com.ar/productos/pack-de-10-hojas-de-bisturi-numero-11-o-23-o-24-a-eleccion/</t>
  </si>
  <si>
    <t>https://cirugiarex.com.ar/producto/tubo-de-latex-3x5mm-x-100mts/?srsltid=AfmBOooiaJ3TiYCke55d82vnrGM6hedd3yQ5GdHwiHBNrXWPXqUDX0mH_rQ</t>
  </si>
  <si>
    <t>https://gontocal.com/product-bremen-2309051241011434.h</t>
  </si>
  <si>
    <t>BREMEN</t>
  </si>
  <si>
    <t>TUBO GOMA LATEX 5 MM DIAM.INT.X 8 MM DIAM. EXT.</t>
  </si>
  <si>
    <t>https://www.tiendahospimed.com.ar/MLA-674046043-tubo-de-latex-5x8-x-5-mts-_JM</t>
  </si>
  <si>
    <t xml:space="preserve">CANULA DE ASPIRACION CAMPO QUIR K-67  </t>
  </si>
  <si>
    <t>https://www.kine-estetic.com/products/canula-aspiracion-endometrial-x-unidad-endomed</t>
  </si>
  <si>
    <t>ENDOMED</t>
  </si>
  <si>
    <t>https://www.consortiumsalud.com/canula-para-traqueostomia-espiralada-c-balon.html?srsltid=AfmBOopdIewhLqpDb_4NjkLPjEBgVIckZkZZJqbOjcuu_T7OUs8_hFPTRpw</t>
  </si>
  <si>
    <t>32040014.1</t>
  </si>
  <si>
    <t>32040014.2</t>
  </si>
  <si>
    <t>CANULA DE ASPIRACION CAMPO QUIR K-66</t>
  </si>
  <si>
    <t>https://www.kine-estetic.com/products/canula-para-aspiracion-campo-con-tubuladura-k66</t>
  </si>
  <si>
    <t>https://cirugiarex.com.ar/producto/canula-de-aspiracion-endometrial-pipelle/?srsltid=AfmBOoqIuJzStlewCtcpzZs19LPxNddQ0-gU554hhn9wbcyRZIuGIyY70UQ</t>
  </si>
  <si>
    <t>Engineering </t>
  </si>
  <si>
    <t>https://www.bonpel.com.ar/productos/gel-neutro-para-ultrasonido-biobellus-1-kg/</t>
  </si>
  <si>
    <t>Biobellus </t>
  </si>
  <si>
    <t>320500044.12</t>
  </si>
  <si>
    <t>320500044.4</t>
  </si>
  <si>
    <t xml:space="preserve">PAPEL P/ECG TERMOQUIMICO 80MM X 20 M </t>
  </si>
  <si>
    <t>https://cirugiarex.com.ar/producto/papel-ecg-electrocardiografo-80mm-x25-mts/</t>
  </si>
  <si>
    <t>https://www.kine-estetic.com/products/papel-para-ecg-rollo-cardio-charts</t>
  </si>
  <si>
    <t>EDAN </t>
  </si>
  <si>
    <t xml:space="preserve">ALGODON LAMINADO X 15 CM ANCHO Y 2.5 MTS LARGO </t>
  </si>
  <si>
    <t>https://www.insumedical.com.ar/productos/ovata-de-algodon-15cm-x-3m-ayep/</t>
  </si>
  <si>
    <t>AYEP</t>
  </si>
  <si>
    <t>ALGODON LAMINADO X 20 CM ANCHO Y 2.5 MTS LARGO</t>
  </si>
  <si>
    <t>https://insumosdimex.mercadoshops.com.ar/venda-cambric-orillada-20cm-x-3m-x-10-unidades/p/MLA29262155</t>
  </si>
  <si>
    <t>https://www.masfarmacias.com/producto/sufarma-venda-cambric-20-cm/</t>
  </si>
  <si>
    <t>SUFARMA</t>
  </si>
  <si>
    <t>https://www.tiendahospimed.com.ar/MLA-1497178674-venda-cambric-20cm-x-5mt-x-5-unidades-en-sobre-individual-_JM</t>
  </si>
  <si>
    <t>san clemente</t>
  </si>
  <si>
    <t xml:space="preserve">AGUJA C/ALETA PLASTICA Nº 21 EST.  </t>
  </si>
  <si>
    <t>Euromix </t>
  </si>
  <si>
    <t>https://farmaciajockeyclubsociedad.mercadoshops.com.ar/MLA-886442935-agujas-hipodermicas-esteriles-21g-x-1-12-40-x-8mm-x-100-un-_JM</t>
  </si>
  <si>
    <t>https://articulo.mercadolibre.com.ar/MLA-1827472946-aguja-hipodermica-bd-21-g-x-1-12-408-x-100-un-_JM?matt_tool=36510816&amp;matt_word=&amp;matt_source=google&amp;matt_campaign_id=14240422008&amp;matt_ad_group_id=139127908925&amp;matt_match_type=&amp;matt_network=g&amp;matt_device=c&amp;matt_creative=619374736076&amp;matt_keyword=&amp;matt_ad_position=&amp;matt_ad_type=pla&amp;matt_merchant_id=119577349&amp;matt_product_id=MLA1827472946&amp;matt_product_partition_id=1933752070976&amp;matt_target_id=aud-1925157273100:pla-1933752070976&amp;cq_src=google_ads&amp;cq_cmp=14240422008&amp;cq_net=g&amp;cq_plt=gp&amp;cq_med=pla&amp;gad_source=1&amp;gclid=CjwKCAjw8fu1BhBsEiwAwDrsjK4sYBCsd2EOO3ibNYgGiFtgfSRN_K7q3vYtqCF7WTPRafcXplQ2khoCuU8QAvD_BwE</t>
  </si>
  <si>
    <t>BD</t>
  </si>
  <si>
    <t>AGUJA C/ALETA PLASTICA Nº 23 EST.</t>
  </si>
  <si>
    <t>AGUJA C/ALETA PLASTICA Nº 25 EST.</t>
  </si>
  <si>
    <t xml:space="preserve">AGUJA HIPODERMICA 13/4 DESC.EST. </t>
  </si>
  <si>
    <t>https://insumosmodernamed.com.ar/productos/agujas-desc-hipodermicas-13-x-3/</t>
  </si>
  <si>
    <t xml:space="preserve">AGUJA HIPODERMICA 0,25MM X 5MM APROX (3/16"X31G) P/JERINGA PRELLENA DE INSULLINA DESC. ESTERIL </t>
  </si>
  <si>
    <t>https://farmavitus.tiendasancorsalud.com.ar/producto?id=18147&amp;nombre=accufine-agujas-pen-needle-32g-4-mm-100-u</t>
  </si>
  <si>
    <t>Needle </t>
  </si>
  <si>
    <t xml:space="preserve"> CATETER I.V. DE POLIURETANO N 14 G RADIOPACO</t>
  </si>
  <si>
    <t>https://articulo.mercadolibre.com.ar/MLA-1776661304-cateter-iv-periferico-teflon-22g-x-100-unidades-neojet-_JM?matt_tool=38087446&amp;utm_source=google_shopping&amp;utm_medium=organic</t>
  </si>
  <si>
    <t>Neojet</t>
  </si>
  <si>
    <t>https://articulo.mercadolibre.com.ar/MLA-1394404168-caja-x-100-cateter-intravenoso-de-poliuretano-20g-_JM?matt_tool=38087446&amp;utm_source=google_shopping&amp;utm_medium=organic</t>
  </si>
  <si>
    <t>https://www.consortiumsalud.com/cateter-i-v-teflon-angiocath-bd.html?srsltid=AfmBOooeDfnEyeqQdfS97g5vMG79v3XAnsDfWS6wnJ14JVbM6FTKgbvTTfU</t>
  </si>
  <si>
    <t>https://www.consortiumsalud.com/cateter-i-v-teflon-angiocath-bd.html?srsltid=AfmBOorKnfBV2lJcLdlF42t00wldk7De8qP-YwrkZoQOLystbx_b0GcHl9g</t>
  </si>
  <si>
    <t>https://www.tienda.qualimed.com.ar/MLA-907627748-cateter-iv-abocath-nro-1618202224-jelco-x-50-unidades-_JM?variation=75825366690</t>
  </si>
  <si>
    <t>Abocath </t>
  </si>
  <si>
    <t xml:space="preserve">GUIA ESTERIL MICROGOTERO C/CAMARA GRAD.100 ML S/A  </t>
  </si>
  <si>
    <t>https://www.kine-estetic.com/products/guia-macrogotero-para-administracion-de-soluciones-con-filtro-0-2-micrones-libre-de-d-h-e-p</t>
  </si>
  <si>
    <t>https://www.kine-estetic.com/products/guia-de-suero-perfus-n-1-v14-macrogotero-sin-aguja-con-chapita-admisol</t>
  </si>
  <si>
    <t>GUIA ESTERIL MICROGOTERO FOTOSENSIBLE OPACA S/AGUJA</t>
  </si>
  <si>
    <t>RYMCO</t>
  </si>
  <si>
    <t>https://www.insumotiendasaludonline.com.ar/productos/venoclisis-fotosensible-macro-sin-aguja-c-filtro-caja-x-100u-rymco/</t>
  </si>
  <si>
    <t>https://articulo.mercadolibre.com.ar/MLA-1532649040-set-de-infusion-v17-sin-aguja-bremen-microgotero-1-unidad-_JM</t>
  </si>
  <si>
    <t>https://farmaciajockeyclubsociedad.mercadoshops.com.ar/MLA-904686547-guias-set-de-infusion-microgotero-para-suero-saguja-x-50-un-_JM</t>
  </si>
  <si>
    <t xml:space="preserve"> JERINGA  50 CC.TOOMEY DESC.EST.  </t>
  </si>
  <si>
    <t>https://gontocal.com/product-bremen-thomey-2308120611306621.h</t>
  </si>
  <si>
    <t>https://gontocal.com/product-euromix-luer-slip-2309051241011251.h</t>
  </si>
  <si>
    <t>https://gontocal.com/product-terumo-luer-lock-2402070802579793.h</t>
  </si>
  <si>
    <t>JERINGA   1 CC.TUBERCULINA S/AGUJA.</t>
  </si>
  <si>
    <t>https://articulo.mercadolibre.com.ar/MLA-1428765724-jeringa-est-tuberculina-1cc-sag-latex-free-x100u-euromix-_JM?matt_tool=38087446&amp;utm_source=google_shopping&amp;utm_medium=organic</t>
  </si>
  <si>
    <t>https://cirugiarex.com.ar/producto/jeringas-hipodermicas-desc-1ml-s-aguja-neojet-2/?srsltid=AfmBOop9NkdufqWkO6AzIXBeciGb1Q9RXRx7Gr3qp6DC8nH1XcfCldG9Tdc</t>
  </si>
  <si>
    <t>https://www.consortiumsalud.com/jeringa-descartable-tuberculina-s-aguja-x100.html?srsltid=AfmBOoov5RD0XXi_NvtIx1krOAU1029iAjQBWBySRhFlh6j1QXbHof01rQM</t>
  </si>
  <si>
    <t>https://www.farmaciarossomarcos.com.ar/shop/product/bremen-jeringa-descartable-3-ml-sin-aguja-x-100-unidades-WS1632212</t>
  </si>
  <si>
    <t>https://www.kine-estetic.com/products/jeringa-3-ml-sin-aguja-con-rosca-luer-lock-pack-x-100-unidades</t>
  </si>
  <si>
    <t>https://www.kine-estetic.com/products/jeringa-3-ml-sin-aguja-luer-slip-pack-x-100-unidades-neojet</t>
  </si>
  <si>
    <t xml:space="preserve"> JERINGA 1/2 CC INSULINA 100UI CON AGUJA 30G</t>
  </si>
  <si>
    <t>https://www.consortiumsalud.com/jeringa-descartable-tuberculina-c-aguja-25x6-x100.html</t>
  </si>
  <si>
    <t>https://www.farmaciacasares.com.ar/shop/product/jeringa-desins-u-fine-05-ml-caguja-31-g-x100---bd-WS2097131</t>
  </si>
  <si>
    <t>https://www.kine-estetic.com/products/sonda-nasogastrica-k31-katersan</t>
  </si>
  <si>
    <t>KATERSAN</t>
  </si>
  <si>
    <t xml:space="preserve">SONDA EST.(TIPO K 33)  45 CM LONG.X 2 MM DIAM.EXT </t>
  </si>
  <si>
    <t>https://www.otraluna.com.ar/productos/pack-x-10-sonda-nasogastrica-k33-k35/</t>
  </si>
  <si>
    <t>SONDA EST.(TIPO K 35)  45 CM LONG.X 1.4 MM DIAM.EXT</t>
  </si>
  <si>
    <t xml:space="preserve"> EQUIPO DE CONTROL DE FLUJO TIPO UNIFLOW </t>
  </si>
  <si>
    <t>https://www.tiendahospimed.com.ar/MLA-1395481639-regulador-de-flujo-para-guias-de-suero-_JM</t>
  </si>
  <si>
    <t>https://articulo.mercadolibre.com.ar/MLA-1343638818-regulador-de-flujo-intravenoso-cadaptacion-luer-lock-_JM?matt_tool=38087446&amp;utm_source=google_shopping&amp;utm_medium=organic</t>
  </si>
  <si>
    <t>ESPATULAS DE AYRE</t>
  </si>
  <si>
    <t>https://www.lilis.com.ar/espatula-de-ayre-100-economicas?gad_source=4&amp;gclid=Cj0KCQjw2ou2BhCCARIsANAwM2HAiAUzE--06Bbzf-PrMUk4Lzd_VntaRdqzt61RF-lZR4GJ8uowHTIaAi67EALw_wcB</t>
  </si>
  <si>
    <t>https://www.pmpexpress.com.ar/MLA-1145573058-espatula-de-ayre-clericot-x-100-un-_JM?gad_source=4&amp;gclid=Cj0KCQjw2ou2BhCCARIsANAwM2HOuNhbCNv7fq5YJi5IFrYp9pqdY5EhnDmPNFMcuWZRUXJfEhbz3TkaAuImEALw_wcB</t>
  </si>
  <si>
    <t>https://cirugiarex.com.ar/producto/clamp-umbilical/?srsltid=AfmBOorXFM0wWtPzjuJE8GeV1O_d4e0jofM5fgfhFZMTZM5Ggwr2za84</t>
  </si>
  <si>
    <t>https://articulo.mercadolibre.com.ar/MLA-1808364414-cloruro-de-benzalconio-x5000-_JM?matt_tool=38087446&amp;utm_source=google_shopping&amp;utm_medium=organic</t>
  </si>
  <si>
    <t>https://gontocal.com/product-surgizime-5-litros-2312281104321860.h</t>
  </si>
  <si>
    <t>https://www.grimbergdentales.com/detergente-trienzimatico-o3-x-5-l--surgizime/p?utm_source=&amp;utm_medium=&amp;utm_campaign=&amp;utm_term=&amp;utm_content=&amp;sc=1</t>
  </si>
  <si>
    <t xml:space="preserve"> LIMPIADOR DESINFECTANTE DE SUPERFICIES Y MATERIALES EN ESPUMA </t>
  </si>
  <si>
    <t>https://www.consortiumsalud.com/desinfectante-en-espuma-surfasafe-premium-750ml.html?srsltid=AfmBOoqeb3zp374-OMNOW0i1a66YHFwxbQPJCq2vvj1cTAA7pM7He8aetGs</t>
  </si>
  <si>
    <t>SurfaSafe </t>
  </si>
  <si>
    <t>https://articulo.mercadolibre.com.ar/MLA-1419636610-detergente-trienzimatico-x-1-l-limpieza-instrumental-superf-_JM?matt_tool=38087446&amp;utm_source=google_shopping&amp;utm_medium=organic</t>
  </si>
  <si>
    <t xml:space="preserve"> RESUCITADOR MANUAL ADULTO (TIPO AMBU) REESTERILIZABLE</t>
  </si>
  <si>
    <t>https://www.lilis.com.ar/resucitador-manual-adulto-hand-83968</t>
  </si>
  <si>
    <t>HAND </t>
  </si>
  <si>
    <t>https://gontocal.com/product-euromix-2308120701495087.h</t>
  </si>
  <si>
    <t>Euromix</t>
  </si>
  <si>
    <t>RESUCITADOR MANUAL PEDIATRICO (TIPO AMBU) REESTERILIZABLE</t>
  </si>
  <si>
    <t>EQUIPO P/ MEDIR PRESION VENOSA CENTRAl TIPO ENELSEN 71 ADULTO</t>
  </si>
  <si>
    <t>https://www.shop.femmto.health/tensiometro-digital-brazo-medidor-presion-arterial-enfermeria-automatico-femmto/p/MLA19441502?pdp_filters=category%3AMLA410989%7Cseller_id%3A394109866%7Citem_id%3AMLA1146476234</t>
  </si>
  <si>
    <t>Femmto</t>
  </si>
  <si>
    <t>https://selmadigital.com/p/tensiometro-de-muneca-digital-120-memorias-bp2229/031d6997-e6a4-4c46-b3a4-8071d155b122?srsltid=AfmBOoqmWGCeNdLWGWB5BhIm925ATmd0DupXQdc_sfRsPhS5db9n9o_b924</t>
  </si>
  <si>
    <t xml:space="preserve">GAMA </t>
  </si>
  <si>
    <t xml:space="preserve">APOSITO DE ALGINATO DE CALCIO  Presentación:  10 X 10  </t>
  </si>
  <si>
    <t>https://gontocal.com/product-euromix-g5312-2308120600553227.h</t>
  </si>
  <si>
    <t>https://www.medprefer.com/novaderm-alginate-aposito-alginato-de-calcio-10cm-x-10cm-10u-box?srsltid=AfmBOookgJK2Y0YNELcSWHHVIA_5jQLpIqwu6zaazyJ7jS14LK84Ey4McGc</t>
  </si>
  <si>
    <t>NOVADERM</t>
  </si>
  <si>
    <t>APOSITO PROTECTOR Y FIJADOR P/ VIA VENOSA CENTRAL Y PERIFÉRICA</t>
  </si>
  <si>
    <t>https://www.insumedical.com.ar/productos/tegaderm-15x20cm-euromix/?pf=gs&amp;variant=871857465&amp;srsltid=AfmBOooJ-idpfdZtq-YVKBxgiOaKBLenBxyjVuH7DfW2BKh-4VNlaNdboiw</t>
  </si>
  <si>
    <t>https://www.kine-estetic.com/products/aposito-tipo-tegaderm-transparente-i-v-dressing-x-unidad</t>
  </si>
  <si>
    <t>DRESSING</t>
  </si>
  <si>
    <t>APOSITO DE ALGINATO DE CALCIO 10 X 20 CM APROX</t>
  </si>
  <si>
    <t>https://gontocal.com/product-pharmacare-2308120650242000.h</t>
  </si>
  <si>
    <t>PHARMACARE</t>
  </si>
  <si>
    <t>Generico</t>
  </si>
  <si>
    <t>https://www.farmamix.com.ar/shop/product/aposito-alginato-calcio-10x10-calcicare-cod-9937-x10---holli-WS1018383?srsltid=AfmBOor7Ng2RL39WozBhvinsnnwrxeYL5_oekIrsdtofvzwfKPOECOtBd6I</t>
  </si>
  <si>
    <t>CERA PARA HUESO X 2.5 GRS</t>
  </si>
  <si>
    <t>https://www.doctorobralomas.com.ar/productos/cera-de-soja-x-1kg/?pf=gs&amp;variant=879778413&amp;srsltid=AfmBOopySq4a25Turx6UFzdHvJes1efJH3hkOCgaWSTy6VQGRa_ReucC9Ek</t>
  </si>
  <si>
    <t>ESPONJA GELATINA ABSORBIBLE C/EFECTO HEMOSTATICO-EST.-70 X 50 X 10 MM</t>
  </si>
  <si>
    <t>https://www.kine-estetic.com/products/esponja-hemostatica-tipo-spongostan-standard-80-x-50-x-10mm-x-unidad-curaspon</t>
  </si>
  <si>
    <t>Curaspon </t>
  </si>
  <si>
    <t>https://articulo.mercadolibre.com.ar/MLA-1737246748-esponja-hemostatica-absorbible-80x50x10mm-curaspon-x-unidad-_JM?matt_tool=98684440&amp;matt_word=&amp;matt_source=google&amp;matt_campaign_id=19545780362&amp;matt_ad_group_id=151893866824&amp;matt_match_type=&amp;matt_network=g&amp;matt_device=c&amp;matt_creative=645602402635&amp;matt_keyword=&amp;matt_ad_position=&amp;matt_ad_type=pla&amp;matt_merchant_id=513167862&amp;matt_product_id=MLA1737246748&amp;matt_product_partition_id=1935981041944&amp;matt_target_id=aud-1925157273100:pla-1935981041944&amp;cq_src=google_ads&amp;cq_cmp=19545780362&amp;cq_net=g&amp;cq_plt=gp&amp;cq_med=pla&amp;gad_source=4&amp;gclid=CjwKCAjw_ZC2BhAQEiwAXSgCll35UhUBveaXOT_NWDza0_voihlr6urzsWme8l9Eq46ToRuJtkFJQRoC9dIQAvD_BwE</t>
  </si>
  <si>
    <t>HEMOSTATICO ABSORBIBLE 10 CM X 20 CM APROX.</t>
  </si>
  <si>
    <t xml:space="preserve">PROLONGADOR TIPO PT 26 x 1.00 M </t>
  </si>
  <si>
    <t>https://www.kine-estetic.com/products/prolongador-pt-2610-100-cm-largo-x-unidad</t>
  </si>
  <si>
    <t>PROLONGADOR DOBLE VIA PARA VIA CENTRAL 18CM LONG APROX. CON CONECTOR DE BIOSEGURIDAD</t>
  </si>
  <si>
    <t xml:space="preserve">AGUJA DE PUNCION RAQUIDEA Nº 21 G 0.8 MM DE DIAM. X 90 MM </t>
  </si>
  <si>
    <t>PHOENIX</t>
  </si>
  <si>
    <t>https://www.vetintegral.com.ar/aguja-puncion-phoenix--21-g-x-3-1no2</t>
  </si>
  <si>
    <t xml:space="preserve"> AGUJA DE PUNCION RAQUIDEA Nº25 G PUNTA LAPIZ DESC.EST.</t>
  </si>
  <si>
    <t>https://www.kine-estetic.com/products/aguja-espinal-punta-lapiz-25g-x-3-1-2-x-unidad</t>
  </si>
  <si>
    <t>https://gontocal.com/product-phoenix-punta-lapiz-2308120556125573.h</t>
  </si>
  <si>
    <t xml:space="preserve"> INHALADOR DE OXIGENO P/CAVIDAD NASAL NEONATAL C/2 TUBULADURAS CORTAS DESC</t>
  </si>
  <si>
    <t>https://www.consortiumsalud.com/aerocamara-hospitalaria-neonatal.html?srsltid=AfmBOopo9wNIFGQRyrVfZdiGMSOJ0AWjCJZPD1734wdzbjKf4nPlSmjjgbI</t>
  </si>
  <si>
    <t>https://jvcardio.com/products/aero100-aerocamara?variant=43702159540454&amp;currency=ARS&amp;utm_medium=product_sync&amp;utm_source=google&amp;utm_content=sag_organic&amp;utm_campaign=sag_organic&amp;srsltid=AfmBOoq33AUX4ajXFzTv43wF21NYcjWwpLHde6t0as7fBIHQbg5cP44NnO4</t>
  </si>
  <si>
    <t>MASCARA P/OXIGENA C/RESERVORIO NEONATAL</t>
  </si>
  <si>
    <t>https://www.allinsumos.com.ar/productos/mascara-oxigeno-con-reservorio-y-tubuladura/</t>
  </si>
  <si>
    <t>https://gontocal.com/product-well-lead-pediatrica-2308120643564008.h</t>
  </si>
  <si>
    <t xml:space="preserve"> SONDA P/INH O SUCCION MUCUS (TIPO K 32 P) LONG.50 CM X 5.0 MM DIAM.EXT.DESC.EST.</t>
  </si>
  <si>
    <t>https://fa8031053.mercadoshops.com.ar/MLA-835770026-sonda-tipo-k-32-nasogastrica-tom-fac-pack-x-10-_JM</t>
  </si>
  <si>
    <t>https://www.igmainsumos.com/productos/k32-adulto-sonda-de-aspiracion/</t>
  </si>
  <si>
    <t xml:space="preserve"> TUBO ENDOTRAQUEAL  5.5 MM DIAM.INT.(N 22) CON BALON DESC.EST. </t>
  </si>
  <si>
    <t xml:space="preserve">TUBO ENDOTRAQUEAL  6 MM DIAM.INT.(N 24) CON BALON DESC.EST. </t>
  </si>
  <si>
    <t xml:space="preserve"> TUBO ENDOTRAQUEAL 6.5 MM DIAM.INT.(Nº26)CON BALON DESC. EST.</t>
  </si>
  <si>
    <t>TUBO ENDOTRAQUEAL  7 MM DIAM.INT.(N 28) CON BALON DESC.EST.</t>
  </si>
  <si>
    <t xml:space="preserve">TUBO ENDOTRAQUEAL 7.5 MM DIAM.INT.(N°30) CON BALON DESC.EST. </t>
  </si>
  <si>
    <t>TUBO ENDOTRAQUEAL  9 MM DIAM.INT.(Nº36) CON BALON DESC.EST.</t>
  </si>
  <si>
    <t>TUBO ENDOTRAQUEAL Nº 3,5 SIN BALON DESC. EST</t>
  </si>
  <si>
    <t>https://gontocal.com/product-well-lead-sin-balon-2308120715462081.h</t>
  </si>
  <si>
    <t>Well Lead</t>
  </si>
  <si>
    <t>Novamed</t>
  </si>
  <si>
    <t>https://gontocal.com/product-kangyuan-star-sin-balon-2308120716545516.h</t>
  </si>
  <si>
    <t>TUBO ENDOTRAQUEAL Nº4 MM DIAM.INT.(Nº12)SIN BALON DESC.EST.</t>
  </si>
  <si>
    <t>https://www.medprefer.com/flexguard-tubo-endotraqueal-s-balon-id-4-0-mm-10u-caja?srsltid=AfmBOorWFenrZC9B8fAYDV4zh7kiVhRX3q_Go-2u5WKylY96rCiB7uoMb_w</t>
  </si>
  <si>
    <t>Flexguard</t>
  </si>
  <si>
    <t>https://www.kine-estetic.com/products/tubo-endotraqueal-sin-balon-pack-x-10-unidades</t>
  </si>
  <si>
    <t>TUBO ENDOTRAQUEAL  4 MM DIAM.INT.(N°16) CON BALON DESC. EST</t>
  </si>
  <si>
    <t>https://gontocal.com/product-well-lead-con-balon-2308120716328321.h</t>
  </si>
  <si>
    <t>TUBO ENDOTRAQUEAL  4.5 MM DIAM.INT.(N°18) CON BALON DESC.EST.</t>
  </si>
  <si>
    <t xml:space="preserve">TUBO ENDOTRAQUEAL 2.5 MM DIAM INT. (N°10)S/BALON DESC. EST  </t>
  </si>
  <si>
    <t xml:space="preserve">TUBO ENDOTRAQUEAL  5 MM DIAM.INT.(N°20) CON BALON DESC.EST. </t>
  </si>
  <si>
    <t xml:space="preserve">TUBO ENDOTRAQUEAL 3 MM DIAM. INT. (N°12)S/BALON DESC EST. </t>
  </si>
  <si>
    <t xml:space="preserve">MICRONEBULIZADOR ADULTO C/MASCARA Y TUBULADURA </t>
  </si>
  <si>
    <t>https://www.allinsumos.com.ar/productos/micronebulizador-con-mascara-elastico-y-tubuladura/</t>
  </si>
  <si>
    <t>https://articulo.mercadolibre.com.ar/MLA-927430417-mascara-con-nebulizador-elastico-y-tubuladura-_JM?matt_tool=38087446&amp;utm_source=google_shopping&amp;utm_medium=organic</t>
  </si>
  <si>
    <t xml:space="preserve">MICRONEBULIZADOR PEDIATRICO C/MASCARA Y TUBULADURA </t>
  </si>
  <si>
    <t>032120011.8</t>
  </si>
  <si>
    <t>https://articulo.mercadolibre.com.ar/MLA-1147627542-mascara-oxigeno-pediatrica-creservorio-y-tubuladura-_JM?matt_tool=38087446&amp;utm_source=google_shopping&amp;utm_medium=organic</t>
  </si>
  <si>
    <t>https://www.kine-estetic.com/products/mascara-oxigeno-para-nebulizar-pediatrica-con-tubuladadura</t>
  </si>
  <si>
    <t>TUBO OROFARINGEO DE GUEDEL Nº00</t>
  </si>
  <si>
    <t>https://www.consortiumsalud.com/tubo-guedel.html?srsltid=AfmBOoq_5kw_mZwJnR7w6t6oJpq2H_IF5nPhHxynjVI2AU8RXn528ekr_9s</t>
  </si>
  <si>
    <t>https://gontocal.com/product-well-lead-2308120614133183.h</t>
  </si>
  <si>
    <t>WELL LEAD</t>
  </si>
  <si>
    <t xml:space="preserve"> TUBO OROFARINGEO DE GUEDEL Nº1  </t>
  </si>
  <si>
    <t>TUBO OROFARINGEO DE GUEDEL Nº2</t>
  </si>
  <si>
    <t>TUBO OROFARINGEO DE GUEDEL Nº3</t>
  </si>
  <si>
    <t xml:space="preserve">TUBO OROFARINGEO DE GUEDEL Nº4 (110 MM LONGITUD)  </t>
  </si>
  <si>
    <t>TUBO OROFARINGEO DE GUEDEL Nº5 (120 MM LONGITUD)</t>
  </si>
  <si>
    <t xml:space="preserve">MASCARA LARINGEA N 3 </t>
  </si>
  <si>
    <t>https://gontocal.com/product-kangyuan-2308120644067161.h</t>
  </si>
  <si>
    <t>https://gontocal.com/product-well-lead-2311290840257712.h</t>
  </si>
  <si>
    <t xml:space="preserve">MASCARA LARINGEA Nº2 </t>
  </si>
  <si>
    <t xml:space="preserve">MASCARA LARINGEA Nº 2,5 </t>
  </si>
  <si>
    <t>https://www.consortiumsalud.com/mascara-laringea-air-q-sp3.html?srsltid=AfmBOoodkW1w3VtQKrauib7zKMRL7qnPNaby3mPfQ2etqx7NhEoQ4p3j</t>
  </si>
  <si>
    <t>AIR Q</t>
  </si>
  <si>
    <t xml:space="preserve">MASCARA LARINGEA N 5 </t>
  </si>
  <si>
    <t>FILTRO P/RESPIRADOR ANTIBACTERIANO/ANTIVIRAL ADULTO</t>
  </si>
  <si>
    <t>32120016.4</t>
  </si>
  <si>
    <t>https://www.consortiumsalud.com/filtro-viral-bacterial-c-puerto.html?srsltid=AfmBOopGjmvcFa0-yJ5k7nVg-owo8vg0-4UVYY1GuRsGrWQhFX-uBv5C</t>
  </si>
  <si>
    <t>https://www.igmainsumos.com/productos/filtro-viral-bacterial-hand/</t>
  </si>
  <si>
    <t>https://www.igmainsumos.com/productos/hme-f-humidificador-y-filtro-viral-bacterial-pediatrico-gibeck-telefflex/</t>
  </si>
  <si>
    <t>TELEFFLEX</t>
  </si>
  <si>
    <t>https://www.tienda.ioa.com.ar/productos/frasco-humidificador-tapa-verde/?variant=344892091&amp;pf=mc&amp;srsltid=AfmBOoq_hJOsJhL7kJO4pu7oXbQLfxn5E_sojom7yyuulhePSqVkJsCUqjQ</t>
  </si>
  <si>
    <t xml:space="preserve">CIRCUITO P/RESPIRADOR (TUBO CORRUGADO + CONECTOR EN Y) </t>
  </si>
  <si>
    <t>https://articulo.mercadolibre.com.ar/MLA-1874291128-tubuladura-corrugada-para-conexiones-respiratorias-152mt-_JM?matt_tool=38087446&amp;utm_source=google_shopping&amp;utm_medium=organic</t>
  </si>
  <si>
    <t>https://articulo.mercadolibre.com.ar/MLA-1389265034-circuito-corrugado-p-respirador-16-mts-c2-trampas-de-agua-_JM?matt_tool=38087446&amp;utm_source=google_shopping&amp;utm_medium=organic</t>
  </si>
  <si>
    <t>GUIA DE ESCHMANN PUNTA ACODADA P/ INTUBACION DIFICULTOSA</t>
  </si>
  <si>
    <t>https://www.consortiumsalud.com/vara-introductor-eschmann-adulto-sunmed.html?srsltid=AfmBOor4W9kFdDV9o4PwGFVMevNqi-GFZSUXKta8GIvOkpMEUpCE5f2KUVA</t>
  </si>
  <si>
    <t>SunMed</t>
  </si>
  <si>
    <t>https://www.igmainsumos.com/productos/x-25-unidades-hme-filtro-hmef-hygrobac-s-adulto-pediatrico-covidien/</t>
  </si>
  <si>
    <t>COVIDIEN</t>
  </si>
  <si>
    <t>https://www.consortiumsalud.com/filtro-hme-adulto-c-puerto.html</t>
  </si>
  <si>
    <t>FILTROS BACTERIOLOGICOS P/ ESPIROMETRIA</t>
  </si>
  <si>
    <t xml:space="preserve">SONDA (TIPO K 10) P/INTUBACION GASTRICA LONG.125 CM X 5.3 MM DIAM.EXT.APROX.EST. </t>
  </si>
  <si>
    <t>https://www.tienda.ioa.com.ar/productos/sonda-para-intubacion-gastrica-k9/?variant=327592994&amp;pf=mc&amp;srsltid=AfmBOoo-tzWYxCEx15jheBq-0sZl_G7zsoTmVDtn8GCNKmQk9tcf0rxbpZg</t>
  </si>
  <si>
    <t>https://gontocal.com/product-kangyuan-k09-12fr-2308120716583087.h</t>
  </si>
  <si>
    <t>SONDA (TIPO K 9) P/INTUBACION GASTRICA LONG.125 CM X 4 MM DIAM.EXT.APROX.EST</t>
  </si>
  <si>
    <t>SONDA (TIPO K 11) P/INTUBACION GASTRICA LONG.125 CM X 6.0 MM DIAM.EXT.APROX.EST.</t>
  </si>
  <si>
    <t>https://articulo.mercadolibre.com.ar/MLA-1476365264-sonda-para-intubacion-gastrica-k-11-tipo-levine-x-10-u-_JM?matt_tool=38087446&amp;utm_source=google_shopping&amp;utm_medium=organic</t>
  </si>
  <si>
    <t xml:space="preserve">SONDA (TIPO K 108)RADIOPACA P/NUTRICION ENTERAL.C/MANDRIL SEMIRRIG.PTA LASTRADA C/ESF.AC/INOX.EST. </t>
  </si>
  <si>
    <t>https://www.kine-estetic.com/products/sonda-para-alimentacion-enteral-k-108</t>
  </si>
  <si>
    <t>https://articulo.mercadolibre.com.ar/MLA-1394409271-sonda-nasagostrica-k-108-con-mandril-y-lastre-koler-_JM?matt_tool=38087446&amp;utm_source=google_shopping&amp;utm_medium=organic</t>
  </si>
  <si>
    <t xml:space="preserve">BOLSA DE PAPEL QUIRURGICO C/INDIC.QUIMICO P/VAPOR 250 X 380 C/FUELLE 100 MM TERMOSELLABLE </t>
  </si>
  <si>
    <t>https://www.kine-estetic.com/products/bolsa-papel-medico-para-esterilizacion-250-x-100-x-380-mm-pack-x-100-unidades</t>
  </si>
  <si>
    <t>https://articulo.mercadolibre.com.ar/MLA-1320698137-cinta-testigo-autoadhesiva-vapor-rollo-18-mm-x-50-mts-kims-_JM?matt_tool=38087446&amp;utm_source=google_shopping&amp;utm_medium=organic</t>
  </si>
  <si>
    <t xml:space="preserve"> CINTA AUTOADHESIVA C/INDIC. QUIMICO P/PEROX HIDRÓG 18 MM 50 MT  </t>
  </si>
  <si>
    <t>Terragene</t>
  </si>
  <si>
    <t>https://www.onelab.com.ar/cinta-indicadora-autoadhesiva-para-procesos-de-esterilizacion-ct40-vh2o2</t>
  </si>
  <si>
    <t>https://www.dinmed.com.co/producto/cinta-indicadora-peroxido-hidrogeno-rl-x-50-m/</t>
  </si>
  <si>
    <t>CINTA AUTOADHESIVA S/INDIC QCO. DE ENMASCARAR 24MM X 50 MTS P/ALTA TEMPERATURA TIPO HORNO</t>
  </si>
  <si>
    <t>https://cirugiarex.com.ar/producto/tela-adhesiva-microporosa-euromix/?srsltid=AfmBOoo2cPIfckP3ItXvdaZHiKazmcyLCBlgJIWrFH_KJwkTeufzQbgb</t>
  </si>
  <si>
    <t xml:space="preserve">X 5 LITROS      </t>
  </si>
  <si>
    <t>X LITRO</t>
  </si>
  <si>
    <t>https://gontocal.com/product-surgizime-1-litro-2312281053597812.h</t>
  </si>
  <si>
    <t>https://gontocal.com/product-surgizime-1-litro-2308120623515944.h</t>
  </si>
  <si>
    <t xml:space="preserve">INTEGRADOR QUIMICO P/CALOR SECO 160°C/2HS,170°C/1HS,180°C/30MIN  </t>
  </si>
  <si>
    <t>032150005.1</t>
  </si>
  <si>
    <t>https://www.onelab.com.ar/indicador-emulador-it31-dry-x-250u</t>
  </si>
  <si>
    <t xml:space="preserve">INTEGRADOR QUIMICO P/VAPOR  </t>
  </si>
  <si>
    <t>032150005.3</t>
  </si>
  <si>
    <t>https://articulo.mercadolibre.com.ar/MLA-1651775884-integrador-quimico-para-vapor-steam-x-250u-_JM?matt_tool=98684440&amp;matt_word=&amp;matt_source=google&amp;matt_campaign_id=19545780362&amp;matt_ad_group_id=151893866824&amp;matt_match_type=&amp;matt_network=g&amp;matt_device=c&amp;matt_creative=645602402635&amp;matt_keyword=&amp;matt_ad_position=&amp;matt_ad_type=pla&amp;matt_merchant_id=5365817640&amp;matt_product_id=MLA1651775884&amp;matt_product_partition_id=1935981041944&amp;matt_target_id=aud-1925157273100:pla-1935981041944&amp;cq_src=google_ads&amp;cq_cmp=19545780362&amp;cq_net=g&amp;cq_plt=gp&amp;cq_med=pla&amp;gad_source=4&amp;gclid=CjwKCAjwoJa2BhBPEiwA0l0ImGW5IoiiMQm8_QyPuS6qWPLvrRI2w0fs0RNDVkwRz2IyFq5gg2vP3BoCA1IQAvD_BwE</t>
  </si>
  <si>
    <t xml:space="preserve">INTEGRADOR QUIMICO P/ PLASMA DE PEROXIDO DE HIDROGENO </t>
  </si>
  <si>
    <t>https://www.onelab.com.ar/indicador-quimico-en-tira-para-procesos-de-esterilizacion-vh2o2-x-250u?gad_source=1&amp;gclid=CjwKCAjwoJa2BhBPEiwA0l0ImLTb22A12-Z9WYUg_LRDg3hvuJW9lA0onm9AwFJTNpFkjc-IGbNHMxoC448QAvD_BwE</t>
  </si>
  <si>
    <t xml:space="preserve">POUCH CON INDIC P/VAPOR/O.E 7,5X200 PAPEL QUIRURGICO LISO/LAMINAD.PLAST.TRANSPAREN </t>
  </si>
  <si>
    <t>POUCH CON INDIC P/VAPOR/O.E 15X200 PAPEL QUIRURGICO LISO/LAMINAD.PLAST TRANSPAREN</t>
  </si>
  <si>
    <t>https://articulo.mercadolibre.com.ar/MLA-874935648-pouch-para-esterilizacion-en-autoclave-rollo-15cm-x-200mts-_JM?matt_tool=87435016&amp;matt_word=&amp;matt_source=google&amp;matt_campaign_id=19546866235&amp;matt_ad_group_id=143509516205&amp;matt_match_type=&amp;matt_network=g&amp;matt_device=c&amp;matt_creative=645602402761&amp;matt_keyword=&amp;matt_ad_position=&amp;matt_ad_type=pla&amp;matt_merchant_id=173388982&amp;matt_product_id=MLA874935648&amp;matt_product_partition_id=1933752070736&amp;matt_target_id=aud-1925157273100:pla-1933752070736&amp;cq_src=google_ads&amp;cq_cmp=19546866235&amp;cq_net=g&amp;cq_plt=gp&amp;cq_med=pla&amp;gad_source=1&amp;gclid=CjwKCAjwoJa2BhBPEiwA0l0ImN35peRJJVOKADLQXk0W4-fUHd_rCc09y7LJAaLzZ4sjkEuPPw1fQBoCI3YQAvD_BwE</t>
  </si>
  <si>
    <t>https://www.grimbergdentales.com/rollo-pouch-efelab-7-5cm-x-200mts/p</t>
  </si>
  <si>
    <t>Efelab</t>
  </si>
  <si>
    <t>POUCH CON INDIC P/VAPOR/O.E 25X200 PAPEL QUIRURGICO LISO/LAMINAD PLAST TRANSPAREN</t>
  </si>
  <si>
    <t>Qualident</t>
  </si>
  <si>
    <t>https://www.cedent.com.ar/shop/c004860-rollo-pouch-para-esterilizacion-10-cm-x-200-m-qualident-5143?product=product.template%285143%2C%29#attr=7565</t>
  </si>
  <si>
    <t>https://www.grimbergdentales.com/rollo-pouch-10-cm-200-mts/p</t>
  </si>
  <si>
    <t>https://www.grimbergdentales.com/rollo-pouch-20-cm-200-mt-efelab/p</t>
  </si>
  <si>
    <t>https://www.mercadoclinico.com.ar/shop/15209-rollo-pouch-para-esterilizacion-20-cm-x-200-m-qualident-8755#attr=1335</t>
  </si>
  <si>
    <t xml:space="preserve">POUCH CON INDIC P/VAPOR/O.E 20X200 PAPEL QUIRURGICO LISO/LAMINAD.PLAST.TRANSPAREN </t>
  </si>
  <si>
    <t>https://www.grimbergdentales.com/rollo-pouch-30cm-200mt-efelab/p</t>
  </si>
  <si>
    <t>https://dentaltronador.com.ar/productos/rollo-pouch-para-esterilizar-de-30-cm-x-200-metros-descartable/</t>
  </si>
  <si>
    <t xml:space="preserve">POUCH CON INDIC P/VAPOR/O.E 40X200 PAPEL QUIRURGICO LISO/LAMINAD.PLAST.TRANSPAREN  </t>
  </si>
  <si>
    <t>https://ipeinsumosparaesterilizacion.mercadoshops.com.ar/MLA-858221642-pouch-40cm-x-200mts-para-autoclave-_JM</t>
  </si>
  <si>
    <t>Sterilys</t>
  </si>
  <si>
    <t>https://www.medprefer.com/sterilys-bobina-pouch-400mm-x-200m-1u-caja?srsltid=AfmBOoq96aqkOV4dZ6WLayNs1yAL1aXdMJ1t9Qius1Jte8XSzBlfsH5FbYc</t>
  </si>
  <si>
    <t xml:space="preserve">PAPEL QUIRURGICO BLANCO PURO 60 GR.X M2 (TIPO KRAFT) </t>
  </si>
  <si>
    <t>https://eco-go.ar/productos/bobina-papel-para-uso-industrial-25x400-delmar-/?variant=996309598&amp;pf=mc</t>
  </si>
  <si>
    <t>https://solymar.com.ar/producto/bobina-de-papel-400-mts/?srsltid=AfmBOor9EbfUDefoZCLaFD-xls-9wIho7VfgEHT_TUc7EHgjtaewa4Sk3rk</t>
  </si>
  <si>
    <t xml:space="preserve">TEST BOWIE &amp; DICK TEST PACK  </t>
  </si>
  <si>
    <t>https://articulo.mercadolibre.com.ar/MLA-1678774750-paquete-de-prueba-bowie-dick-x-10-unidades-_JM?matt_tool=38087446&amp;utm_source=google_shopping&amp;utm_medium=organic</t>
  </si>
  <si>
    <t>https://articulo.mercadolibre.com.ar/MLA-1115042004-pouch-tyvek-desde-30-cm-ancho-x-70-mtrs-_JM</t>
  </si>
  <si>
    <t>https://articulo.mercadolibre.com.ar/MLA-922236022-bobina-papel-grado-medico-60cm-x-100-mtrs-_JM#reco_item_pos=1&amp;reco_backend=machinalis-seller-items-pdp&amp;reco_backend_type=low_level&amp;reco_client=vip-seller_items-above&amp;reco_id=59d26925-41f5-4842-a644-c56dd11db881</t>
  </si>
  <si>
    <t>POUCH TYVEK C/INDIC P/PLASMA PEROX.HIDROG 20CM X70 MTS</t>
  </si>
  <si>
    <t xml:space="preserve">POUCH TYVEK C/INDIC P/PLASMA PEROX HIDROG 35CM X 70 MTS  </t>
  </si>
  <si>
    <t>32150012.10</t>
  </si>
  <si>
    <t xml:space="preserve">ORTOFTALDEHIDO SOLUCION 0,55%  </t>
  </si>
  <si>
    <t>https://www.icomsalud.com.ar/MLA-760152609-cidex-opa-desinfectante-concentrado-alto-nivel-378-litros-_JM?gclid=CjwKCAjwoJa2BhBPEiwA0l0ImPIaw15ktSOx_0mghRdyUE8fJApC2G6PTTzRT85CpCUYj7bUJ6ZhoRoCwt8QAvD_BwE</t>
  </si>
  <si>
    <t>Cidex Opa</t>
  </si>
  <si>
    <t>https://articulo.mercadolibre.com.ar/MLA-1385824373-desinfectante-opa-plus-concentrado-metricide-alto-nivel-38l-_JM?matt_tool=36510816&amp;matt_word=&amp;matt_source=google&amp;matt_campaign_id=14240422008&amp;matt_ad_group_id=139127908925&amp;matt_match_type=&amp;matt_network=g&amp;matt_device=c&amp;matt_creative=619374736076&amp;matt_keyword=&amp;matt_ad_position=&amp;matt_ad_type=pla&amp;matt_merchant_id=694426016&amp;matt_product_id=MLA1385824373&amp;matt_product_partition_id=1933752070976&amp;matt_target_id=aud-1925157273100:pla-1933752070976&amp;cq_src=google_ads&amp;cq_cmp=14240422008&amp;cq_net=g&amp;cq_plt=gp&amp;cq_med=pla&amp;gad_source=1&amp;gclid=CjwKCAjwoJa2BhBPEiwA0l0ImLpUezi-rlxFp8htQZ81Cu1h5ZxZQpmyv9O7oevIsf8Wpj1KiynUdhoCP0MQAvD_BwE</t>
  </si>
  <si>
    <t>032150013.1</t>
  </si>
  <si>
    <t>HOJAS POLIPROP.PEROX.HIDROG. 120X120CM</t>
  </si>
  <si>
    <t xml:space="preserve"> LUBRICANTE SILICONADA EN AEROSOL</t>
  </si>
  <si>
    <t>Silikote</t>
  </si>
  <si>
    <t>https://articulo.mercadolibre.com.ar/MLA-762824871-silicona-lubricante-auto-lub-limon-440cc-silikote-_JM?matt_tool=33074646&amp;matt_word=&amp;matt_source=google&amp;matt_campaign_id=14508401213&amp;matt_ad_group_id=154207733701&amp;matt_match_type=&amp;matt_network=g&amp;matt_device=c&amp;matt_creative=686437129602&amp;matt_keyword=&amp;matt_ad_position=&amp;matt_ad_type=pla&amp;matt_merchant_id=5340923937&amp;matt_product_id=MLA762824871&amp;matt_product_partition_id=2267153411402&amp;matt_target_id=aud-1925157273100:pla-2267153411402&amp;cq_src=google_ads&amp;cq_cmp=14508401213&amp;cq_net=g&amp;cq_plt=gp&amp;cq_med=pla&amp;gad_source=4&amp;gclid=CjwKCAjwoJa2BhBPEiwA0l0ImEOhV5WsIFustvPhTn3UccSqCLdTqu7qTtEACaPg8_zprJTbAE8dJxoC99QQAvD_BwE</t>
  </si>
  <si>
    <t>https://lafontsrl.com.ar/productos/spray-de-silicona-oks-1361-importado/?variant=879711713&amp;pf=mc</t>
  </si>
  <si>
    <t>OKS </t>
  </si>
  <si>
    <t>32150018.1</t>
  </si>
  <si>
    <t>https://www.tiendahospimed.com.ar/MLA-914106216-histerometro-p-ginecologia-32cm-descartable-x-50-unidades-_JM?utm_source=google&amp;utm_medium=cpc&amp;utm_campaign=darwin_ss&amp;gad_source=1&amp;gclid=CjwKCAjwoJa2BhBPEiwA0l0ImBZcmaRDZenGPqf5DRplMflXl4UxIq5w1JulgQ7Mbc270640-l4aZxoCbUUQAvD_BwE</t>
  </si>
  <si>
    <t>https://www.lilis.com.ar/histerometro-descartable?gad_source=1&amp;gclid=CjwKCAjwoJa2BhBPEiwA0l0ImHnDYJwGzQDVCf9TN17_JoICo2TfuwObS64B3aqRDRoBcpWi9zQvcxoCYr8QAvD_BwE</t>
  </si>
  <si>
    <t>https://articulo.mercadolibre.com.ar/MLA-1407279003-cateter-doble-j-6-fr-x-26cm-wellead-drenaje-uretral-_JM?matt_tool=98684440&amp;matt_word=&amp;matt_source=google&amp;matt_campaign_id=19545780362&amp;matt_ad_group_id=151893866824&amp;matt_match_type=&amp;matt_network=g&amp;matt_device=c&amp;matt_creative=645602402635&amp;matt_keyword=&amp;matt_ad_position=&amp;matt_ad_type=pla&amp;matt_merchant_id=513167862&amp;matt_product_id=MLA1407279003&amp;matt_product_partition_id=1935981041944&amp;matt_target_id=aud-1925157273100:pla-1935981041944&amp;cq_src=google_ads&amp;cq_cmp=19545780362&amp;cq_net=g&amp;cq_plt=gp&amp;cq_med=pla&amp;gad_source=4&amp;gclid=CjwKCAjwoJa2BhBPEiwA0l0ImFkDqSikSvwuRIfEYEcXeZs4Wst26CCuy3OV16tH_5b3Nb6bhC_AkxoCMmsQAvD_BwE</t>
  </si>
  <si>
    <t xml:space="preserve">CATETER DOBLE J 6 F  </t>
  </si>
  <si>
    <t xml:space="preserve">CATGUT CROMADO Nº1 C/AGUJA 1/2 CIRC.50 MM APROX.PTA.CILÍNDRICA </t>
  </si>
  <si>
    <t>32080002.17</t>
  </si>
  <si>
    <t xml:space="preserve"> CATGUT CROMADO Nº0 C/AGUJA 1/2 CIRC.50 MM APROX.PTA.CILÍNDRICA </t>
  </si>
  <si>
    <t>CATGUT CROMADO Nº2 C/AGUJA 1/2 CIRC.40 MM APROX.PTA.CILÍNDRICA</t>
  </si>
  <si>
    <t>TAGUM</t>
  </si>
  <si>
    <t>Able</t>
  </si>
  <si>
    <t>PRECIOS ACTUALIZADOS AL : 20/08/2024</t>
  </si>
  <si>
    <t>BIOSINTEX</t>
  </si>
  <si>
    <t>https://cirugiarex.com.ar/producto/nylon-monofilamento/</t>
  </si>
  <si>
    <t>NYLON Nº4/0 C/AGUJA 3/8 CIRC.20 MM APROX.PTA.REV.CORTANTE</t>
  </si>
  <si>
    <t>NYLON N°6/0 C/AGUJA 1/2 CIRC.15 MM APROX.PTA.REV.CORTANTE</t>
  </si>
  <si>
    <t xml:space="preserve">NYLON Nº3/0 C/AGUJA RECTA 60 MM APROX.PTA.REV.CORTANTE </t>
  </si>
  <si>
    <t>NYLON Nº2/0 C/AGUJA RECTA 60 MM APROX.PTA REV.CORTANTE</t>
  </si>
  <si>
    <t>NYLON Nº2/0 C/AGUJA 3/8 CIRC.25 MM APROX.PTA.REV.CORTANTE</t>
  </si>
  <si>
    <t>POLIGLACTINA Nº4/0 C/AGUJA 3/8 CIRC.20 MM APROX.PTA.REV.CORTANTE</t>
  </si>
  <si>
    <t>MEGASORB</t>
  </si>
  <si>
    <t>https://gontocal.com/product-meril-2405090612442854.h</t>
  </si>
  <si>
    <t>POLIGLACTINA Nº3/0 C/AGUJA 3/8 CIRC.20 MM APROX.PTA.REV.CORTANTE</t>
  </si>
  <si>
    <t>POLIGLACTINA Nº2/0 C/AGUJA 1/2 CIRC.25 MM APROX.PTA.CILÍNDRICA</t>
  </si>
  <si>
    <t>DACRIL</t>
  </si>
  <si>
    <t>https://cirugiarex.com.ar/producto/dacril-acido-poliglicolico-hilo-multifilamento/</t>
  </si>
  <si>
    <t>POLIGLACTINA Nº0 C/AGUJA 1/2 CIRC.35 MM APROX.PTA.CILÍNDRICA</t>
  </si>
  <si>
    <t>https://gontocal.com/product-meril-2405090611465975.h</t>
  </si>
  <si>
    <t>POLIGLACTINA Nº1 C/AGUJA 1/2 CIRC.35 MM APROX.PTA.CILÍNDRICA</t>
  </si>
  <si>
    <t>POLIGLACTINA Nº5/0 C/AGUJA 1/2 CIRC.15 MM APROX.PTA.CILÍNDRICA</t>
  </si>
  <si>
    <t>POLIGLACTINA Nº3/0 C/AGUJA 1/2 CIRC.20 MM APROX.PTA.CILÍNDRICA</t>
  </si>
  <si>
    <t>POLIGLACTINA Nº4/0 C/AGUJA 1/2 CIRC.25 MM APROX.PTA.CILÍNDRICA</t>
  </si>
  <si>
    <t xml:space="preserve">PAÑAL DESCARTABLE ADULTO CON GEL ANATÓMICO GRANDE </t>
  </si>
  <si>
    <t>https://www.ferniplast.com/9361311-panales-adultos-nonisec-gde-anatomico-8-un/p</t>
  </si>
  <si>
    <t>NONINO</t>
  </si>
  <si>
    <t>https://www.insumotiendasaludonline.com.ar/productos/panal-anatomico-elastizado-adulto-nonino-plus-g-45-75kg-x-16-unidades-x-5-paquetes/</t>
  </si>
  <si>
    <t>PAÑAL DESCARTABLE NIÑO MEDIANO CON GEL</t>
  </si>
  <si>
    <t>BABYSEC</t>
  </si>
  <si>
    <t>https://www.insumotiendasaludonline.com.ar/productos/panales-babysec-premium-tanga-hiper-m-x-52u-x-4-paq/</t>
  </si>
  <si>
    <t>PAMPERS</t>
  </si>
  <si>
    <t>https://www.ferniplast.com/9930253-panales-bebes-pampers-med-babysan-10-un/p</t>
  </si>
  <si>
    <t>PAÑAL DESCARTABLE NIÑO GRANDE CON GEL</t>
  </si>
  <si>
    <t>https://www.insumotiendasaludonline.com.ar/productos/panales-babysec-premium-g-grande-jumbo-pack-60-x-3-paq/</t>
  </si>
  <si>
    <t>HUGGIES</t>
  </si>
  <si>
    <t>PAÑAL DESCARTABLE NINO EXTRA EXTRA GRANDE CON GEL</t>
  </si>
  <si>
    <t>ESTRELLA</t>
  </si>
  <si>
    <t>https://www.insumotiendasaludonline.com.ar/productos/panales-estrella-extra-extragrande-hiperpack-34-u-x-4-paq/</t>
  </si>
  <si>
    <t>PAÑAL DESCARTABLE NIÑO CHICO CON GEL</t>
  </si>
  <si>
    <t>https://www.insumotiendasaludonline.com.ar/productos/panales-estrella-pequeno-megapack-30u-x-6-paq/</t>
  </si>
  <si>
    <t>PAÑAL DESCARTABLE ADULTO MEDIANO CON ADHESIVO Y GEL</t>
  </si>
  <si>
    <t>PLENITUD</t>
  </si>
  <si>
    <t>https://www.insumotiendasaludonline.com.ar/productos/plenitud-classic-panal-adulto-elastizado-mediano-x-16-pads-x-4-paq/</t>
  </si>
  <si>
    <t>https://www.icomsalud.com.ar/MLA-700157410-nonisec-adultos-refuerza-panal-clasico-por-20-unidades-_JM?searchVariation=174166338870#searchVariation%3D174166338870%26position%3D4%26search_layout%3Dstack%26type%3Ditem%26tracking_id%3Da5df93a5-a146-417a-84d8-c1a87664af93</t>
  </si>
  <si>
    <t>PAÑAL DESCARTABLE ADULTO ANATÓMICO MEDIANO CON ADHESIVO Y GEL</t>
  </si>
  <si>
    <t>https://www.insumotiendasaludonline.com.ar/productos/panal-anatomico-juvenil-c-barreras-25-40kg-10-paquetes-x-8u-nonino/</t>
  </si>
  <si>
    <t>https://www.insumotiendasaludonline.com.ar/productos/plenitud-protect-panal-adulto-med-416-10-hs/</t>
  </si>
  <si>
    <t>PAÑAL DESCARTABLE ADULTO CHICO C/ADHESIVO Y GEL</t>
  </si>
  <si>
    <t>COMODIN</t>
  </si>
  <si>
    <t>https://www.icomsalud.com.ar/MLA-700196671-panal-juvenil-comodin-anatomico-chico-ch-por-10-unidades-_JM?searchVariation=174166741077#searchVariation%3D174166741077%26position%3D1%26search_layout%3Dstack%26type%3Ditem%26tracking_id%3Dfa910023-23ab-4c9c-89de-ed88559222bb</t>
  </si>
  <si>
    <t xml:space="preserve">TUBO PLASTICO C/EDTA-K3 Y TAPA (ADULTO) </t>
  </si>
  <si>
    <t>CARESTAINER</t>
  </si>
  <si>
    <t>https://www.tiendahospimed.com.ar/MLA-1444747495-tubo-carestainer-13x75-violeta-con-edta-k2-25ml-x-100u-_JM#position%3D2%26search_layout%3Dstack%26type%3Ditem%26tracking_id%3Da57e4dda-8c30-4157-815d-d135c11accb8</t>
  </si>
  <si>
    <t>TUBO C/TAPA P/ERITROSEDIMETACION C/ANTICOAGULANTE</t>
  </si>
  <si>
    <t>https://www.tiendahospimed.com.ar/MLA-1444670127-tubo-carestaine-13x75-celeste-ccitrato-sodio-25ml-x-100u-_JM#position%3D1%26search_layout%3Dstack%26type%3Ditem%26tracking_id%3Da57e4dda-8c30-4157-815d-d135c11accb8</t>
  </si>
  <si>
    <t>DELTALAB</t>
  </si>
  <si>
    <t>https://www.insumotiendasaludonline.com.ar/productos/tubo-citrato-para-coagulacion-tamponado-al-38-x-1-200u-40ml-deltalab/</t>
  </si>
  <si>
    <t>TUBOS DESCARTABLE CON FLUORURO DE SODIO/OXALATO</t>
  </si>
  <si>
    <t>X 2 ML</t>
  </si>
  <si>
    <t xml:space="preserve">TUBO PLASTICO C/CITRATO P/COAGULACION(ADULTO) </t>
  </si>
  <si>
    <t>TUBO PLASTICO C/GEL SEPARADOR Y TAPA(ADULTO)</t>
  </si>
  <si>
    <t>https://www.tiendahospimed.com.ar/MLA-1888503398-tubo-carestainer-13x75-amarillo-cgelactivador-3ml-x-100u-_JM#position%3D2%26search_layout%3Dstack%26type%3Ditem%26tracking_id%3D63571608-77c2-499b-99e3-9a6d6aeb585b</t>
  </si>
  <si>
    <t>https://www.insumotiendasaludonline.com.ar/productos/tubos-separadores-de-suero-con-acelerador-y-gel-volumen-4ml-x-1-200u-eurotubo-deltalab/</t>
  </si>
  <si>
    <t xml:space="preserve">TUBO PLASTICO FONDO REDONDO(75 X 12mm) </t>
  </si>
  <si>
    <t>PARALWALL</t>
  </si>
  <si>
    <t>https://norces.mercadoshops.com.ar/MLA-675379943-tubo-khan-plastico-pp-opaco-12-x-75-mm-x-500-un-paralwall-_JM</t>
  </si>
  <si>
    <t>https://cirugiarex.com.ar/producto/tubo-de-ensayo-vidrio-15cm/</t>
  </si>
  <si>
    <t>TUBO DE CENTRIFUGA X10ml (110X16mm)FONDO CONICO.BOROSILIC.REFORZADO</t>
  </si>
  <si>
    <t>https://cirugiarex.com.ar/producto/tubo-centrif-conico-s-graduacion/</t>
  </si>
  <si>
    <t xml:space="preserve">TUBO DE CENTRIFUGA X12ml GRAD.POLIPROP.ESTERIL  </t>
  </si>
  <si>
    <t>CAJA DE PETRI DESCARTABLE (6-8cm) DIAM.</t>
  </si>
  <si>
    <t>https://cirugiarex.com.ar/producto/placa-de-petri-vidrio-60-x-15-mm/</t>
  </si>
  <si>
    <t>MASS</t>
  </si>
  <si>
    <t>CAJA DE PETRI DESCARTABLE(10-12cm) DIAM.</t>
  </si>
  <si>
    <t>ENVASE ESTERIL P/RECOLECCION DE MUESTRA X 100 ML TAPA ROSCA</t>
  </si>
  <si>
    <t>https://www.insumotiendasaludonline.com.ar/productos/frasco-recolector-150ml-pp-esteril-individual-x-350u-deltalab/</t>
  </si>
  <si>
    <t>https://www.tiendahospimed.com.ar/MLA-1440167235-frasco-esteril-sin-caja-125ml-10-unidades-_JM#position%3D1%26search_layout%3Dstack%26type%3Ditem%26tracking_id%3D6cd09f9f-70ba-4f2e-9475-01a52de32036</t>
  </si>
  <si>
    <t>https://www.lilis.com.ar/envase-esteril-sin-caja-125-cc-6294</t>
  </si>
  <si>
    <t>TIPS 5-200 ul (amarillos) C/CORONA</t>
  </si>
  <si>
    <t>X1000</t>
  </si>
  <si>
    <t xml:space="preserve">POLICUBETA DE VIDRIO (VDRL) X 12 EXCAV.FONDO EN U </t>
  </si>
  <si>
    <t>https://cirugiarex.com.ar/producto/gradilla-acero-para-12-tubos/</t>
  </si>
  <si>
    <t xml:space="preserve">POLICUBETA PLAST. X 96 POCILLOS FONDO U </t>
  </si>
  <si>
    <t>Lazo p/ ligar tipo plano hipoalergénico libre de látex reutilizable</t>
  </si>
  <si>
    <t>QUANTUS</t>
  </si>
  <si>
    <t>https://cirugiarex.com.ar/producto/lazo-para-extraccion-de-sangre/</t>
  </si>
  <si>
    <t>https://www.tiendahospimed.com.ar/MLA-816491348-lazo-de-extraccion-de-sangretorniquete-_JM#position%3D1%26search_layout%3Dstack%26type%3Ditem%26tracking_id%3De34a8c80-4c85-46cd-8586-52f902756362</t>
  </si>
  <si>
    <t>Cubreobjetos (20x20 +/- 5)</t>
  </si>
  <si>
    <t>X 100-200</t>
  </si>
  <si>
    <t>https://gontocal.com/product-bremen-20-x-20-ml-2403281108027221.h</t>
  </si>
  <si>
    <t>https://cirugiarex.com.ar/producto/cubreobjetos-x-100-un-bremen/</t>
  </si>
  <si>
    <t>https://www.tiendahospimed.com.ar/MLA-843214352-cubreobjetos-de-vidrio-20x20-300-unidades-_JM#position%3D5%26search_layout%3Dstack%26type%3Ditem%26tracking_id%3Da0121448-2060-4ec4-a5e9-83c577f895ca</t>
  </si>
  <si>
    <t>PORTAOBJETOS 26 X 76mm.BORDE NATURAL</t>
  </si>
  <si>
    <t>X50</t>
  </si>
  <si>
    <t>https://www.lilis.com.ar/porta-objetos-chino-comun-50</t>
  </si>
  <si>
    <t>SAIL</t>
  </si>
  <si>
    <t>https://gontocal.com/product-sail-2308120658426353.h</t>
  </si>
  <si>
    <t>REX</t>
  </si>
  <si>
    <t>https://cirugiarex.com.ar/producto/portaobjeto-de-microscopio/</t>
  </si>
  <si>
    <t>REMOVEDOR BIOLOGICO P/PORTAOBJETOS</t>
  </si>
  <si>
    <t>X500CC</t>
  </si>
  <si>
    <t>LAPIZ DERMATOGRAFICO P/ESCRITURA VIDRIO</t>
  </si>
  <si>
    <t>MITSIBUSHI</t>
  </si>
  <si>
    <t>https://articulo.mercadolibre.com.ar/MLA-920089845-lapiz-dermografico-mitsu-bishi-para-piel-x-unidad-16740-_JM#polycard_client=search-nordic&amp;position=6&amp;search_layout=stack&amp;type=item&amp;tracking_id=2d7e9542-ca68-45f4-86d1-1ec4dbdf7d45</t>
  </si>
  <si>
    <t xml:space="preserve">LAPICER.ESCRIT.S/VIDRIO.AL SOLVENTE.AZUL </t>
  </si>
  <si>
    <t>FILGO</t>
  </si>
  <si>
    <t>https://www.mercadolibre.com.ar/lapicera-boligrafo-roller-borrable-filgo-borrax-tinta-roja-color-de-la-tinta-rojo/p/MLA24865348</t>
  </si>
  <si>
    <t>LAPICER.ESCRIT.S/VIDRIO.AL SOLVENTE.NEGRA</t>
  </si>
  <si>
    <t>LAPICER.ESCRIT.S/VIDRIO.AL SOLVENTE.ROJA</t>
  </si>
  <si>
    <t>UROANALISIS</t>
  </si>
  <si>
    <t xml:space="preserve">TIRA REACT.P/UROANALISIS.6 PARAM.MINIMO  </t>
  </si>
  <si>
    <t>X50/100</t>
  </si>
  <si>
    <t>MERCK</t>
  </si>
  <si>
    <t>https://www.insumotiendasaludonline.com.ar/productos/varillas-para-medicion-ph-rango-0-14-x-100-tiras-merck/</t>
  </si>
  <si>
    <t>SOLUCIONES</t>
  </si>
  <si>
    <t>MAY-GRUNWALD SOLUCION COLORANTE</t>
  </si>
  <si>
    <t>X1000ml</t>
  </si>
  <si>
    <t>BIOPACK</t>
  </si>
  <si>
    <t>https://articulo.mercadolibre.com.ar/MLA-1756515284-tincion-may-grunwald-colorante-en-solucion-x-1000ml-_JM</t>
  </si>
  <si>
    <t>GIEMSA SOLUCION COLORANTE</t>
  </si>
  <si>
    <t>https://articulo.mercadolibre.com.ar/MLA-1424191867-tincion-giemsa-colorante-en-solucion-x-1000ml-_JM#polycard_client=search-nordic&amp;position=35&amp;search_layout=stack&amp;type=item&amp;tracking_id=75e38118-f56e-4845-be8b-b61c00e42e29</t>
  </si>
  <si>
    <t>https://www.kine-estetic.com/products/aguja-insulina-31g-x-5mm-pack-x-100-unidades-coronet</t>
  </si>
  <si>
    <t>https://farmavitus.tiendasancorsalud.com.ar/producto?id=12636&amp;nombre=novofine-agujas-32g-x-4mm-100-u&amp;gclid=Cj0KCQjw1Yy5BhD-ARIsAI0RbXZe-BoR1pjOiQ_2FDNLolFtZPf-ODjTNVVIyQvUOGaEdK7WpEf81m8aApovEALw_wcB</t>
  </si>
  <si>
    <t>https://articulo.mercadolibre.com.ar/MLA-1600691826-camisolin-descartable-puno-algodon-ribb-45-grs-x-50-unidades-_JM</t>
  </si>
  <si>
    <t>https://www.kine-estetic.com/products/guia-de-suero-perfus-n-2-v17p-microgotero-sin-aguja-con-chapita-admisol</t>
  </si>
  <si>
    <t>https://www.farmaciasdelsud.com.ar/shop/product/clamp-umbilical-WS2428531?srsltid=AfmBOoqXOilXJ-ER9vx2icr9g-sroVPL8-B1MH3qFnOGIfIVhYumVNJEB4U</t>
  </si>
  <si>
    <t>7,5 cm</t>
  </si>
  <si>
    <t>https://cirugiarex.com.ar/producto/llave-de-3-vias-esteril-klf-con-tubo-de-extension-de-30-cm/</t>
  </si>
  <si>
    <t>https://www.igmainsumos.com/productos/pediatrica-guia-eschmann-bougie/</t>
  </si>
  <si>
    <t>https://i-mek.com/producto/bolsa-termosellable-qds/?attribute_pa_medida-bolsa=300mm-x-125mm-x-610mm&amp;srsltid=AfmBOooRethKXFqhUQ8A4Pi4eMsCMwHAVro4d-oBiriZLU5L7S0io7B7SJ4</t>
  </si>
  <si>
    <t>QDS</t>
  </si>
  <si>
    <t>https://www.insumosodontologicosweb.com.ar/productos/pouch-para-esterilizacion-en-autoclave-rollo-200-metros/</t>
  </si>
  <si>
    <t>https://articulo.mercadolibre.com.ar/MLA-815732439-lubricante-de-silicona-en-aerosol-w80-envase-240-ml-_JM?variation=#reco_item_pos=0&amp;reco_backend=ranker_retrieval_system_vpp_v2p&amp;reco_backend_type=low_level&amp;reco_client=vpp-v2p-pom&amp;reco_id=0aa32b03-e8e0-47da-a8ae-5238b6341ad9&amp;reco_model=ranker_entity_v2-retrieval-system/mla/organicos/item-triggers/1</t>
  </si>
  <si>
    <t>W80</t>
  </si>
  <si>
    <t>https://www.tiendahospimed.com.ar/MLA-1634119322-cateter-doble-j-6-fr-x-26cm-wellead-drenaje-uretral-_JM?srsltid=AfmBOorHP_Cesced1LcaRbY8swSqAuptH17AullO-7775vy57Y2vT3Xu</t>
  </si>
  <si>
    <t>https://articulo.mercadolibre.com.ar/MLA-1427706019-cat-gut-simple-20-sin-aguja-con-hebra-de-150cm-_JM?matt_tool=36510816&amp;matt_word=&amp;matt_source=google&amp;matt_campaign_id=14240422008&amp;matt_ad_group_id=139127908925&amp;matt_match_type=&amp;matt_network=g&amp;matt_device=c&amp;matt_creative=619374736076&amp;matt_keyword=&amp;matt_ad_position=&amp;matt_ad_type=pla&amp;matt_merchant_id=694426016&amp;matt_product_id=MLA1427706019&amp;matt_product_partition_id=1933752070976&amp;matt_target_id=aud-1925157273100:pla-1933752070976&amp;cq_src=google_ads&amp;cq_cmp=14240422008&amp;cq_net=g&amp;cq_plt=gp&amp;cq_med=pla&amp;gad_source=1&amp;gclid=Cj0KCQiA_qG5BhDTARIsAA0UHSIK_KlqI4kDYKbS611kSyxESOAHerQpMcUoB3Zqrzn1cS_LDL-pBG4aAqp-EALw_wcB</t>
  </si>
  <si>
    <t>https://articulo.mercadolibre.com.ar/MLA-1724983898-cat-gut-lento-2-sin-aguja-con-hebra-de-150cm-_JM?matt_tool=98684440&amp;matt_word=&amp;matt_source=google&amp;matt_campaign_id=19545780362&amp;matt_ad_group_id=151893866824&amp;matt_match_type=&amp;matt_network=g&amp;matt_device=c&amp;matt_creative=645602402635&amp;matt_keyword=&amp;matt_ad_position=&amp;matt_ad_type=pla&amp;matt_merchant_id=694426016&amp;matt_product_id=MLA1724983898&amp;matt_product_partition_id=1935981041944&amp;matt_target_id=aud-1925157273100:pla-1935981041944&amp;cq_src=google_ads&amp;cq_cmp=19545780362&amp;cq_net=g&amp;cq_plt=gp&amp;cq_med=pla&amp;gad_source=1&amp;gclid=Cj0KCQiA_qG5BhDTARIsAA0UHSIRN-JvYcJFc3PJUKLVaKEn7fNRAsBRrjOFq5zOTf2ndRsKFqZOAfsaApeJEALw_wcB</t>
  </si>
  <si>
    <t>https://articulo.mercadolibre.com.ar/MLA-1430799299-sutura-x1-tagum-20-catgut-cromico-12-cir-25mm-redonda-_JM#polycard_client=search-nordic&amp;position=3&amp;search_layout=stack&amp;type=item&amp;tracking_id=2fe84f6f-1f12-4dbc-8555-f8aaabc2727e</t>
  </si>
  <si>
    <t xml:space="preserve"> n</t>
  </si>
  <si>
    <t>https://articulo.mercadolibre.com.ar/MLA-874148733-mf-alcohol-etilico-70-uso-medicinal-500-ml-_JM</t>
  </si>
  <si>
    <t>https://www.siemprefarmacias.com.ar/producto/mf-alcohol-et%C3%ADlico-96-%C2%B0-uso-alimenticio-medicinal-500-ml/2927#:~:text=Antis%C3%A9ptico%20y%20desinfectante%3B%20ampliamente%20usado,act%C3%BAa%20principalmente%20sobre%20prote%C3%ADnas%20desnaturaliz%C3%A1ndolas.</t>
  </si>
  <si>
    <t>https://www.mercadolibre.com.ar/algodon-hidrofilo-doncella-x-500-gramos/p/MLA19936823?pdp_filters=item_id:MLA1381349582#is_advertising=true&amp;searchVariation=MLA19936823&amp;position=1&amp;search_layout=stack&amp;type=pad&amp;tracking_id=4a71b52f-a4d9-42ad-b7cc-e1e973539b4e&amp;is_advertising=true&amp;ad_domain=VQCATCORE_LST&amp;ad_position=1&amp;ad_click_id=YTkwMmIzNDUtYTQ1OC00NzlhLTliYzgtMGMwZjg4MjAwOWZk</t>
  </si>
  <si>
    <t>https://www.tiendahospimed.com.ar/MLA-1391335275-bajalengua-de-madera-adulto-o-pediatrico-x100-unidades-_JM#polycard_client=search-nordic-mshops&amp;position=1&amp;search_layout=stack&amp;type=item&amp;tracking_id=1417ed4e-13b3-431a-9939-ff68fc206854</t>
  </si>
  <si>
    <t>https://www.mercadolibre.com.ar/baja-lenguas-descartable-pediatrico-x-100un-clericot-anmat/p/MLA37756151#polycard_client=search-nordic&amp;searchVariation=MLA37756151&amp;wid=MLA1996375780&amp;position=8&amp;search_layout=stack&amp;type=product&amp;tracking_id=d49e2d5d-eec3-4f5b-ad93-afadc4d6617c&amp;sid=search</t>
  </si>
  <si>
    <t>https://www.mercadolibre.com.ar/bolsa-para-colostomia-ileostomia-sistema-activelife-125371/p/MLA32318910?pdp_filters=item_id:MLA1452022347#is_advertising=true&amp;searchVariation=MLA32318910&amp;position=1&amp;search_layout=stack&amp;type=pad&amp;tracking_id=31f50520-405d-4b9f-89f2-ab7cf7724817&amp;is_advertising=true&amp;ad_domain=VQCATCORE_LST&amp;ad_position=1&amp;ad_click_id=ODY5NzExZDItNWZhZC00ODEwLTlhZGItMDNkNzAwZTE2ZTJm</t>
  </si>
  <si>
    <t>https://hospiinnova.com/electrodos-para-ecg/52-31118733-electrodo-meditrace-100-para-monitoreo-pedi%C3%A1trico-caja-con-10-sobres-con-100-piezas.html</t>
  </si>
  <si>
    <t>https://www.mercadolibre.com.ar/jeringa-descartable-60ml-neojet-caja-x-25-unidades-capacidad-en-volumen-60-cc/p/MLA39296541?pdp_filters=item_id:MLA1444574683#is_advertising=true&amp;searchVariation=MLA39296541&amp;position=1&amp;search_layout=stack&amp;type=pad&amp;tracking_id=4105cb2a-0fb9-4eeb-896c-78b550aabc93&amp;is_advertising=true&amp;ad_domain=VQCATCORE_LST&amp;ad_position=1&amp;ad_click_id=NTBkMmIzMjgtMTJiZC00OWI4LWJhZTEtZmZiOWEwMDZjYTk4</t>
  </si>
  <si>
    <t>https://www.insumosodontologicosweb.com.ar/productos/agujas-descartables-hipodermica-https://articulo.mercadolibre.com.ar/MLA-1112948889-aguja-descartable-408-21g-x-1-12-x-100-u-_JM#polycard_client=search-nordic&amp;position=7&amp;search_layout=stack&amp;type=item&amp;tracking_id=41275788-b21c-4e9e-8ee8-e001968a3662</t>
  </si>
  <si>
    <t>https://selmadigital.com/p/panales-para-adultos-con-gel-talle-xxg-x20u/602021f2-4cce-4dbd-be01-bf2abd83602d</t>
  </si>
  <si>
    <t>SONDA EST.(TIPO K 31) 105 CM LONG.X 2.3 MM DIAM.EXT</t>
  </si>
  <si>
    <t>TUBO GOMA LATEX 3 MM DIAM.INT.X 5 MM DIAM. EXT.</t>
  </si>
  <si>
    <t xml:space="preserve">MASCARA LARINGEA N 4  </t>
  </si>
  <si>
    <t xml:space="preserve">POUCH CON INDIC P/VAPOR /O.E 10X200 PAPEL QUIRURGICO LISO/LAMINAD.PLAST.TRANSPAREN  </t>
  </si>
  <si>
    <t xml:space="preserve">POUCH CON INDIC P/VAPOR/O.E 30X200 PAPEL QUIRURGICO LISO/LAMINAD.PLAST.TRANSPAREN  </t>
  </si>
  <si>
    <t>https://gontocal.com/product-phoenix-punta-quincke-2308120556015656.h?srsltid=AfmBOooWy1xnOTukKUKvphlFOXTGwSRglCpxbLUXIqfjXdcvS_79HQsoTyE</t>
  </si>
  <si>
    <t>https://dentaltronador.com.ar/productos/aguja-hipodermica-25x8-21g-x1-x100-novamed/?variant=779674042&amp;pf=mc&amp;srsltid=AfmBOoqTpzuDgfqATexy23_2X3n73PXN56AWUkLvHfPvGC3XHa0JGEUPjNg</t>
  </si>
  <si>
    <t>https://articulo.mercadolibre.com.ar/MLA-719148094-comfeel-aposito-hidrocoloide-tduoderm-grueso-10x10-x-caja-_JM?matt_tool=33191549&amp;matt_word=&amp;matt_source=google&amp;matt_campaign_id=22107886968&amp;matt_ad_group_id=173357481276&amp;matt_match_type=&amp;matt_network=g&amp;matt_device=c&amp;matt_creative=729634812659&amp;matt_keyword=&amp;matt_ad_position=&amp;matt_ad_type=pla&amp;matt_merchant_id=120755738&amp;matt_product_id=MLA719148094&amp;matt_product_partition_id=2388009999746&amp;matt_target_id=aud-1930507555320:pla-2388009999746&amp;cq_src=google_ads&amp;cq_cmp=22107886968&amp;cq_net=g&amp;cq_plt=gp&amp;cq_med=pla&amp;gad_source=1&amp;gclid=Cj0KCQiA7se8BhCAARIsAKnF3rxHlyHPMwETGVaCH8fcE4mGZ4GyDFAip8LvDPgJGCQVsowEv0mDDZ0aAm-xEALw_wcB</t>
  </si>
  <si>
    <t>https://articulo.mercadolibre.com.ar/MLA-1809804874-camisolin-celeste-45-gr-tela-sms-con-palgodon-x-10-unidades-_JM?matt_tool=76153761&amp;matt_word=&amp;matt_source=google&amp;matt_campaign_id=22107887475&amp;matt_ad_group_id=173357588596&amp;matt_match_type=&amp;matt_network=g&amp;matt_device=c&amp;matt_creative=729634820846&amp;matt_keyword=&amp;matt_ad_position=&amp;matt_ad_type=pla&amp;matt_merchant_id=535082004&amp;matt_product_id=MLA1809804874&amp;matt_product_partition_id=2388288843521&amp;matt_target_id=aud-1930507555320:pla-2388288843521&amp;cq_src=google_ads&amp;cq_cmp=22107887475&amp;cq_net=g&amp;cq_plt=gp&amp;cq_med=pla&amp;gad_source=1&amp;gclid=Cj0KCQiA7se8BhCAARIsAKnF3ryDGscJrLmuoJJozXQdNG-IH0_VbtRLmirNWvz-jXNumCDOG79qwSAaAsEwEALw_wcB</t>
  </si>
  <si>
    <t>https://articulo.mercadolibre.com.ar/MLA-1810075488-mango-electrobisturi-monopolar-descartable-esteriles-_JM?matt_tool=76153761&amp;matt_word=&amp;matt_source=google&amp;matt_campaign_id=22107887475&amp;matt_ad_group_id=173357587876&amp;matt_match_type=&amp;matt_network=g&amp;matt_device=c&amp;matt_creative=729634820837&amp;matt_keyword=&amp;matt_ad_position=&amp;matt_ad_type=pla&amp;matt_merchant_id=216443529&amp;matt_product_id=MLA1810075488&amp;matt_product_partition_id=2389561187410&amp;matt_target_id=aud-1930507555320:pla-2389561187410&amp;cq_src=google_ads&amp;cq_cmp=22107887475&amp;cq_net=g&amp;cq_plt=gp&amp;cq_med=pla&amp;gad_source=1&amp;gclid=Cj0KCQiA7se8BhCAARIsAKnF3rwkA0yZ3kuoe6pmVxSP9ZnQpopRHUhj3T9a3h6WiqOCABhDQeHMWO0aAtuZEALw_wcB</t>
  </si>
  <si>
    <t>https://www.farmamix.com.ar/shop/product/especulo-vaginal-esteril-rosca-grande---medisul-WS3107595?srsltid=AfmBOooMt_WsfDrjqUWAo2c59TddnuEHdflXIEvaHtPtqLyYAMvGsVm-DbA</t>
  </si>
  <si>
    <t>https://www.ferniplast.com/7180340-panales-bebes-huggies-g-classic-jumbo-40/p</t>
  </si>
  <si>
    <t>https://www.ferniplast.com/7180342-panales-bebes-huggies-xxg-classic-jumbo-30/p</t>
  </si>
  <si>
    <t>https://www.ferniplast.com/9280244-panales-bebes-babysec-xxg-ultrasoft-8-un/p</t>
  </si>
  <si>
    <t>CARDIO CHARTS</t>
  </si>
  <si>
    <t>https://www.farmacity.com/tela-adhesiva-farmacity-microporosa-l--9-m-a--5-cm/p?idsku=237986&amp;utm_source=google&amp;utm_medium=cpc&amp;utm_campaign=18375667354&amp;utm_term=&amp;utm_adgroup=&amp;utm_content=&amp;gad_source=1&amp;gclid=Cj0KCQiA7se8BhCAARIsAKnF3ryTGo1f2wSZBZFZ5beTuoJRmEe9pQNKZageYEs6mmu_XhfBm_LP3hUaAk2EEALw_wcB</t>
  </si>
  <si>
    <t>https://articulo.mercadolibre.com.ar/MLA-1366195161-placa-de-petri-60x15mm-vidrio-boro-33-x-unidad-biolinger-_JM?matt_tool=20453604&amp;matt_word=&amp;matt_source=google&amp;matt_campaign_id=22107887472&amp;matt_ad_group_id=173357588556&amp;matt_match_type=&amp;matt_network=g&amp;matt_device=c&amp;matt_creative=729634820780&amp;matt_keyword=&amp;matt_ad_position=&amp;matt_ad_type=pla&amp;matt_merchant_id=530624681&amp;matt_product_id=MLA1366195161&amp;matt_product_partition_id=2388288843481&amp;matt_target_id=aud-1930507555320:pla-2388288843481&amp;cq_src=google_ads&amp;cq_cmp=22107887472&amp;cq_net=g&amp;cq_plt=gp&amp;cq_med=pla&amp;gad_source=1&amp;gclid=Cj0KCQiA7se8BhCAARIsAKnF3ryWKe6nVgv2VO-u_L8Uaq0BAtumE5g87Gfbuk2dgkPe1rJDn1bd9B4aAvCTEALw_wcB</t>
  </si>
  <si>
    <t>https://articulo.mercadolibre.com.ar/MLA-682856123-cera-para-hueso-25grs-surgikal-x12u-_JM</t>
  </si>
  <si>
    <t>https://articulo.mercadolibre.com.ar/MLA-1737246748-esponja-hemostatica-absorbible-80x50x10mm-curaspon-x-unidad-_JM?matt_tool=38087446&amp;utm_source=google_shopping&amp;utm_medium=organic</t>
  </si>
  <si>
    <t>https://articulo.mercadolibre.com.ar/MLA-1371990377-esponja-hemostatica-absorbible-80x50x10mm-x-unidad-curaspon-_JM?matt_tool=38087446&amp;utm_source=google_shopping&amp;utm_medium=organic</t>
  </si>
  <si>
    <t>https://articulo.mercadolibre.com.ar/MLA-1790359864-rollo-pouch-esterilizacion-autoclave-15cm-x-200m-odontologia-_JM?matt_tool=62011604&amp;matt_word=&amp;matt_source=google&amp;matt_campaign_id=22107887469&amp;matt_ad_group_id=173357587676&amp;matt_match_type=&amp;matt_network=g&amp;matt_device=c&amp;matt_creative=729634820585&amp;matt_keyword=&amp;matt_ad_position=&amp;matt_ad_type=pla&amp;matt_merchant_id=705158518&amp;matt_product_id=MLA1790359864&amp;matt_product_partition_id=2389561187170&amp;matt_target_id=aud-1930507555320:pla-2389561187170&amp;cq_src=google_ads&amp;cq_cmp=22107887469&amp;cq_net=g&amp;cq_plt=gp&amp;cq_med=pla&amp;gad_source=1&amp;gclid=CjwKCAiAkc28BhB0EiwAM001TTa8BmoXoXg4VG3dNxSSAaxu_UXOxTbOhWYE1-MGBCNOZr_5gPljgRoCcHgQAvD_BwE</t>
  </si>
  <si>
    <t>https://articulo.mercadolibre.com.ar/MLA-1212778928-pouch-para-esterilizacion-en-autoclave-rollo-30cm-x-200mts-_JM?matt_tool=76153761&amp;matt_word=&amp;matt_source=google&amp;matt_campaign_id=22107887475&amp;matt_ad_group_id=173357587876&amp;matt_match_type=&amp;matt_network=g&amp;matt_device=c&amp;matt_creative=729634820837&amp;matt_keyword=&amp;matt_ad_position=&amp;matt_ad_type=pla&amp;matt_merchant_id=173388982&amp;matt_product_id=MLA1212778928&amp;matt_product_partition_id=2389097183496&amp;matt_target_id=aud-1930507555320:pla-2389097183496&amp;cq_src=google_ads&amp;cq_cmp=22107887475&amp;cq_net=g&amp;cq_plt=gp&amp;cq_med=pla&amp;gad_source=1&amp;gclid=CjwKCAiAkc28BhB0EiwAM001TRLMhtDiemRmranm4TLnyIIZ2mqbLavipDhdkGG9P0rVaIMGYAWT1BoCph8QAvD_BwE</t>
  </si>
  <si>
    <t>https://articulo.mercadolibre.com.ar/MLA-1863954556-rollo-pouch-25cm-x-200mts-esterilizacion-en-autoclave-_JM?matt_tool=38087446&amp;utm_source=google_shopping&amp;utm_medium=organic</t>
  </si>
  <si>
    <t>https://www.norteinsumoslab.com/productos/tips-amarillos-200-ul-sin-corona-tipo-universal-patholab/</t>
  </si>
  <si>
    <t>https://insumosdimex.mercadoshops.com.ar/MLA-1476364776-sonda-para-intubacion-gastrica-k-10-tipo-levine-x-10-u-_JM</t>
  </si>
  <si>
    <t>https://gontocal.com/product-well-lead-k10-n16-53-mm-2311110938252957.h?srsltid=AfmBOoruXNqG8Uzm6dbeY8EV1dSmP7CSw5SwPS_6WMkX0DbMaDSaBk3i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</si>
</sst>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\ * #,##0.00_-;\-&quot;$&quot;\ * #,##0.00_-;_-&quot;$&quot;\ * &quot;-&quot;??_-;_-@_-"/>
    <numFmt numFmtId="164" formatCode="_-&quot;$&quot;\ * #,##0.00_-;\-&quot;$&quot;\ * #,##0.00_-;_-&quot;$&quot;\ * &quot;-&quot;??_-;_-@"/>
  </numFmts>
  <fonts count="37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i/>
      <sz val="11"/>
      <color rgb="FF333333"/>
      <name val="Arial"/>
      <family val="2"/>
    </font>
    <font>
      <sz val="11"/>
      <name val="Calibri"/>
      <family val="2"/>
    </font>
    <font>
      <b/>
      <i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b/>
      <i/>
      <sz val="11"/>
      <color rgb="FF333333"/>
      <name val="Calibri"/>
      <family val="2"/>
    </font>
    <font>
      <sz val="11"/>
      <color rgb="FF333333"/>
      <name val="Calibri"/>
      <family val="2"/>
    </font>
    <font>
      <b/>
      <sz val="11"/>
      <color rgb="FF333333"/>
      <name val="Calibri"/>
      <family val="2"/>
    </font>
    <font>
      <b/>
      <i/>
      <sz val="11"/>
      <name val="Calibri"/>
      <family val="2"/>
    </font>
    <font>
      <b/>
      <sz val="11"/>
      <color rgb="FF80808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name val="Calibri"/>
      <family val="2"/>
    </font>
    <font>
      <u/>
      <sz val="11"/>
      <color rgb="FF0000FF"/>
      <name val="Calibri"/>
      <family val="2"/>
    </font>
    <font>
      <b/>
      <sz val="11"/>
      <name val="Calibri"/>
      <family val="2"/>
    </font>
    <font>
      <u/>
      <sz val="11"/>
      <name val="Aptos Narrow"/>
      <family val="2"/>
      <scheme val="minor"/>
    </font>
    <font>
      <b/>
      <sz val="11"/>
      <name val="Calibri"/>
      <family val="2"/>
    </font>
    <font>
      <sz val="11"/>
      <color rgb="FF9C0006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Aptos Narrow"/>
      <family val="2"/>
      <scheme val="minor"/>
    </font>
    <font>
      <u/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2"/>
      <name val="Calibri"/>
      <family val="2"/>
    </font>
    <font>
      <sz val="11"/>
      <color theme="1"/>
      <name val="Arial"/>
      <family val="2"/>
    </font>
    <font>
      <b/>
      <sz val="11"/>
      <color rgb="FF333333"/>
      <name val="Calibri"/>
      <family val="2"/>
    </font>
    <font>
      <sz val="11"/>
      <color rgb="FFFF0000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Calibri"/>
    </font>
    <font>
      <sz val="11"/>
      <color rgb="FF000000"/>
      <name val="Calibri"/>
    </font>
    <font>
      <u/>
      <sz val="11"/>
      <color rgb="FF0000FF"/>
      <name val="Calibri"/>
    </font>
    <font>
      <b/>
      <sz val="11"/>
      <color rgb="FF333333"/>
      <name val="Calibri"/>
    </font>
    <font>
      <b/>
      <sz val="11"/>
      <color rgb="FFFFFFFF"/>
      <name val="Calibri"/>
    </font>
    <font>
      <sz val="11"/>
      <color rgb="FFFF0000"/>
      <name val="Calibri"/>
      <family val="2"/>
    </font>
    <font>
      <b/>
      <sz val="11"/>
      <color theme="1"/>
      <name val="Aptos Narrow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99CC00"/>
        <bgColor rgb="FF99CC00"/>
      </patternFill>
    </fill>
    <fill>
      <patternFill patternType="solid">
        <fgColor rgb="FFCCFFFF"/>
        <bgColor rgb="FFCCFFFF"/>
      </patternFill>
    </fill>
    <fill>
      <patternFill patternType="solid">
        <fgColor rgb="FFFFFFFF"/>
        <bgColor rgb="FFFFFFFF"/>
      </patternFill>
    </fill>
    <fill>
      <patternFill patternType="solid">
        <fgColor rgb="FFFFFF99"/>
        <bgColor rgb="FFFFFF99"/>
      </patternFill>
    </fill>
    <fill>
      <patternFill patternType="solid">
        <fgColor rgb="FFCCFFCC"/>
        <bgColor rgb="FFCCFFCC"/>
      </patternFill>
    </fill>
    <fill>
      <patternFill patternType="solid">
        <fgColor rgb="FFFF6600"/>
        <bgColor rgb="FFFF6600"/>
      </patternFill>
    </fill>
    <fill>
      <patternFill patternType="solid">
        <fgColor rgb="FFFF9900"/>
        <bgColor rgb="FFFF9900"/>
      </patternFill>
    </fill>
    <fill>
      <patternFill patternType="solid">
        <fgColor theme="0"/>
        <bgColor rgb="FFCCFFCC"/>
      </patternFill>
    </fill>
    <fill>
      <patternFill patternType="solid">
        <fgColor theme="0"/>
        <bgColor rgb="FFFF6600"/>
      </patternFill>
    </fill>
    <fill>
      <patternFill patternType="solid">
        <fgColor theme="0"/>
        <bgColor rgb="FFFF9900"/>
      </patternFill>
    </fill>
    <fill>
      <patternFill patternType="solid">
        <fgColor rgb="FFFFFF00"/>
        <bgColor rgb="FFC0C0C0"/>
      </patternFill>
    </fill>
    <fill>
      <patternFill patternType="solid">
        <fgColor rgb="FFFF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rgb="FFFFFF99"/>
      </patternFill>
    </fill>
    <fill>
      <patternFill patternType="solid">
        <fgColor rgb="FFFF0000"/>
        <bgColor rgb="FFCCFFCC"/>
      </patternFill>
    </fill>
    <fill>
      <patternFill patternType="solid">
        <fgColor rgb="FFFF0000"/>
        <bgColor rgb="FFFFFFFF"/>
      </patternFill>
    </fill>
    <fill>
      <patternFill patternType="solid">
        <fgColor rgb="FF92D05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rgb="FFC0C0C0"/>
      </patternFill>
    </fill>
    <fill>
      <patternFill patternType="solid">
        <fgColor rgb="FF92D050"/>
        <bgColor rgb="FF99CC00"/>
      </patternFill>
    </fill>
  </fills>
  <borders count="8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4" fontId="29" fillId="0" borderId="0" applyFont="0" applyFill="0" applyBorder="0" applyAlignment="0" applyProtection="0"/>
  </cellStyleXfs>
  <cellXfs count="657">
    <xf numFmtId="0" fontId="0" fillId="0" borderId="0" xfId="0"/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horizontal="right" vertical="center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4" borderId="6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7" fillId="5" borderId="0" xfId="0" applyFont="1" applyFill="1"/>
    <xf numFmtId="164" fontId="6" fillId="4" borderId="6" xfId="0" applyNumberFormat="1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164" fontId="9" fillId="4" borderId="6" xfId="0" applyNumberFormat="1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3" fillId="5" borderId="0" xfId="0" applyFont="1" applyFill="1"/>
    <xf numFmtId="0" fontId="8" fillId="2" borderId="7" xfId="0" applyFont="1" applyFill="1" applyBorder="1"/>
    <xf numFmtId="0" fontId="11" fillId="5" borderId="10" xfId="0" applyFont="1" applyFill="1" applyBorder="1" applyAlignment="1">
      <alignment horizontal="center" vertical="center"/>
    </xf>
    <xf numFmtId="164" fontId="11" fillId="6" borderId="13" xfId="0" applyNumberFormat="1" applyFont="1" applyFill="1" applyBorder="1" applyAlignment="1">
      <alignment horizontal="right" vertical="center"/>
    </xf>
    <xf numFmtId="0" fontId="12" fillId="0" borderId="15" xfId="0" applyFont="1" applyBorder="1" applyAlignment="1">
      <alignment horizontal="left"/>
    </xf>
    <xf numFmtId="164" fontId="3" fillId="7" borderId="15" xfId="0" applyNumberFormat="1" applyFont="1" applyFill="1" applyBorder="1" applyAlignment="1">
      <alignment horizontal="right" vertical="center"/>
    </xf>
    <xf numFmtId="0" fontId="12" fillId="0" borderId="15" xfId="0" applyFont="1" applyBorder="1"/>
    <xf numFmtId="0" fontId="3" fillId="5" borderId="15" xfId="0" applyFont="1" applyFill="1" applyBorder="1"/>
    <xf numFmtId="0" fontId="14" fillId="5" borderId="15" xfId="0" applyFont="1" applyFill="1" applyBorder="1"/>
    <xf numFmtId="0" fontId="11" fillId="5" borderId="16" xfId="0" applyFont="1" applyFill="1" applyBorder="1" applyAlignment="1">
      <alignment horizontal="center"/>
    </xf>
    <xf numFmtId="0" fontId="3" fillId="0" borderId="11" xfId="0" applyFont="1" applyBorder="1" applyAlignment="1">
      <alignment horizontal="left"/>
    </xf>
    <xf numFmtId="164" fontId="11" fillId="6" borderId="18" xfId="0" applyNumberFormat="1" applyFont="1" applyFill="1" applyBorder="1" applyAlignment="1">
      <alignment horizontal="right" vertical="center"/>
    </xf>
    <xf numFmtId="164" fontId="11" fillId="7" borderId="19" xfId="0" applyNumberFormat="1" applyFont="1" applyFill="1" applyBorder="1" applyAlignment="1">
      <alignment horizontal="right" vertical="center"/>
    </xf>
    <xf numFmtId="0" fontId="12" fillId="0" borderId="20" xfId="0" applyFont="1" applyBorder="1" applyAlignment="1">
      <alignment horizontal="left"/>
    </xf>
    <xf numFmtId="0" fontId="13" fillId="0" borderId="21" xfId="0" applyFont="1" applyBorder="1"/>
    <xf numFmtId="0" fontId="14" fillId="0" borderId="0" xfId="0" applyFont="1"/>
    <xf numFmtId="0" fontId="14" fillId="0" borderId="19" xfId="0" applyFont="1" applyBorder="1"/>
    <xf numFmtId="0" fontId="11" fillId="5" borderId="22" xfId="0" applyFont="1" applyFill="1" applyBorder="1" applyAlignment="1">
      <alignment horizontal="center"/>
    </xf>
    <xf numFmtId="0" fontId="15" fillId="0" borderId="2" xfId="0" applyFont="1" applyBorder="1"/>
    <xf numFmtId="164" fontId="11" fillId="7" borderId="20" xfId="0" applyNumberFormat="1" applyFont="1" applyFill="1" applyBorder="1" applyAlignment="1">
      <alignment horizontal="right" vertical="center"/>
    </xf>
    <xf numFmtId="0" fontId="16" fillId="0" borderId="2" xfId="1" applyFont="1" applyFill="1" applyBorder="1" applyAlignment="1"/>
    <xf numFmtId="164" fontId="11" fillId="6" borderId="25" xfId="0" applyNumberFormat="1" applyFont="1" applyFill="1" applyBorder="1" applyAlignment="1">
      <alignment horizontal="right" vertical="center"/>
    </xf>
    <xf numFmtId="0" fontId="13" fillId="0" borderId="20" xfId="0" applyFont="1" applyBorder="1" applyAlignment="1">
      <alignment horizontal="left"/>
    </xf>
    <xf numFmtId="164" fontId="3" fillId="0" borderId="20" xfId="0" applyNumberFormat="1" applyFont="1" applyBorder="1" applyAlignment="1">
      <alignment horizontal="left"/>
    </xf>
    <xf numFmtId="0" fontId="17" fillId="0" borderId="20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18" fillId="0" borderId="0" xfId="0" applyFont="1"/>
    <xf numFmtId="164" fontId="11" fillId="6" borderId="6" xfId="0" applyNumberFormat="1" applyFont="1" applyFill="1" applyBorder="1" applyAlignment="1">
      <alignment horizontal="right" vertical="center"/>
    </xf>
    <xf numFmtId="0" fontId="1" fillId="0" borderId="24" xfId="1" applyBorder="1"/>
    <xf numFmtId="0" fontId="11" fillId="5" borderId="22" xfId="0" applyFont="1" applyFill="1" applyBorder="1" applyAlignment="1">
      <alignment horizontal="left"/>
    </xf>
    <xf numFmtId="0" fontId="16" fillId="0" borderId="2" xfId="1" applyFont="1" applyBorder="1" applyAlignment="1"/>
    <xf numFmtId="164" fontId="11" fillId="7" borderId="26" xfId="0" applyNumberFormat="1" applyFont="1" applyFill="1" applyBorder="1" applyAlignment="1">
      <alignment horizontal="right" vertical="center"/>
    </xf>
    <xf numFmtId="0" fontId="8" fillId="2" borderId="27" xfId="0" applyFont="1" applyFill="1" applyBorder="1"/>
    <xf numFmtId="0" fontId="3" fillId="2" borderId="30" xfId="0" applyFont="1" applyFill="1" applyBorder="1"/>
    <xf numFmtId="0" fontId="3" fillId="0" borderId="17" xfId="0" applyFont="1" applyBorder="1" applyAlignment="1">
      <alignment horizontal="center" vertical="center"/>
    </xf>
    <xf numFmtId="164" fontId="11" fillId="7" borderId="32" xfId="0" applyNumberFormat="1" applyFont="1" applyFill="1" applyBorder="1" applyAlignment="1">
      <alignment horizontal="right" vertical="center"/>
    </xf>
    <xf numFmtId="0" fontId="13" fillId="0" borderId="15" xfId="0" applyFont="1" applyBorder="1" applyAlignment="1">
      <alignment horizontal="left"/>
    </xf>
    <xf numFmtId="164" fontId="11" fillId="7" borderId="15" xfId="0" applyNumberFormat="1" applyFont="1" applyFill="1" applyBorder="1" applyAlignment="1">
      <alignment horizontal="right" vertical="center"/>
    </xf>
    <xf numFmtId="0" fontId="16" fillId="0" borderId="15" xfId="1" applyFont="1" applyFill="1" applyBorder="1" applyAlignment="1">
      <alignment horizontal="left"/>
    </xf>
    <xf numFmtId="164" fontId="3" fillId="0" borderId="15" xfId="0" applyNumberFormat="1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14" fillId="0" borderId="33" xfId="0" applyFont="1" applyBorder="1" applyAlignment="1">
      <alignment horizontal="left"/>
    </xf>
    <xf numFmtId="0" fontId="3" fillId="8" borderId="25" xfId="0" applyFont="1" applyFill="1" applyBorder="1" applyAlignment="1">
      <alignment horizontal="left"/>
    </xf>
    <xf numFmtId="164" fontId="11" fillId="7" borderId="34" xfId="0" applyNumberFormat="1" applyFont="1" applyFill="1" applyBorder="1" applyAlignment="1">
      <alignment horizontal="right" vertical="center"/>
    </xf>
    <xf numFmtId="0" fontId="8" fillId="0" borderId="35" xfId="0" applyFont="1" applyBorder="1" applyAlignment="1">
      <alignment horizontal="left"/>
    </xf>
    <xf numFmtId="0" fontId="13" fillId="0" borderId="35" xfId="0" applyFont="1" applyBorder="1" applyAlignment="1">
      <alignment horizontal="left"/>
    </xf>
    <xf numFmtId="164" fontId="11" fillId="7" borderId="35" xfId="0" applyNumberFormat="1" applyFont="1" applyFill="1" applyBorder="1" applyAlignment="1">
      <alignment horizontal="right" vertical="center"/>
    </xf>
    <xf numFmtId="0" fontId="16" fillId="0" borderId="35" xfId="1" applyFont="1" applyFill="1" applyBorder="1" applyAlignment="1">
      <alignment horizontal="left"/>
    </xf>
    <xf numFmtId="0" fontId="3" fillId="0" borderId="35" xfId="0" applyFont="1" applyBorder="1" applyAlignment="1">
      <alignment horizontal="left"/>
    </xf>
    <xf numFmtId="0" fontId="14" fillId="0" borderId="36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2" borderId="1" xfId="0" applyFont="1" applyFill="1" applyBorder="1"/>
    <xf numFmtId="164" fontId="20" fillId="7" borderId="32" xfId="0" applyNumberFormat="1" applyFont="1" applyFill="1" applyBorder="1" applyAlignment="1">
      <alignment horizontal="right" vertical="center" wrapText="1"/>
    </xf>
    <xf numFmtId="0" fontId="13" fillId="5" borderId="33" xfId="0" applyFont="1" applyFill="1" applyBorder="1" applyAlignment="1">
      <alignment horizontal="left"/>
    </xf>
    <xf numFmtId="0" fontId="13" fillId="5" borderId="15" xfId="0" applyFont="1" applyFill="1" applyBorder="1" applyAlignment="1">
      <alignment horizontal="left"/>
    </xf>
    <xf numFmtId="164" fontId="3" fillId="7" borderId="15" xfId="0" applyNumberFormat="1" applyFont="1" applyFill="1" applyBorder="1" applyAlignment="1">
      <alignment horizontal="left"/>
    </xf>
    <xf numFmtId="0" fontId="17" fillId="5" borderId="15" xfId="0" applyFont="1" applyFill="1" applyBorder="1" applyAlignment="1">
      <alignment horizontal="left"/>
    </xf>
    <xf numFmtId="0" fontId="3" fillId="5" borderId="11" xfId="0" applyFont="1" applyFill="1" applyBorder="1" applyAlignment="1">
      <alignment horizontal="left"/>
    </xf>
    <xf numFmtId="0" fontId="12" fillId="0" borderId="35" xfId="0" applyFont="1" applyBorder="1"/>
    <xf numFmtId="0" fontId="1" fillId="0" borderId="35" xfId="1" applyFill="1" applyBorder="1"/>
    <xf numFmtId="0" fontId="3" fillId="5" borderId="35" xfId="0" applyFont="1" applyFill="1" applyBorder="1" applyAlignment="1">
      <alignment horizontal="left"/>
    </xf>
    <xf numFmtId="0" fontId="14" fillId="5" borderId="36" xfId="0" applyFont="1" applyFill="1" applyBorder="1" applyAlignment="1">
      <alignment horizontal="left"/>
    </xf>
    <xf numFmtId="0" fontId="3" fillId="8" borderId="6" xfId="0" applyFont="1" applyFill="1" applyBorder="1" applyAlignment="1">
      <alignment horizontal="left"/>
    </xf>
    <xf numFmtId="164" fontId="3" fillId="6" borderId="6" xfId="0" applyNumberFormat="1" applyFont="1" applyFill="1" applyBorder="1" applyAlignment="1">
      <alignment horizontal="right" vertical="center"/>
    </xf>
    <xf numFmtId="0" fontId="17" fillId="0" borderId="15" xfId="0" applyFont="1" applyBorder="1"/>
    <xf numFmtId="164" fontId="11" fillId="7" borderId="5" xfId="0" applyNumberFormat="1" applyFont="1" applyFill="1" applyBorder="1" applyAlignment="1">
      <alignment horizontal="right" vertical="center"/>
    </xf>
    <xf numFmtId="0" fontId="8" fillId="0" borderId="11" xfId="0" applyFont="1" applyBorder="1" applyAlignment="1">
      <alignment horizontal="left"/>
    </xf>
    <xf numFmtId="0" fontId="13" fillId="0" borderId="11" xfId="0" applyFont="1" applyBorder="1" applyAlignment="1">
      <alignment horizontal="left"/>
    </xf>
    <xf numFmtId="164" fontId="11" fillId="7" borderId="11" xfId="0" applyNumberFormat="1" applyFont="1" applyFill="1" applyBorder="1" applyAlignment="1">
      <alignment horizontal="right" vertical="center"/>
    </xf>
    <xf numFmtId="0" fontId="17" fillId="0" borderId="11" xfId="0" applyFont="1" applyBorder="1" applyAlignment="1">
      <alignment vertical="top"/>
    </xf>
    <xf numFmtId="164" fontId="3" fillId="7" borderId="11" xfId="0" applyNumberFormat="1" applyFont="1" applyFill="1" applyBorder="1" applyAlignment="1">
      <alignment horizontal="left"/>
    </xf>
    <xf numFmtId="0" fontId="17" fillId="0" borderId="11" xfId="0" applyFont="1" applyBorder="1" applyAlignment="1">
      <alignment horizontal="left"/>
    </xf>
    <xf numFmtId="0" fontId="13" fillId="0" borderId="4" xfId="0" applyFont="1" applyBorder="1" applyAlignment="1">
      <alignment horizontal="left"/>
    </xf>
    <xf numFmtId="164" fontId="11" fillId="5" borderId="35" xfId="0" applyNumberFormat="1" applyFont="1" applyFill="1" applyBorder="1"/>
    <xf numFmtId="164" fontId="3" fillId="6" borderId="13" xfId="0" applyNumberFormat="1" applyFont="1" applyFill="1" applyBorder="1" applyAlignment="1">
      <alignment horizontal="right" vertical="center"/>
    </xf>
    <xf numFmtId="0" fontId="17" fillId="0" borderId="15" xfId="0" applyFont="1" applyBorder="1" applyAlignment="1">
      <alignment horizontal="left"/>
    </xf>
    <xf numFmtId="164" fontId="3" fillId="6" borderId="25" xfId="0" applyNumberFormat="1" applyFont="1" applyFill="1" applyBorder="1" applyAlignment="1">
      <alignment horizontal="right" vertical="center"/>
    </xf>
    <xf numFmtId="164" fontId="3" fillId="7" borderId="35" xfId="0" applyNumberFormat="1" applyFont="1" applyFill="1" applyBorder="1"/>
    <xf numFmtId="0" fontId="17" fillId="0" borderId="35" xfId="0" applyFont="1" applyBorder="1"/>
    <xf numFmtId="0" fontId="3" fillId="0" borderId="10" xfId="0" applyFont="1" applyBorder="1" applyAlignment="1">
      <alignment horizontal="center" vertical="center"/>
    </xf>
    <xf numFmtId="0" fontId="16" fillId="0" borderId="21" xfId="1" applyFont="1" applyFill="1" applyBorder="1" applyAlignment="1">
      <alignment horizontal="left"/>
    </xf>
    <xf numFmtId="0" fontId="16" fillId="0" borderId="0" xfId="1" applyFont="1" applyFill="1" applyAlignment="1">
      <alignment horizontal="left"/>
    </xf>
    <xf numFmtId="164" fontId="3" fillId="7" borderId="32" xfId="0" applyNumberFormat="1" applyFont="1" applyFill="1" applyBorder="1" applyAlignment="1">
      <alignment horizontal="right" vertical="center"/>
    </xf>
    <xf numFmtId="0" fontId="14" fillId="0" borderId="4" xfId="0" applyFont="1" applyBorder="1" applyAlignment="1">
      <alignment horizontal="left"/>
    </xf>
    <xf numFmtId="164" fontId="3" fillId="0" borderId="35" xfId="0" applyNumberFormat="1" applyFont="1" applyBorder="1" applyAlignment="1">
      <alignment horizontal="left"/>
    </xf>
    <xf numFmtId="164" fontId="3" fillId="7" borderId="15" xfId="0" applyNumberFormat="1" applyFont="1" applyFill="1" applyBorder="1"/>
    <xf numFmtId="164" fontId="3" fillId="7" borderId="20" xfId="0" applyNumberFormat="1" applyFont="1" applyFill="1" applyBorder="1" applyAlignment="1">
      <alignment horizontal="right" vertical="center"/>
    </xf>
    <xf numFmtId="0" fontId="14" fillId="0" borderId="20" xfId="0" applyFont="1" applyBorder="1"/>
    <xf numFmtId="0" fontId="3" fillId="0" borderId="20" xfId="0" applyFont="1" applyBorder="1"/>
    <xf numFmtId="0" fontId="12" fillId="2" borderId="27" xfId="0" applyFont="1" applyFill="1" applyBorder="1"/>
    <xf numFmtId="0" fontId="8" fillId="0" borderId="20" xfId="0" applyFont="1" applyBorder="1" applyAlignment="1">
      <alignment horizontal="left"/>
    </xf>
    <xf numFmtId="164" fontId="3" fillId="7" borderId="20" xfId="0" applyNumberFormat="1" applyFont="1" applyFill="1" applyBorder="1"/>
    <xf numFmtId="0" fontId="17" fillId="2" borderId="27" xfId="0" applyFont="1" applyFill="1" applyBorder="1"/>
    <xf numFmtId="0" fontId="14" fillId="0" borderId="20" xfId="0" applyFont="1" applyBorder="1" applyAlignment="1">
      <alignment horizontal="right" vertical="center"/>
    </xf>
    <xf numFmtId="0" fontId="17" fillId="0" borderId="20" xfId="0" applyFont="1" applyBorder="1"/>
    <xf numFmtId="0" fontId="12" fillId="0" borderId="22" xfId="0" applyFont="1" applyBorder="1" applyAlignment="1">
      <alignment horizontal="left"/>
    </xf>
    <xf numFmtId="0" fontId="3" fillId="0" borderId="11" xfId="0" applyFont="1" applyBorder="1"/>
    <xf numFmtId="0" fontId="12" fillId="0" borderId="11" xfId="0" applyFont="1" applyBorder="1"/>
    <xf numFmtId="0" fontId="3" fillId="0" borderId="21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164" fontId="3" fillId="6" borderId="6" xfId="0" applyNumberFormat="1" applyFont="1" applyFill="1" applyBorder="1" applyAlignment="1">
      <alignment vertical="center"/>
    </xf>
    <xf numFmtId="164" fontId="3" fillId="7" borderId="42" xfId="0" applyNumberFormat="1" applyFont="1" applyFill="1" applyBorder="1" applyAlignment="1">
      <alignment vertical="center"/>
    </xf>
    <xf numFmtId="164" fontId="3" fillId="0" borderId="43" xfId="0" applyNumberFormat="1" applyFont="1" applyBorder="1" applyAlignment="1">
      <alignment vertical="center"/>
    </xf>
    <xf numFmtId="164" fontId="3" fillId="0" borderId="44" xfId="0" applyNumberFormat="1" applyFont="1" applyBorder="1" applyAlignment="1">
      <alignment vertical="center"/>
    </xf>
    <xf numFmtId="164" fontId="3" fillId="7" borderId="45" xfId="0" applyNumberFormat="1" applyFont="1" applyFill="1" applyBorder="1" applyAlignment="1">
      <alignment vertical="center"/>
    </xf>
    <xf numFmtId="164" fontId="3" fillId="0" borderId="46" xfId="0" applyNumberFormat="1" applyFont="1" applyBorder="1" applyAlignment="1">
      <alignment vertical="center"/>
    </xf>
    <xf numFmtId="164" fontId="3" fillId="0" borderId="47" xfId="0" applyNumberFormat="1" applyFont="1" applyBorder="1" applyAlignment="1">
      <alignment vertical="center"/>
    </xf>
    <xf numFmtId="0" fontId="14" fillId="0" borderId="31" xfId="0" applyFont="1" applyBorder="1"/>
    <xf numFmtId="0" fontId="14" fillId="0" borderId="48" xfId="0" applyFont="1" applyBorder="1"/>
    <xf numFmtId="0" fontId="18" fillId="5" borderId="0" xfId="0" applyFont="1" applyFill="1"/>
    <xf numFmtId="0" fontId="3" fillId="5" borderId="20" xfId="0" applyFont="1" applyFill="1" applyBorder="1"/>
    <xf numFmtId="0" fontId="14" fillId="5" borderId="20" xfId="0" applyFont="1" applyFill="1" applyBorder="1"/>
    <xf numFmtId="0" fontId="14" fillId="5" borderId="22" xfId="0" applyFont="1" applyFill="1" applyBorder="1"/>
    <xf numFmtId="0" fontId="3" fillId="0" borderId="20" xfId="0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16" fillId="0" borderId="15" xfId="1" applyFont="1" applyBorder="1" applyAlignment="1">
      <alignment horizontal="left"/>
    </xf>
    <xf numFmtId="0" fontId="11" fillId="0" borderId="15" xfId="0" applyFont="1" applyBorder="1" applyAlignment="1">
      <alignment horizontal="left"/>
    </xf>
    <xf numFmtId="0" fontId="11" fillId="0" borderId="16" xfId="0" applyFont="1" applyBorder="1" applyAlignment="1">
      <alignment horizontal="left"/>
    </xf>
    <xf numFmtId="0" fontId="12" fillId="0" borderId="11" xfId="0" applyFont="1" applyBorder="1" applyAlignment="1">
      <alignment horizontal="left"/>
    </xf>
    <xf numFmtId="0" fontId="16" fillId="0" borderId="11" xfId="1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11" fillId="0" borderId="38" xfId="0" applyFont="1" applyBorder="1" applyAlignment="1">
      <alignment horizontal="left"/>
    </xf>
    <xf numFmtId="0" fontId="14" fillId="0" borderId="35" xfId="0" applyFont="1" applyBorder="1"/>
    <xf numFmtId="0" fontId="16" fillId="0" borderId="35" xfId="1" applyFont="1" applyBorder="1"/>
    <xf numFmtId="0" fontId="14" fillId="0" borderId="35" xfId="0" applyFont="1" applyBorder="1" applyAlignment="1">
      <alignment horizontal="left"/>
    </xf>
    <xf numFmtId="0" fontId="14" fillId="0" borderId="11" xfId="0" applyFont="1" applyBorder="1"/>
    <xf numFmtId="0" fontId="16" fillId="0" borderId="11" xfId="1" applyFont="1" applyBorder="1"/>
    <xf numFmtId="0" fontId="14" fillId="0" borderId="11" xfId="0" applyFont="1" applyBorder="1" applyAlignment="1">
      <alignment horizontal="left"/>
    </xf>
    <xf numFmtId="0" fontId="3" fillId="0" borderId="41" xfId="0" applyFont="1" applyBorder="1" applyAlignment="1">
      <alignment horizontal="left"/>
    </xf>
    <xf numFmtId="0" fontId="16" fillId="0" borderId="33" xfId="1" applyFont="1" applyBorder="1" applyAlignment="1">
      <alignment horizontal="left"/>
    </xf>
    <xf numFmtId="0" fontId="3" fillId="8" borderId="13" xfId="0" applyFont="1" applyFill="1" applyBorder="1" applyAlignment="1">
      <alignment horizontal="left"/>
    </xf>
    <xf numFmtId="164" fontId="11" fillId="0" borderId="2" xfId="0" applyNumberFormat="1" applyFont="1" applyBorder="1"/>
    <xf numFmtId="0" fontId="14" fillId="0" borderId="2" xfId="0" applyFont="1" applyBorder="1"/>
    <xf numFmtId="0" fontId="14" fillId="0" borderId="3" xfId="0" applyFont="1" applyBorder="1"/>
    <xf numFmtId="0" fontId="14" fillId="0" borderId="50" xfId="0" applyFont="1" applyBorder="1" applyAlignment="1">
      <alignment horizontal="right" vertical="center"/>
    </xf>
    <xf numFmtId="0" fontId="14" fillId="0" borderId="50" xfId="0" applyFont="1" applyBorder="1"/>
    <xf numFmtId="0" fontId="3" fillId="9" borderId="0" xfId="0" applyFont="1" applyFill="1"/>
    <xf numFmtId="164" fontId="3" fillId="7" borderId="20" xfId="0" applyNumberFormat="1" applyFont="1" applyFill="1" applyBorder="1" applyAlignment="1">
      <alignment horizontal="left"/>
    </xf>
    <xf numFmtId="0" fontId="1" fillId="0" borderId="21" xfId="1" applyFill="1" applyBorder="1" applyAlignment="1">
      <alignment horizontal="left"/>
    </xf>
    <xf numFmtId="164" fontId="11" fillId="0" borderId="15" xfId="0" applyNumberFormat="1" applyFont="1" applyBorder="1" applyAlignment="1">
      <alignment horizontal="left"/>
    </xf>
    <xf numFmtId="0" fontId="11" fillId="0" borderId="33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35" xfId="0" applyFont="1" applyBorder="1" applyAlignment="1">
      <alignment horizontal="left"/>
    </xf>
    <xf numFmtId="0" fontId="11" fillId="0" borderId="36" xfId="0" applyFont="1" applyBorder="1" applyAlignment="1">
      <alignment horizontal="left"/>
    </xf>
    <xf numFmtId="0" fontId="23" fillId="0" borderId="15" xfId="0" applyFont="1" applyBorder="1" applyAlignment="1">
      <alignment wrapText="1"/>
    </xf>
    <xf numFmtId="0" fontId="3" fillId="5" borderId="15" xfId="0" applyFont="1" applyFill="1" applyBorder="1" applyAlignment="1">
      <alignment horizontal="right" vertical="center"/>
    </xf>
    <xf numFmtId="0" fontId="3" fillId="5" borderId="15" xfId="0" applyFont="1" applyFill="1" applyBorder="1" applyAlignment="1">
      <alignment horizontal="left" vertical="center"/>
    </xf>
    <xf numFmtId="0" fontId="14" fillId="5" borderId="15" xfId="0" applyFont="1" applyFill="1" applyBorder="1" applyAlignment="1">
      <alignment horizontal="left" vertical="center"/>
    </xf>
    <xf numFmtId="0" fontId="3" fillId="5" borderId="41" xfId="0" applyFont="1" applyFill="1" applyBorder="1"/>
    <xf numFmtId="0" fontId="1" fillId="0" borderId="15" xfId="1" applyFill="1" applyBorder="1" applyAlignment="1">
      <alignment vertical="center"/>
    </xf>
    <xf numFmtId="0" fontId="3" fillId="0" borderId="15" xfId="0" applyFont="1" applyBorder="1" applyAlignment="1">
      <alignment horizontal="left" vertical="center"/>
    </xf>
    <xf numFmtId="0" fontId="14" fillId="0" borderId="33" xfId="0" applyFont="1" applyBorder="1" applyAlignment="1">
      <alignment horizontal="left" vertical="center"/>
    </xf>
    <xf numFmtId="0" fontId="3" fillId="0" borderId="16" xfId="0" applyFont="1" applyBorder="1" applyAlignment="1">
      <alignment horizontal="left"/>
    </xf>
    <xf numFmtId="0" fontId="3" fillId="0" borderId="51" xfId="0" applyFont="1" applyBorder="1" applyAlignment="1">
      <alignment horizontal="left"/>
    </xf>
    <xf numFmtId="164" fontId="11" fillId="6" borderId="6" xfId="0" applyNumberFormat="1" applyFont="1" applyFill="1" applyBorder="1" applyAlignment="1">
      <alignment vertical="center"/>
    </xf>
    <xf numFmtId="164" fontId="11" fillId="7" borderId="5" xfId="0" applyNumberFormat="1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11" fillId="2" borderId="30" xfId="0" applyFont="1" applyFill="1" applyBorder="1"/>
    <xf numFmtId="0" fontId="12" fillId="0" borderId="20" xfId="0" applyFont="1" applyBorder="1"/>
    <xf numFmtId="164" fontId="3" fillId="7" borderId="19" xfId="0" applyNumberFormat="1" applyFont="1" applyFill="1" applyBorder="1" applyAlignment="1">
      <alignment horizontal="right" vertical="center"/>
    </xf>
    <xf numFmtId="0" fontId="3" fillId="0" borderId="20" xfId="0" applyFont="1" applyBorder="1" applyAlignment="1">
      <alignment horizontal="left"/>
    </xf>
    <xf numFmtId="0" fontId="16" fillId="5" borderId="15" xfId="1" applyFont="1" applyFill="1" applyBorder="1"/>
    <xf numFmtId="164" fontId="3" fillId="7" borderId="41" xfId="0" applyNumberFormat="1" applyFont="1" applyFill="1" applyBorder="1" applyAlignment="1">
      <alignment horizontal="left"/>
    </xf>
    <xf numFmtId="0" fontId="17" fillId="0" borderId="41" xfId="0" applyFont="1" applyBorder="1" applyAlignment="1">
      <alignment horizontal="left"/>
    </xf>
    <xf numFmtId="0" fontId="16" fillId="5" borderId="0" xfId="1" applyFont="1" applyFill="1" applyBorder="1" applyAlignment="1">
      <alignment horizontal="left"/>
    </xf>
    <xf numFmtId="0" fontId="16" fillId="5" borderId="11" xfId="1" applyFont="1" applyFill="1" applyBorder="1"/>
    <xf numFmtId="0" fontId="14" fillId="5" borderId="4" xfId="0" applyFont="1" applyFill="1" applyBorder="1" applyAlignment="1">
      <alignment horizontal="left"/>
    </xf>
    <xf numFmtId="0" fontId="12" fillId="0" borderId="0" xfId="0" applyFont="1"/>
    <xf numFmtId="0" fontId="16" fillId="5" borderId="41" xfId="1" applyFont="1" applyFill="1" applyBorder="1"/>
    <xf numFmtId="0" fontId="3" fillId="5" borderId="41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1" fillId="0" borderId="6" xfId="0" applyFont="1" applyBorder="1" applyAlignment="1">
      <alignment horizontal="left"/>
    </xf>
    <xf numFmtId="164" fontId="11" fillId="0" borderId="15" xfId="0" applyNumberFormat="1" applyFont="1" applyBorder="1" applyAlignment="1">
      <alignment horizontal="right" vertical="center"/>
    </xf>
    <xf numFmtId="0" fontId="11" fillId="5" borderId="15" xfId="0" applyFont="1" applyFill="1" applyBorder="1"/>
    <xf numFmtId="0" fontId="11" fillId="5" borderId="16" xfId="0" applyFont="1" applyFill="1" applyBorder="1"/>
    <xf numFmtId="164" fontId="11" fillId="0" borderId="11" xfId="0" applyNumberFormat="1" applyFont="1" applyBorder="1" applyAlignment="1">
      <alignment horizontal="right" vertical="center"/>
    </xf>
    <xf numFmtId="0" fontId="14" fillId="5" borderId="11" xfId="0" applyFont="1" applyFill="1" applyBorder="1"/>
    <xf numFmtId="0" fontId="3" fillId="5" borderId="11" xfId="0" applyFont="1" applyFill="1" applyBorder="1"/>
    <xf numFmtId="0" fontId="11" fillId="5" borderId="11" xfId="0" applyFont="1" applyFill="1" applyBorder="1"/>
    <xf numFmtId="0" fontId="11" fillId="5" borderId="12" xfId="0" applyFont="1" applyFill="1" applyBorder="1"/>
    <xf numFmtId="0" fontId="11" fillId="5" borderId="51" xfId="0" applyFont="1" applyFill="1" applyBorder="1"/>
    <xf numFmtId="0" fontId="14" fillId="5" borderId="35" xfId="0" applyFont="1" applyFill="1" applyBorder="1"/>
    <xf numFmtId="0" fontId="14" fillId="0" borderId="20" xfId="0" applyFont="1" applyBorder="1" applyAlignment="1">
      <alignment horizontal="left"/>
    </xf>
    <xf numFmtId="0" fontId="16" fillId="0" borderId="15" xfId="1" applyFont="1" applyBorder="1"/>
    <xf numFmtId="0" fontId="12" fillId="5" borderId="20" xfId="0" applyFont="1" applyFill="1" applyBorder="1" applyAlignment="1">
      <alignment horizontal="left"/>
    </xf>
    <xf numFmtId="0" fontId="1" fillId="0" borderId="21" xfId="1" applyFill="1" applyBorder="1"/>
    <xf numFmtId="0" fontId="11" fillId="5" borderId="19" xfId="0" applyFont="1" applyFill="1" applyBorder="1"/>
    <xf numFmtId="0" fontId="11" fillId="5" borderId="0" xfId="0" applyFont="1" applyFill="1" applyAlignment="1">
      <alignment horizontal="left"/>
    </xf>
    <xf numFmtId="0" fontId="3" fillId="0" borderId="35" xfId="0" applyFont="1" applyBorder="1"/>
    <xf numFmtId="0" fontId="14" fillId="0" borderId="41" xfId="0" applyFont="1" applyBorder="1"/>
    <xf numFmtId="164" fontId="11" fillId="5" borderId="35" xfId="0" applyNumberFormat="1" applyFont="1" applyFill="1" applyBorder="1" applyAlignment="1">
      <alignment horizontal="right" vertical="center"/>
    </xf>
    <xf numFmtId="164" fontId="11" fillId="5" borderId="36" xfId="0" applyNumberFormat="1" applyFont="1" applyFill="1" applyBorder="1"/>
    <xf numFmtId="164" fontId="11" fillId="8" borderId="6" xfId="0" applyNumberFormat="1" applyFont="1" applyFill="1" applyBorder="1"/>
    <xf numFmtId="0" fontId="24" fillId="2" borderId="1" xfId="0" applyFont="1" applyFill="1" applyBorder="1"/>
    <xf numFmtId="0" fontId="14" fillId="0" borderId="51" xfId="0" applyFont="1" applyBorder="1"/>
    <xf numFmtId="0" fontId="16" fillId="5" borderId="15" xfId="1" applyFont="1" applyFill="1" applyBorder="1" applyAlignment="1">
      <alignment vertical="center"/>
    </xf>
    <xf numFmtId="0" fontId="14" fillId="5" borderId="15" xfId="0" applyFont="1" applyFill="1" applyBorder="1" applyAlignment="1">
      <alignment horizontal="right" vertical="center"/>
    </xf>
    <xf numFmtId="0" fontId="14" fillId="5" borderId="15" xfId="0" applyFont="1" applyFill="1" applyBorder="1" applyAlignment="1">
      <alignment vertical="center"/>
    </xf>
    <xf numFmtId="0" fontId="14" fillId="5" borderId="11" xfId="0" applyFont="1" applyFill="1" applyBorder="1" applyAlignment="1">
      <alignment horizontal="right" vertical="center"/>
    </xf>
    <xf numFmtId="0" fontId="14" fillId="5" borderId="11" xfId="0" applyFont="1" applyFill="1" applyBorder="1" applyAlignment="1">
      <alignment vertical="center"/>
    </xf>
    <xf numFmtId="0" fontId="3" fillId="5" borderId="11" xfId="0" applyFont="1" applyFill="1" applyBorder="1" applyAlignment="1">
      <alignment horizontal="left" vertical="center"/>
    </xf>
    <xf numFmtId="0" fontId="14" fillId="5" borderId="11" xfId="0" applyFont="1" applyFill="1" applyBorder="1" applyAlignment="1">
      <alignment horizontal="left" vertical="center"/>
    </xf>
    <xf numFmtId="164" fontId="11" fillId="7" borderId="35" xfId="0" applyNumberFormat="1" applyFont="1" applyFill="1" applyBorder="1" applyAlignment="1">
      <alignment vertical="center"/>
    </xf>
    <xf numFmtId="0" fontId="12" fillId="5" borderId="35" xfId="0" applyFont="1" applyFill="1" applyBorder="1" applyAlignment="1">
      <alignment vertical="center"/>
    </xf>
    <xf numFmtId="0" fontId="12" fillId="5" borderId="35" xfId="0" applyFont="1" applyFill="1" applyBorder="1" applyAlignment="1">
      <alignment horizontal="left"/>
    </xf>
    <xf numFmtId="0" fontId="8" fillId="5" borderId="35" xfId="0" applyFont="1" applyFill="1" applyBorder="1" applyAlignment="1">
      <alignment horizontal="left"/>
    </xf>
    <xf numFmtId="0" fontId="3" fillId="5" borderId="35" xfId="0" applyFont="1" applyFill="1" applyBorder="1"/>
    <xf numFmtId="0" fontId="14" fillId="5" borderId="51" xfId="0" applyFont="1" applyFill="1" applyBorder="1"/>
    <xf numFmtId="164" fontId="24" fillId="2" borderId="1" xfId="0" applyNumberFormat="1" applyFont="1" applyFill="1" applyBorder="1"/>
    <xf numFmtId="164" fontId="11" fillId="7" borderId="0" xfId="0" applyNumberFormat="1" applyFont="1" applyFill="1"/>
    <xf numFmtId="0" fontId="7" fillId="2" borderId="27" xfId="0" applyFont="1" applyFill="1" applyBorder="1"/>
    <xf numFmtId="0" fontId="1" fillId="5" borderId="20" xfId="1" applyFill="1" applyBorder="1"/>
    <xf numFmtId="0" fontId="14" fillId="5" borderId="20" xfId="0" applyFont="1" applyFill="1" applyBorder="1" applyAlignment="1">
      <alignment horizontal="right" vertical="center"/>
    </xf>
    <xf numFmtId="0" fontId="25" fillId="0" borderId="0" xfId="0" applyFont="1"/>
    <xf numFmtId="0" fontId="14" fillId="0" borderId="53" xfId="0" applyFont="1" applyBorder="1"/>
    <xf numFmtId="164" fontId="11" fillId="7" borderId="45" xfId="0" applyNumberFormat="1" applyFont="1" applyFill="1" applyBorder="1" applyAlignment="1">
      <alignment horizontal="right" vertical="center"/>
    </xf>
    <xf numFmtId="164" fontId="11" fillId="7" borderId="46" xfId="0" applyNumberFormat="1" applyFont="1" applyFill="1" applyBorder="1" applyAlignment="1">
      <alignment horizontal="right" vertical="center"/>
    </xf>
    <xf numFmtId="0" fontId="16" fillId="0" borderId="46" xfId="1" applyFont="1" applyBorder="1"/>
    <xf numFmtId="0" fontId="3" fillId="0" borderId="46" xfId="0" applyFont="1" applyBorder="1"/>
    <xf numFmtId="0" fontId="14" fillId="0" borderId="46" xfId="0" applyFont="1" applyBorder="1"/>
    <xf numFmtId="0" fontId="14" fillId="0" borderId="40" xfId="0" applyFont="1" applyBorder="1"/>
    <xf numFmtId="0" fontId="1" fillId="0" borderId="0" xfId="1"/>
    <xf numFmtId="0" fontId="1" fillId="0" borderId="20" xfId="1" applyBorder="1" applyAlignment="1">
      <alignment horizontal="left"/>
    </xf>
    <xf numFmtId="0" fontId="1" fillId="0" borderId="15" xfId="1" applyBorder="1" applyAlignment="1">
      <alignment horizontal="left"/>
    </xf>
    <xf numFmtId="0" fontId="1" fillId="0" borderId="35" xfId="1" applyBorder="1" applyAlignment="1">
      <alignment horizontal="left"/>
    </xf>
    <xf numFmtId="0" fontId="13" fillId="0" borderId="37" xfId="0" applyFont="1" applyBorder="1"/>
    <xf numFmtId="0" fontId="13" fillId="0" borderId="9" xfId="0" applyFont="1" applyBorder="1"/>
    <xf numFmtId="0" fontId="1" fillId="0" borderId="8" xfId="1" applyBorder="1" applyAlignment="1"/>
    <xf numFmtId="0" fontId="13" fillId="0" borderId="36" xfId="0" applyFont="1" applyBorder="1" applyAlignment="1">
      <alignment vertical="top"/>
    </xf>
    <xf numFmtId="0" fontId="13" fillId="0" borderId="38" xfId="0" applyFont="1" applyBorder="1" applyAlignment="1">
      <alignment vertical="top"/>
    </xf>
    <xf numFmtId="0" fontId="13" fillId="0" borderId="49" xfId="0" applyFont="1" applyBorder="1"/>
    <xf numFmtId="0" fontId="13" fillId="0" borderId="3" xfId="0" applyFont="1" applyBorder="1"/>
    <xf numFmtId="0" fontId="1" fillId="0" borderId="21" xfId="1" applyFill="1" applyBorder="1" applyAlignment="1"/>
    <xf numFmtId="0" fontId="21" fillId="0" borderId="0" xfId="0" applyFont="1"/>
    <xf numFmtId="164" fontId="3" fillId="10" borderId="20" xfId="0" applyNumberFormat="1" applyFont="1" applyFill="1" applyBorder="1"/>
    <xf numFmtId="44" fontId="11" fillId="6" borderId="25" xfId="0" applyNumberFormat="1" applyFont="1" applyFill="1" applyBorder="1" applyAlignment="1">
      <alignment horizontal="right" vertical="center"/>
    </xf>
    <xf numFmtId="0" fontId="19" fillId="8" borderId="25" xfId="0" applyFont="1" applyFill="1" applyBorder="1" applyAlignment="1">
      <alignment horizontal="left"/>
    </xf>
    <xf numFmtId="0" fontId="23" fillId="0" borderId="11" xfId="0" applyFont="1" applyBorder="1"/>
    <xf numFmtId="0" fontId="3" fillId="0" borderId="8" xfId="0" applyFont="1" applyBorder="1"/>
    <xf numFmtId="0" fontId="13" fillId="0" borderId="4" xfId="0" applyFont="1" applyBorder="1"/>
    <xf numFmtId="0" fontId="3" fillId="0" borderId="28" xfId="0" applyFont="1" applyBorder="1"/>
    <xf numFmtId="0" fontId="19" fillId="8" borderId="18" xfId="0" applyFont="1" applyFill="1" applyBorder="1" applyAlignment="1">
      <alignment horizontal="left"/>
    </xf>
    <xf numFmtId="0" fontId="3" fillId="11" borderId="6" xfId="0" applyFont="1" applyFill="1" applyBorder="1" applyAlignment="1">
      <alignment horizontal="left"/>
    </xf>
    <xf numFmtId="0" fontId="15" fillId="0" borderId="11" xfId="0" applyFont="1" applyBorder="1" applyAlignment="1">
      <alignment horizontal="left"/>
    </xf>
    <xf numFmtId="0" fontId="15" fillId="0" borderId="15" xfId="0" applyFont="1" applyBorder="1" applyAlignment="1">
      <alignment horizontal="left"/>
    </xf>
    <xf numFmtId="0" fontId="15" fillId="0" borderId="35" xfId="0" applyFont="1" applyBorder="1" applyAlignment="1">
      <alignment horizontal="left"/>
    </xf>
    <xf numFmtId="0" fontId="15" fillId="0" borderId="20" xfId="0" applyFont="1" applyBorder="1" applyAlignment="1">
      <alignment horizontal="left"/>
    </xf>
    <xf numFmtId="0" fontId="15" fillId="0" borderId="19" xfId="0" applyFont="1" applyBorder="1" applyAlignment="1">
      <alignment horizontal="left"/>
    </xf>
    <xf numFmtId="0" fontId="15" fillId="5" borderId="15" xfId="0" applyFont="1" applyFill="1" applyBorder="1" applyAlignment="1">
      <alignment horizontal="left"/>
    </xf>
    <xf numFmtId="0" fontId="15" fillId="0" borderId="0" xfId="0" applyFont="1" applyAlignment="1">
      <alignment horizontal="left"/>
    </xf>
    <xf numFmtId="164" fontId="1" fillId="0" borderId="43" xfId="1" applyNumberFormat="1" applyBorder="1" applyAlignment="1">
      <alignment vertical="center"/>
    </xf>
    <xf numFmtId="0" fontId="1" fillId="0" borderId="20" xfId="1" applyBorder="1"/>
    <xf numFmtId="0" fontId="15" fillId="0" borderId="20" xfId="0" applyFont="1" applyBorder="1" applyAlignment="1">
      <alignment vertical="center"/>
    </xf>
    <xf numFmtId="0" fontId="15" fillId="5" borderId="11" xfId="0" applyFont="1" applyFill="1" applyBorder="1" applyAlignment="1">
      <alignment horizontal="left"/>
    </xf>
    <xf numFmtId="0" fontId="15" fillId="5" borderId="46" xfId="0" applyFont="1" applyFill="1" applyBorder="1" applyAlignment="1">
      <alignment horizontal="left"/>
    </xf>
    <xf numFmtId="0" fontId="15" fillId="0" borderId="46" xfId="0" applyFont="1" applyBorder="1" applyAlignment="1">
      <alignment horizontal="left"/>
    </xf>
    <xf numFmtId="0" fontId="23" fillId="0" borderId="15" xfId="0" applyFont="1" applyBorder="1" applyAlignment="1">
      <alignment horizontal="left"/>
    </xf>
    <xf numFmtId="0" fontId="1" fillId="0" borderId="11" xfId="1" applyBorder="1"/>
    <xf numFmtId="0" fontId="15" fillId="0" borderId="33" xfId="0" applyFont="1" applyBorder="1" applyAlignment="1">
      <alignment horizontal="left"/>
    </xf>
    <xf numFmtId="0" fontId="3" fillId="12" borderId="0" xfId="0" applyFont="1" applyFill="1"/>
    <xf numFmtId="0" fontId="19" fillId="11" borderId="25" xfId="0" applyFont="1" applyFill="1" applyBorder="1" applyAlignment="1">
      <alignment horizontal="left"/>
    </xf>
    <xf numFmtId="0" fontId="23" fillId="0" borderId="20" xfId="0" applyFont="1" applyBorder="1" applyAlignment="1">
      <alignment horizontal="left"/>
    </xf>
    <xf numFmtId="0" fontId="23" fillId="0" borderId="21" xfId="0" applyFont="1" applyBorder="1" applyAlignment="1">
      <alignment horizontal="left"/>
    </xf>
    <xf numFmtId="0" fontId="23" fillId="0" borderId="11" xfId="0" applyFont="1" applyBorder="1" applyAlignment="1">
      <alignment horizontal="left"/>
    </xf>
    <xf numFmtId="0" fontId="3" fillId="11" borderId="6" xfId="0" applyFont="1" applyFill="1" applyBorder="1" applyAlignment="1">
      <alignment vertical="center"/>
    </xf>
    <xf numFmtId="0" fontId="15" fillId="5" borderId="20" xfId="0" applyFont="1" applyFill="1" applyBorder="1" applyAlignment="1">
      <alignment horizontal="left"/>
    </xf>
    <xf numFmtId="0" fontId="1" fillId="5" borderId="4" xfId="1" applyFill="1" applyBorder="1"/>
    <xf numFmtId="0" fontId="1" fillId="5" borderId="4" xfId="1" applyFill="1" applyBorder="1" applyAlignment="1">
      <alignment horizontal="left"/>
    </xf>
    <xf numFmtId="164" fontId="11" fillId="10" borderId="11" xfId="0" applyNumberFormat="1" applyFont="1" applyFill="1" applyBorder="1" applyAlignment="1">
      <alignment horizontal="right" vertical="center"/>
    </xf>
    <xf numFmtId="0" fontId="1" fillId="0" borderId="35" xfId="1" applyBorder="1"/>
    <xf numFmtId="0" fontId="19" fillId="0" borderId="9" xfId="0" applyFont="1" applyBorder="1"/>
    <xf numFmtId="0" fontId="13" fillId="5" borderId="51" xfId="0" applyFont="1" applyFill="1" applyBorder="1" applyAlignment="1">
      <alignment vertical="center"/>
    </xf>
    <xf numFmtId="0" fontId="3" fillId="0" borderId="22" xfId="0" applyFont="1" applyBorder="1"/>
    <xf numFmtId="0" fontId="3" fillId="0" borderId="16" xfId="0" applyFont="1" applyBorder="1"/>
    <xf numFmtId="0" fontId="3" fillId="0" borderId="15" xfId="0" applyFont="1" applyBorder="1"/>
    <xf numFmtId="0" fontId="8" fillId="0" borderId="52" xfId="0" applyFont="1" applyBorder="1"/>
    <xf numFmtId="0" fontId="1" fillId="5" borderId="35" xfId="1" applyFill="1" applyBorder="1" applyAlignment="1">
      <alignment vertical="center"/>
    </xf>
    <xf numFmtId="0" fontId="1" fillId="5" borderId="35" xfId="1" applyFill="1" applyBorder="1" applyAlignment="1">
      <alignment horizontal="left"/>
    </xf>
    <xf numFmtId="0" fontId="1" fillId="5" borderId="35" xfId="1" applyFill="1" applyBorder="1"/>
    <xf numFmtId="0" fontId="3" fillId="2" borderId="56" xfId="0" applyFont="1" applyFill="1" applyBorder="1"/>
    <xf numFmtId="0" fontId="3" fillId="2" borderId="55" xfId="0" applyFont="1" applyFill="1" applyBorder="1"/>
    <xf numFmtId="0" fontId="16" fillId="0" borderId="49" xfId="1" applyFont="1" applyBorder="1" applyAlignment="1"/>
    <xf numFmtId="0" fontId="16" fillId="0" borderId="3" xfId="1" applyFont="1" applyBorder="1" applyAlignment="1"/>
    <xf numFmtId="0" fontId="1" fillId="0" borderId="2" xfId="1" applyBorder="1" applyAlignment="1"/>
    <xf numFmtId="0" fontId="1" fillId="0" borderId="3" xfId="1" applyBorder="1" applyAlignment="1"/>
    <xf numFmtId="0" fontId="19" fillId="0" borderId="28" xfId="0" applyFont="1" applyBorder="1"/>
    <xf numFmtId="0" fontId="19" fillId="0" borderId="29" xfId="0" applyFont="1" applyBorder="1"/>
    <xf numFmtId="0" fontId="13" fillId="0" borderId="49" xfId="0" applyFont="1" applyBorder="1"/>
    <xf numFmtId="0" fontId="0" fillId="0" borderId="0" xfId="0"/>
    <xf numFmtId="0" fontId="0" fillId="0" borderId="0" xfId="0"/>
    <xf numFmtId="0" fontId="23" fillId="0" borderId="15" xfId="0" applyFont="1" applyBorder="1"/>
    <xf numFmtId="0" fontId="0" fillId="0" borderId="0" xfId="0"/>
    <xf numFmtId="0" fontId="19" fillId="0" borderId="2" xfId="0" applyFont="1" applyBorder="1" applyAlignment="1"/>
    <xf numFmtId="0" fontId="19" fillId="0" borderId="3" xfId="0" applyFont="1" applyBorder="1" applyAlignment="1"/>
    <xf numFmtId="0" fontId="8" fillId="13" borderId="27" xfId="0" applyFont="1" applyFill="1" applyBorder="1"/>
    <xf numFmtId="0" fontId="0" fillId="0" borderId="0" xfId="0"/>
    <xf numFmtId="0" fontId="3" fillId="0" borderId="2" xfId="0" applyFont="1" applyBorder="1"/>
    <xf numFmtId="0" fontId="3" fillId="8" borderId="41" xfId="0" applyFont="1" applyFill="1" applyBorder="1" applyAlignment="1">
      <alignment horizontal="left"/>
    </xf>
    <xf numFmtId="0" fontId="3" fillId="0" borderId="57" xfId="0" applyFont="1" applyBorder="1"/>
    <xf numFmtId="0" fontId="3" fillId="0" borderId="28" xfId="0" applyFont="1" applyBorder="1" applyAlignment="1">
      <alignment horizontal="left"/>
    </xf>
    <xf numFmtId="0" fontId="3" fillId="0" borderId="29" xfId="0" applyFont="1" applyBorder="1" applyAlignment="1">
      <alignment horizontal="left" vertical="top"/>
    </xf>
    <xf numFmtId="164" fontId="3" fillId="6" borderId="56" xfId="0" applyNumberFormat="1" applyFont="1" applyFill="1" applyBorder="1" applyAlignment="1">
      <alignment horizontal="right" vertical="center"/>
    </xf>
    <xf numFmtId="164" fontId="11" fillId="7" borderId="0" xfId="0" applyNumberFormat="1" applyFont="1" applyFill="1" applyBorder="1" applyAlignment="1">
      <alignment horizontal="right" vertical="center"/>
    </xf>
    <xf numFmtId="0" fontId="15" fillId="0" borderId="0" xfId="0" applyFont="1" applyBorder="1" applyAlignment="1">
      <alignment horizontal="left"/>
    </xf>
    <xf numFmtId="0" fontId="16" fillId="0" borderId="0" xfId="1" applyFont="1" applyBorder="1"/>
    <xf numFmtId="0" fontId="12" fillId="0" borderId="0" xfId="0" applyFont="1" applyBorder="1"/>
    <xf numFmtId="0" fontId="3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8" fillId="2" borderId="58" xfId="0" applyFont="1" applyFill="1" applyBorder="1"/>
    <xf numFmtId="0" fontId="3" fillId="5" borderId="27" xfId="0" applyFont="1" applyFill="1" applyBorder="1" applyAlignment="1">
      <alignment horizontal="center" vertical="center"/>
    </xf>
    <xf numFmtId="164" fontId="11" fillId="6" borderId="59" xfId="0" applyNumberFormat="1" applyFont="1" applyFill="1" applyBorder="1" applyAlignment="1">
      <alignment horizontal="right" vertical="center"/>
    </xf>
    <xf numFmtId="164" fontId="3" fillId="7" borderId="0" xfId="0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top"/>
    </xf>
    <xf numFmtId="0" fontId="1" fillId="0" borderId="0" xfId="1" applyBorder="1" applyAlignment="1">
      <alignment horizontal="left"/>
    </xf>
    <xf numFmtId="0" fontId="19" fillId="0" borderId="20" xfId="0" applyFont="1" applyBorder="1" applyAlignment="1">
      <alignment horizontal="left"/>
    </xf>
    <xf numFmtId="0" fontId="1" fillId="5" borderId="0" xfId="1" applyFill="1" applyBorder="1"/>
    <xf numFmtId="0" fontId="14" fillId="5" borderId="0" xfId="0" applyFont="1" applyFill="1" applyBorder="1"/>
    <xf numFmtId="0" fontId="3" fillId="5" borderId="0" xfId="0" applyFont="1" applyFill="1" applyBorder="1"/>
    <xf numFmtId="164" fontId="1" fillId="0" borderId="63" xfId="1" applyNumberFormat="1" applyBorder="1" applyAlignment="1">
      <alignment vertical="center"/>
    </xf>
    <xf numFmtId="0" fontId="3" fillId="0" borderId="23" xfId="0" applyFont="1" applyBorder="1"/>
    <xf numFmtId="0" fontId="0" fillId="0" borderId="0" xfId="0"/>
    <xf numFmtId="0" fontId="17" fillId="2" borderId="58" xfId="0" applyFont="1" applyFill="1" applyBorder="1"/>
    <xf numFmtId="0" fontId="8" fillId="2" borderId="57" xfId="0" applyFont="1" applyFill="1" applyBorder="1"/>
    <xf numFmtId="164" fontId="11" fillId="6" borderId="1" xfId="0" applyNumberFormat="1" applyFont="1" applyFill="1" applyBorder="1" applyAlignment="1">
      <alignment horizontal="right" vertical="center"/>
    </xf>
    <xf numFmtId="0" fontId="15" fillId="5" borderId="0" xfId="0" applyFont="1" applyFill="1" applyBorder="1" applyAlignment="1">
      <alignment horizontal="left"/>
    </xf>
    <xf numFmtId="0" fontId="13" fillId="5" borderId="0" xfId="0" applyFont="1" applyFill="1" applyBorder="1"/>
    <xf numFmtId="0" fontId="1" fillId="0" borderId="0" xfId="1" applyFill="1" applyBorder="1"/>
    <xf numFmtId="0" fontId="3" fillId="5" borderId="0" xfId="0" applyFont="1" applyFill="1" applyBorder="1" applyAlignment="1">
      <alignment horizontal="left"/>
    </xf>
    <xf numFmtId="0" fontId="14" fillId="5" borderId="0" xfId="0" applyFont="1" applyFill="1" applyBorder="1" applyAlignment="1">
      <alignment horizontal="left"/>
    </xf>
    <xf numFmtId="0" fontId="11" fillId="5" borderId="0" xfId="0" applyFont="1" applyFill="1" applyBorder="1" applyAlignment="1">
      <alignment horizontal="center"/>
    </xf>
    <xf numFmtId="0" fontId="26" fillId="0" borderId="0" xfId="0" applyFont="1"/>
    <xf numFmtId="0" fontId="3" fillId="0" borderId="29" xfId="0" applyFont="1" applyBorder="1"/>
    <xf numFmtId="164" fontId="11" fillId="6" borderId="30" xfId="0" applyNumberFormat="1" applyFont="1" applyFill="1" applyBorder="1" applyAlignment="1">
      <alignment horizontal="right" vertical="center"/>
    </xf>
    <xf numFmtId="164" fontId="11" fillId="7" borderId="31" xfId="0" applyNumberFormat="1" applyFont="1" applyFill="1" applyBorder="1" applyAlignment="1">
      <alignment horizontal="right" vertical="center"/>
    </xf>
    <xf numFmtId="0" fontId="23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4" fillId="5" borderId="19" xfId="0" applyFont="1" applyFill="1" applyBorder="1"/>
    <xf numFmtId="0" fontId="3" fillId="0" borderId="64" xfId="0" applyFont="1" applyBorder="1"/>
    <xf numFmtId="0" fontId="15" fillId="0" borderId="0" xfId="0" applyFont="1" applyBorder="1" applyAlignment="1">
      <alignment vertical="center"/>
    </xf>
    <xf numFmtId="0" fontId="1" fillId="0" borderId="0" xfId="1" applyFill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27" fillId="0" borderId="11" xfId="0" applyFont="1" applyFill="1" applyBorder="1" applyAlignment="1">
      <alignment horizontal="left"/>
    </xf>
    <xf numFmtId="0" fontId="16" fillId="5" borderId="0" xfId="1" applyFont="1" applyFill="1" applyBorder="1"/>
    <xf numFmtId="0" fontId="23" fillId="0" borderId="0" xfId="0" applyFont="1"/>
    <xf numFmtId="164" fontId="11" fillId="6" borderId="56" xfId="0" applyNumberFormat="1" applyFont="1" applyFill="1" applyBorder="1" applyAlignment="1">
      <alignment horizontal="right" vertical="center"/>
    </xf>
    <xf numFmtId="164" fontId="3" fillId="7" borderId="0" xfId="0" applyNumberFormat="1" applyFont="1" applyFill="1" applyBorder="1" applyAlignment="1">
      <alignment horizontal="left"/>
    </xf>
    <xf numFmtId="0" fontId="8" fillId="0" borderId="20" xfId="0" applyFont="1" applyBorder="1"/>
    <xf numFmtId="0" fontId="0" fillId="0" borderId="0" xfId="0"/>
    <xf numFmtId="164" fontId="3" fillId="6" borderId="59" xfId="0" applyNumberFormat="1" applyFont="1" applyFill="1" applyBorder="1" applyAlignment="1">
      <alignment horizontal="right" vertical="center"/>
    </xf>
    <xf numFmtId="0" fontId="1" fillId="0" borderId="0" xfId="1" applyBorder="1"/>
    <xf numFmtId="0" fontId="1" fillId="0" borderId="0" xfId="1" applyBorder="1" applyAlignment="1"/>
    <xf numFmtId="0" fontId="13" fillId="0" borderId="41" xfId="0" applyFont="1" applyBorder="1"/>
    <xf numFmtId="0" fontId="15" fillId="0" borderId="15" xfId="0" applyFont="1" applyBorder="1"/>
    <xf numFmtId="0" fontId="13" fillId="0" borderId="0" xfId="0" applyFont="1" applyBorder="1" applyAlignment="1">
      <alignment vertical="top"/>
    </xf>
    <xf numFmtId="0" fontId="17" fillId="0" borderId="0" xfId="0" applyFont="1" applyBorder="1" applyAlignment="1">
      <alignment vertical="top"/>
    </xf>
    <xf numFmtId="0" fontId="0" fillId="0" borderId="0" xfId="0"/>
    <xf numFmtId="0" fontId="28" fillId="0" borderId="0" xfId="0" applyFont="1"/>
    <xf numFmtId="0" fontId="3" fillId="11" borderId="0" xfId="0" applyFont="1" applyFill="1" applyBorder="1" applyAlignment="1">
      <alignment horizontal="left"/>
    </xf>
    <xf numFmtId="0" fontId="3" fillId="0" borderId="36" xfId="0" applyFont="1" applyBorder="1" applyAlignment="1">
      <alignment horizontal="left"/>
    </xf>
    <xf numFmtId="0" fontId="3" fillId="8" borderId="0" xfId="0" applyFont="1" applyFill="1" applyBorder="1" applyAlignment="1">
      <alignment horizontal="left"/>
    </xf>
    <xf numFmtId="0" fontId="14" fillId="5" borderId="0" xfId="0" applyFont="1" applyFill="1" applyBorder="1" applyAlignment="1">
      <alignment horizontal="right" vertical="center"/>
    </xf>
    <xf numFmtId="0" fontId="0" fillId="14" borderId="0" xfId="0" applyFill="1"/>
    <xf numFmtId="164" fontId="3" fillId="6" borderId="1" xfId="0" applyNumberFormat="1" applyFont="1" applyFill="1" applyBorder="1" applyAlignment="1">
      <alignment vertical="center"/>
    </xf>
    <xf numFmtId="164" fontId="3" fillId="7" borderId="31" xfId="0" applyNumberFormat="1" applyFont="1" applyFill="1" applyBorder="1" applyAlignment="1">
      <alignment vertical="center"/>
    </xf>
    <xf numFmtId="164" fontId="3" fillId="0" borderId="31" xfId="0" applyNumberFormat="1" applyFont="1" applyBorder="1" applyAlignment="1">
      <alignment vertical="center"/>
    </xf>
    <xf numFmtId="0" fontId="0" fillId="0" borderId="0" xfId="0"/>
    <xf numFmtId="0" fontId="30" fillId="5" borderId="0" xfId="0" applyFont="1" applyFill="1"/>
    <xf numFmtId="164" fontId="30" fillId="6" borderId="6" xfId="0" applyNumberFormat="1" applyFont="1" applyFill="1" applyBorder="1" applyAlignment="1">
      <alignment horizontal="right" vertical="center"/>
    </xf>
    <xf numFmtId="164" fontId="31" fillId="7" borderId="32" xfId="0" applyNumberFormat="1" applyFont="1" applyFill="1" applyBorder="1" applyAlignment="1">
      <alignment horizontal="right" vertical="center"/>
    </xf>
    <xf numFmtId="0" fontId="1" fillId="0" borderId="15" xfId="1" applyBorder="1"/>
    <xf numFmtId="164" fontId="31" fillId="7" borderId="11" xfId="0" applyNumberFormat="1" applyFont="1" applyFill="1" applyBorder="1" applyAlignment="1">
      <alignment horizontal="right" vertical="center"/>
    </xf>
    <xf numFmtId="44" fontId="30" fillId="0" borderId="15" xfId="2" applyFont="1" applyBorder="1" applyAlignment="1">
      <alignment horizontal="left"/>
    </xf>
    <xf numFmtId="0" fontId="30" fillId="0" borderId="15" xfId="0" applyFont="1" applyBorder="1" applyAlignment="1">
      <alignment horizontal="left"/>
    </xf>
    <xf numFmtId="0" fontId="32" fillId="0" borderId="15" xfId="0" applyFont="1" applyBorder="1" applyAlignment="1">
      <alignment horizontal="left"/>
    </xf>
    <xf numFmtId="0" fontId="30" fillId="0" borderId="16" xfId="0" applyFont="1" applyBorder="1" applyAlignment="1">
      <alignment horizontal="left"/>
    </xf>
    <xf numFmtId="0" fontId="30" fillId="0" borderId="11" xfId="0" applyFont="1" applyBorder="1" applyAlignment="1">
      <alignment horizontal="left"/>
    </xf>
    <xf numFmtId="44" fontId="30" fillId="0" borderId="11" xfId="2" applyFont="1" applyBorder="1" applyAlignment="1">
      <alignment horizontal="left"/>
    </xf>
    <xf numFmtId="0" fontId="32" fillId="0" borderId="11" xfId="0" applyFont="1" applyBorder="1" applyAlignment="1">
      <alignment horizontal="left"/>
    </xf>
    <xf numFmtId="0" fontId="30" fillId="0" borderId="12" xfId="0" applyFont="1" applyBorder="1" applyAlignment="1">
      <alignment horizontal="left"/>
    </xf>
    <xf numFmtId="44" fontId="30" fillId="0" borderId="35" xfId="2" applyFont="1" applyBorder="1" applyAlignment="1">
      <alignment horizontal="left"/>
    </xf>
    <xf numFmtId="0" fontId="30" fillId="0" borderId="35" xfId="0" applyFont="1" applyBorder="1" applyAlignment="1">
      <alignment horizontal="left"/>
    </xf>
    <xf numFmtId="0" fontId="32" fillId="0" borderId="35" xfId="0" applyFont="1" applyBorder="1" applyAlignment="1">
      <alignment horizontal="left"/>
    </xf>
    <xf numFmtId="0" fontId="30" fillId="0" borderId="51" xfId="0" applyFont="1" applyBorder="1" applyAlignment="1">
      <alignment horizontal="left"/>
    </xf>
    <xf numFmtId="164" fontId="31" fillId="7" borderId="19" xfId="0" applyNumberFormat="1" applyFont="1" applyFill="1" applyBorder="1" applyAlignment="1">
      <alignment horizontal="right" vertical="center"/>
    </xf>
    <xf numFmtId="164" fontId="31" fillId="6" borderId="6" xfId="0" applyNumberFormat="1" applyFont="1" applyFill="1" applyBorder="1" applyAlignment="1">
      <alignment horizontal="right" vertical="center"/>
    </xf>
    <xf numFmtId="164" fontId="31" fillId="7" borderId="34" xfId="0" applyNumberFormat="1" applyFont="1" applyFill="1" applyBorder="1" applyAlignment="1">
      <alignment horizontal="right" vertical="center"/>
    </xf>
    <xf numFmtId="44" fontId="30" fillId="5" borderId="35" xfId="2" applyFont="1" applyFill="1" applyBorder="1" applyAlignment="1">
      <alignment horizontal="left"/>
    </xf>
    <xf numFmtId="0" fontId="30" fillId="5" borderId="35" xfId="0" applyFont="1" applyFill="1" applyBorder="1" applyAlignment="1">
      <alignment horizontal="left"/>
    </xf>
    <xf numFmtId="0" fontId="32" fillId="5" borderId="35" xfId="0" applyFont="1" applyFill="1" applyBorder="1" applyAlignment="1">
      <alignment horizontal="left"/>
    </xf>
    <xf numFmtId="0" fontId="30" fillId="5" borderId="51" xfId="0" applyFont="1" applyFill="1" applyBorder="1" applyAlignment="1">
      <alignment horizontal="left"/>
    </xf>
    <xf numFmtId="164" fontId="30" fillId="6" borderId="13" xfId="0" applyNumberFormat="1" applyFont="1" applyFill="1" applyBorder="1" applyAlignment="1">
      <alignment horizontal="right" vertical="center"/>
    </xf>
    <xf numFmtId="0" fontId="32" fillId="0" borderId="33" xfId="0" applyFont="1" applyBorder="1" applyAlignment="1">
      <alignment horizontal="left"/>
    </xf>
    <xf numFmtId="0" fontId="30" fillId="0" borderId="22" xfId="0" applyFont="1" applyBorder="1" applyAlignment="1">
      <alignment horizontal="left"/>
    </xf>
    <xf numFmtId="0" fontId="32" fillId="0" borderId="36" xfId="0" applyFont="1" applyBorder="1" applyAlignment="1">
      <alignment horizontal="left"/>
    </xf>
    <xf numFmtId="164" fontId="31" fillId="7" borderId="67" xfId="0" applyNumberFormat="1" applyFont="1" applyFill="1" applyBorder="1" applyAlignment="1">
      <alignment horizontal="right" vertical="center"/>
    </xf>
    <xf numFmtId="0" fontId="15" fillId="0" borderId="68" xfId="0" applyFont="1" applyBorder="1" applyAlignment="1">
      <alignment horizontal="left"/>
    </xf>
    <xf numFmtId="164" fontId="31" fillId="7" borderId="69" xfId="0" applyNumberFormat="1" applyFont="1" applyFill="1" applyBorder="1" applyAlignment="1">
      <alignment horizontal="right" vertical="center"/>
    </xf>
    <xf numFmtId="44" fontId="30" fillId="0" borderId="0" xfId="2" applyFont="1" applyAlignment="1">
      <alignment horizontal="left"/>
    </xf>
    <xf numFmtId="0" fontId="30" fillId="0" borderId="0" xfId="0" applyFont="1" applyAlignment="1">
      <alignment horizontal="left"/>
    </xf>
    <xf numFmtId="0" fontId="32" fillId="0" borderId="0" xfId="0" applyFont="1" applyAlignment="1">
      <alignment horizontal="left"/>
    </xf>
    <xf numFmtId="164" fontId="31" fillId="7" borderId="71" xfId="0" applyNumberFormat="1" applyFont="1" applyFill="1" applyBorder="1" applyAlignment="1">
      <alignment horizontal="right" vertical="center"/>
    </xf>
    <xf numFmtId="0" fontId="15" fillId="0" borderId="72" xfId="0" applyFont="1" applyBorder="1" applyAlignment="1">
      <alignment horizontal="left"/>
    </xf>
    <xf numFmtId="164" fontId="31" fillId="7" borderId="73" xfId="0" applyNumberFormat="1" applyFont="1" applyFill="1" applyBorder="1" applyAlignment="1">
      <alignment horizontal="right" vertical="center"/>
    </xf>
    <xf numFmtId="0" fontId="32" fillId="0" borderId="0" xfId="0" applyFont="1"/>
    <xf numFmtId="164" fontId="31" fillId="6" borderId="74" xfId="0" applyNumberFormat="1" applyFont="1" applyFill="1" applyBorder="1" applyAlignment="1">
      <alignment horizontal="right" vertical="center"/>
    </xf>
    <xf numFmtId="0" fontId="15" fillId="0" borderId="55" xfId="0" applyFont="1" applyBorder="1" applyAlignment="1">
      <alignment horizontal="left"/>
    </xf>
    <xf numFmtId="0" fontId="1" fillId="5" borderId="19" xfId="1" applyFill="1" applyBorder="1"/>
    <xf numFmtId="0" fontId="32" fillId="5" borderId="20" xfId="0" applyFont="1" applyFill="1" applyBorder="1" applyAlignment="1">
      <alignment horizontal="right" vertical="center"/>
    </xf>
    <xf numFmtId="0" fontId="32" fillId="5" borderId="20" xfId="0" applyFont="1" applyFill="1" applyBorder="1"/>
    <xf numFmtId="44" fontId="30" fillId="5" borderId="20" xfId="2" applyFont="1" applyFill="1" applyBorder="1"/>
    <xf numFmtId="0" fontId="30" fillId="5" borderId="20" xfId="0" applyFont="1" applyFill="1" applyBorder="1"/>
    <xf numFmtId="0" fontId="32" fillId="5" borderId="22" xfId="0" applyFont="1" applyFill="1" applyBorder="1"/>
    <xf numFmtId="0" fontId="31" fillId="0" borderId="55" xfId="0" applyFont="1" applyBorder="1" applyAlignment="1">
      <alignment horizontal="left"/>
    </xf>
    <xf numFmtId="0" fontId="31" fillId="0" borderId="29" xfId="0" applyFont="1" applyBorder="1" applyAlignment="1">
      <alignment horizontal="left" vertical="top"/>
    </xf>
    <xf numFmtId="0" fontId="30" fillId="0" borderId="0" xfId="0" applyFont="1"/>
    <xf numFmtId="164" fontId="31" fillId="6" borderId="25" xfId="0" applyNumberFormat="1" applyFont="1" applyFill="1" applyBorder="1" applyAlignment="1">
      <alignment horizontal="right" vertical="center"/>
    </xf>
    <xf numFmtId="164" fontId="31" fillId="7" borderId="55" xfId="0" applyNumberFormat="1" applyFont="1" applyFill="1" applyBorder="1" applyAlignment="1">
      <alignment horizontal="right" vertical="center"/>
    </xf>
    <xf numFmtId="0" fontId="1" fillId="0" borderId="76" xfId="1" applyFill="1" applyBorder="1"/>
    <xf numFmtId="44" fontId="30" fillId="0" borderId="77" xfId="2" applyFont="1" applyBorder="1"/>
    <xf numFmtId="0" fontId="30" fillId="0" borderId="77" xfId="0" applyFont="1" applyBorder="1"/>
    <xf numFmtId="0" fontId="32" fillId="0" borderId="77" xfId="0" applyFont="1" applyBorder="1"/>
    <xf numFmtId="0" fontId="0" fillId="15" borderId="0" xfId="0" applyFill="1"/>
    <xf numFmtId="0" fontId="31" fillId="15" borderId="59" xfId="0" applyFont="1" applyFill="1" applyBorder="1" applyAlignment="1">
      <alignment horizontal="center" vertical="center"/>
    </xf>
    <xf numFmtId="0" fontId="31" fillId="15" borderId="55" xfId="0" applyFont="1" applyFill="1" applyBorder="1" applyAlignment="1">
      <alignment horizontal="left"/>
    </xf>
    <xf numFmtId="0" fontId="31" fillId="15" borderId="29" xfId="0" applyFont="1" applyFill="1" applyBorder="1" applyAlignment="1">
      <alignment horizontal="left" vertical="top"/>
    </xf>
    <xf numFmtId="0" fontId="30" fillId="15" borderId="0" xfId="0" applyFont="1" applyFill="1"/>
    <xf numFmtId="164" fontId="31" fillId="16" borderId="74" xfId="0" applyNumberFormat="1" applyFont="1" applyFill="1" applyBorder="1" applyAlignment="1">
      <alignment horizontal="right" vertical="center"/>
    </xf>
    <xf numFmtId="164" fontId="31" fillId="17" borderId="71" xfId="0" applyNumberFormat="1" applyFont="1" applyFill="1" applyBorder="1" applyAlignment="1">
      <alignment horizontal="right" vertical="center"/>
    </xf>
    <xf numFmtId="0" fontId="15" fillId="15" borderId="55" xfId="0" applyFont="1" applyFill="1" applyBorder="1" applyAlignment="1">
      <alignment horizontal="left"/>
    </xf>
    <xf numFmtId="0" fontId="1" fillId="18" borderId="55" xfId="1" applyFill="1" applyBorder="1"/>
    <xf numFmtId="164" fontId="31" fillId="17" borderId="55" xfId="0" applyNumberFormat="1" applyFont="1" applyFill="1" applyBorder="1" applyAlignment="1">
      <alignment horizontal="right" vertical="center"/>
    </xf>
    <xf numFmtId="0" fontId="1" fillId="15" borderId="76" xfId="1" applyFill="1" applyBorder="1"/>
    <xf numFmtId="44" fontId="30" fillId="15" borderId="77" xfId="2" applyFont="1" applyFill="1" applyBorder="1"/>
    <xf numFmtId="0" fontId="30" fillId="15" borderId="77" xfId="0" applyFont="1" applyFill="1" applyBorder="1"/>
    <xf numFmtId="0" fontId="32" fillId="15" borderId="77" xfId="0" applyFont="1" applyFill="1" applyBorder="1"/>
    <xf numFmtId="0" fontId="32" fillId="15" borderId="0" xfId="0" applyFont="1" applyFill="1"/>
    <xf numFmtId="0" fontId="31" fillId="0" borderId="55" xfId="0" applyFont="1" applyBorder="1" applyAlignment="1">
      <alignment horizontal="center" vertical="center"/>
    </xf>
    <xf numFmtId="0" fontId="31" fillId="18" borderId="10" xfId="0" applyFont="1" applyFill="1" applyBorder="1" applyAlignment="1">
      <alignment horizontal="center" vertical="center"/>
    </xf>
    <xf numFmtId="0" fontId="30" fillId="18" borderId="0" xfId="0" applyFont="1" applyFill="1"/>
    <xf numFmtId="0" fontId="1" fillId="18" borderId="20" xfId="1" applyFill="1" applyBorder="1"/>
    <xf numFmtId="0" fontId="32" fillId="18" borderId="20" xfId="0" applyFont="1" applyFill="1" applyBorder="1" applyAlignment="1">
      <alignment horizontal="right" vertical="center"/>
    </xf>
    <xf numFmtId="0" fontId="32" fillId="18" borderId="20" xfId="0" applyFont="1" applyFill="1" applyBorder="1"/>
    <xf numFmtId="0" fontId="32" fillId="18" borderId="0" xfId="0" applyFont="1" applyFill="1"/>
    <xf numFmtId="44" fontId="30" fillId="18" borderId="0" xfId="2" applyFont="1" applyFill="1"/>
    <xf numFmtId="0" fontId="31" fillId="15" borderId="78" xfId="0" applyFont="1" applyFill="1" applyBorder="1" applyAlignment="1">
      <alignment horizontal="left"/>
    </xf>
    <xf numFmtId="0" fontId="31" fillId="15" borderId="12" xfId="0" applyFont="1" applyFill="1" applyBorder="1" applyAlignment="1">
      <alignment horizontal="left" vertical="top"/>
    </xf>
    <xf numFmtId="164" fontId="31" fillId="16" borderId="79" xfId="0" applyNumberFormat="1" applyFont="1" applyFill="1" applyBorder="1" applyAlignment="1">
      <alignment horizontal="right" vertical="center"/>
    </xf>
    <xf numFmtId="164" fontId="31" fillId="17" borderId="19" xfId="0" applyNumberFormat="1" applyFont="1" applyFill="1" applyBorder="1" applyAlignment="1">
      <alignment horizontal="right" vertical="center"/>
    </xf>
    <xf numFmtId="0" fontId="15" fillId="15" borderId="20" xfId="0" applyFont="1" applyFill="1" applyBorder="1" applyAlignment="1">
      <alignment horizontal="left"/>
    </xf>
    <xf numFmtId="44" fontId="30" fillId="15" borderId="0" xfId="2" applyFont="1" applyFill="1"/>
    <xf numFmtId="0" fontId="33" fillId="2" borderId="27" xfId="0" applyFont="1" applyFill="1" applyBorder="1"/>
    <xf numFmtId="0" fontId="34" fillId="2" borderId="56" xfId="0" applyFont="1" applyFill="1" applyBorder="1"/>
    <xf numFmtId="164" fontId="31" fillId="6" borderId="18" xfId="0" applyNumberFormat="1" applyFont="1" applyFill="1" applyBorder="1" applyAlignment="1">
      <alignment horizontal="right" vertical="center"/>
    </xf>
    <xf numFmtId="164" fontId="31" fillId="7" borderId="80" xfId="0" applyNumberFormat="1" applyFont="1" applyFill="1" applyBorder="1" applyAlignment="1">
      <alignment horizontal="right" vertical="center"/>
    </xf>
    <xf numFmtId="0" fontId="15" fillId="0" borderId="71" xfId="0" applyFont="1" applyBorder="1" applyAlignment="1">
      <alignment horizontal="left"/>
    </xf>
    <xf numFmtId="0" fontId="32" fillId="5" borderId="0" xfId="0" applyFont="1" applyFill="1"/>
    <xf numFmtId="0" fontId="31" fillId="18" borderId="27" xfId="0" applyFont="1" applyFill="1" applyBorder="1" applyAlignment="1">
      <alignment horizontal="center" vertical="center"/>
    </xf>
    <xf numFmtId="0" fontId="31" fillId="18" borderId="55" xfId="0" applyFont="1" applyFill="1" applyBorder="1" applyAlignment="1">
      <alignment horizontal="left"/>
    </xf>
    <xf numFmtId="0" fontId="31" fillId="18" borderId="29" xfId="0" applyFont="1" applyFill="1" applyBorder="1" applyAlignment="1">
      <alignment horizontal="left" vertical="top"/>
    </xf>
    <xf numFmtId="0" fontId="15" fillId="15" borderId="71" xfId="0" applyFont="1" applyFill="1" applyBorder="1" applyAlignment="1">
      <alignment horizontal="left"/>
    </xf>
    <xf numFmtId="0" fontId="1" fillId="18" borderId="0" xfId="1" applyFill="1" applyBorder="1"/>
    <xf numFmtId="0" fontId="34" fillId="2" borderId="59" xfId="0" applyFont="1" applyFill="1" applyBorder="1"/>
    <xf numFmtId="164" fontId="3" fillId="7" borderId="11" xfId="0" applyNumberFormat="1" applyFont="1" applyFill="1" applyBorder="1"/>
    <xf numFmtId="0" fontId="15" fillId="0" borderId="11" xfId="0" applyFont="1" applyBorder="1"/>
    <xf numFmtId="164" fontId="3" fillId="7" borderId="11" xfId="0" applyNumberFormat="1" applyFont="1" applyFill="1" applyBorder="1" applyAlignment="1">
      <alignment horizontal="right" vertical="center"/>
    </xf>
    <xf numFmtId="0" fontId="16" fillId="0" borderId="0" xfId="1" applyFont="1" applyAlignment="1">
      <alignment horizontal="left"/>
    </xf>
    <xf numFmtId="0" fontId="0" fillId="0" borderId="0" xfId="0"/>
    <xf numFmtId="0" fontId="15" fillId="0" borderId="0" xfId="0" applyFont="1" applyFill="1" applyBorder="1" applyAlignment="1">
      <alignment horizontal="left"/>
    </xf>
    <xf numFmtId="0" fontId="35" fillId="0" borderId="0" xfId="0" applyFont="1"/>
    <xf numFmtId="0" fontId="0" fillId="0" borderId="0" xfId="0"/>
    <xf numFmtId="0" fontId="11" fillId="19" borderId="11" xfId="0" applyFont="1" applyFill="1" applyBorder="1" applyAlignment="1">
      <alignment horizontal="left"/>
    </xf>
    <xf numFmtId="0" fontId="11" fillId="19" borderId="12" xfId="0" applyFont="1" applyFill="1" applyBorder="1" applyAlignment="1">
      <alignment horizontal="left" vertical="top"/>
    </xf>
    <xf numFmtId="0" fontId="19" fillId="20" borderId="11" xfId="0" applyFont="1" applyFill="1" applyBorder="1" applyAlignment="1">
      <alignment horizontal="left"/>
    </xf>
    <xf numFmtId="0" fontId="3" fillId="20" borderId="12" xfId="0" applyFont="1" applyFill="1" applyBorder="1"/>
    <xf numFmtId="0" fontId="3" fillId="20" borderId="11" xfId="0" applyFont="1" applyFill="1" applyBorder="1" applyAlignment="1">
      <alignment horizontal="left"/>
    </xf>
    <xf numFmtId="0" fontId="3" fillId="20" borderId="28" xfId="0" applyFont="1" applyFill="1" applyBorder="1" applyAlignment="1">
      <alignment horizontal="left"/>
    </xf>
    <xf numFmtId="0" fontId="19" fillId="20" borderId="28" xfId="0" applyFont="1" applyFill="1" applyBorder="1" applyAlignment="1">
      <alignment horizontal="left"/>
    </xf>
    <xf numFmtId="0" fontId="3" fillId="20" borderId="12" xfId="0" applyFont="1" applyFill="1" applyBorder="1" applyAlignment="1">
      <alignment horizontal="left" vertical="top"/>
    </xf>
    <xf numFmtId="0" fontId="3" fillId="19" borderId="11" xfId="0" applyFont="1" applyFill="1" applyBorder="1" applyAlignment="1">
      <alignment horizontal="left"/>
    </xf>
    <xf numFmtId="0" fontId="0" fillId="0" borderId="0" xfId="0" applyAlignment="1"/>
    <xf numFmtId="0" fontId="3" fillId="20" borderId="10" xfId="0" applyFont="1" applyFill="1" applyBorder="1" applyAlignment="1">
      <alignment horizontal="center" vertical="center"/>
    </xf>
    <xf numFmtId="0" fontId="3" fillId="20" borderId="17" xfId="0" applyFont="1" applyFill="1" applyBorder="1" applyAlignment="1">
      <alignment vertical="center"/>
    </xf>
    <xf numFmtId="0" fontId="3" fillId="19" borderId="10" xfId="0" applyFont="1" applyFill="1" applyBorder="1" applyAlignment="1">
      <alignment horizontal="center" vertical="center"/>
    </xf>
    <xf numFmtId="0" fontId="3" fillId="19" borderId="12" xfId="0" applyFont="1" applyFill="1" applyBorder="1" applyAlignment="1">
      <alignment horizontal="left" vertical="top"/>
    </xf>
    <xf numFmtId="0" fontId="3" fillId="20" borderId="11" xfId="0" applyFont="1" applyFill="1" applyBorder="1"/>
    <xf numFmtId="0" fontId="3" fillId="19" borderId="29" xfId="0" applyFont="1" applyFill="1" applyBorder="1" applyAlignment="1">
      <alignment horizontal="left" vertical="top"/>
    </xf>
    <xf numFmtId="0" fontId="3" fillId="20" borderId="59" xfId="0" applyFont="1" applyFill="1" applyBorder="1"/>
    <xf numFmtId="0" fontId="19" fillId="20" borderId="50" xfId="0" applyFont="1" applyFill="1" applyBorder="1" applyAlignment="1">
      <alignment horizontal="left"/>
    </xf>
    <xf numFmtId="0" fontId="3" fillId="20" borderId="29" xfId="0" applyFont="1" applyFill="1" applyBorder="1" applyAlignment="1">
      <alignment horizontal="left" vertical="top"/>
    </xf>
    <xf numFmtId="0" fontId="3" fillId="20" borderId="55" xfId="0" applyFont="1" applyFill="1" applyBorder="1" applyAlignment="1">
      <alignment horizontal="center" vertical="center"/>
    </xf>
    <xf numFmtId="0" fontId="3" fillId="19" borderId="55" xfId="0" applyFont="1" applyFill="1" applyBorder="1" applyAlignment="1">
      <alignment horizontal="left"/>
    </xf>
    <xf numFmtId="0" fontId="19" fillId="19" borderId="55" xfId="0" applyFont="1" applyFill="1" applyBorder="1" applyAlignment="1">
      <alignment horizontal="left"/>
    </xf>
    <xf numFmtId="0" fontId="1" fillId="5" borderId="20" xfId="1" applyFill="1" applyBorder="1" applyAlignment="1">
      <alignment horizontal="left"/>
    </xf>
    <xf numFmtId="0" fontId="11" fillId="19" borderId="10" xfId="0" applyFont="1" applyFill="1" applyBorder="1" applyAlignment="1">
      <alignment horizontal="center" vertical="center"/>
    </xf>
    <xf numFmtId="0" fontId="1" fillId="0" borderId="21" xfId="1" applyBorder="1"/>
    <xf numFmtId="0" fontId="17" fillId="19" borderId="10" xfId="0" applyFont="1" applyFill="1" applyBorder="1" applyAlignment="1">
      <alignment horizontal="center"/>
    </xf>
    <xf numFmtId="0" fontId="3" fillId="19" borderId="12" xfId="0" applyFont="1" applyFill="1" applyBorder="1" applyAlignment="1">
      <alignment horizontal="left"/>
    </xf>
    <xf numFmtId="0" fontId="3" fillId="20" borderId="27" xfId="0" applyFont="1" applyFill="1" applyBorder="1" applyAlignment="1">
      <alignment horizontal="center" vertical="center"/>
    </xf>
    <xf numFmtId="0" fontId="1" fillId="0" borderId="11" xfId="1" applyBorder="1" applyAlignment="1">
      <alignment horizontal="left"/>
    </xf>
    <xf numFmtId="0" fontId="1" fillId="0" borderId="49" xfId="1" applyFill="1" applyBorder="1"/>
    <xf numFmtId="0" fontId="1" fillId="0" borderId="36" xfId="1" applyBorder="1"/>
    <xf numFmtId="0" fontId="19" fillId="19" borderId="11" xfId="0" applyFont="1" applyFill="1" applyBorder="1" applyAlignment="1">
      <alignment horizontal="left" vertical="center"/>
    </xf>
    <xf numFmtId="0" fontId="3" fillId="20" borderId="14" xfId="0" applyFont="1" applyFill="1" applyBorder="1" applyAlignment="1">
      <alignment horizontal="center" vertical="center"/>
    </xf>
    <xf numFmtId="0" fontId="3" fillId="19" borderId="27" xfId="0" applyFont="1" applyFill="1" applyBorder="1" applyAlignment="1">
      <alignment horizontal="center" vertical="center"/>
    </xf>
    <xf numFmtId="164" fontId="11" fillId="7" borderId="81" xfId="0" applyNumberFormat="1" applyFont="1" applyFill="1" applyBorder="1" applyAlignment="1">
      <alignment horizontal="right" vertical="center"/>
    </xf>
    <xf numFmtId="164" fontId="11" fillId="7" borderId="78" xfId="0" applyNumberFormat="1" applyFont="1" applyFill="1" applyBorder="1" applyAlignment="1">
      <alignment horizontal="right" vertical="center"/>
    </xf>
    <xf numFmtId="164" fontId="11" fillId="7" borderId="82" xfId="0" applyNumberFormat="1" applyFont="1" applyFill="1" applyBorder="1" applyAlignment="1">
      <alignment horizontal="right" vertical="center"/>
    </xf>
    <xf numFmtId="164" fontId="11" fillId="7" borderId="83" xfId="0" applyNumberFormat="1" applyFont="1" applyFill="1" applyBorder="1" applyAlignment="1">
      <alignment horizontal="right" vertical="center"/>
    </xf>
    <xf numFmtId="0" fontId="1" fillId="5" borderId="15" xfId="1" applyFill="1" applyBorder="1"/>
    <xf numFmtId="0" fontId="11" fillId="19" borderId="5" xfId="0" applyFont="1" applyFill="1" applyBorder="1" applyAlignment="1">
      <alignment horizontal="left"/>
    </xf>
    <xf numFmtId="0" fontId="11" fillId="19" borderId="28" xfId="0" applyFont="1" applyFill="1" applyBorder="1" applyAlignment="1">
      <alignment horizontal="left"/>
    </xf>
    <xf numFmtId="0" fontId="8" fillId="22" borderId="27" xfId="0" applyFont="1" applyFill="1" applyBorder="1"/>
    <xf numFmtId="0" fontId="11" fillId="20" borderId="11" xfId="0" applyFont="1" applyFill="1" applyBorder="1" applyAlignment="1">
      <alignment horizontal="left"/>
    </xf>
    <xf numFmtId="0" fontId="11" fillId="20" borderId="12" xfId="0" applyFont="1" applyFill="1" applyBorder="1" applyAlignment="1">
      <alignment horizontal="left" vertical="top"/>
    </xf>
    <xf numFmtId="0" fontId="20" fillId="19" borderId="11" xfId="0" applyFont="1" applyFill="1" applyBorder="1" applyAlignment="1">
      <alignment horizontal="left"/>
    </xf>
    <xf numFmtId="0" fontId="30" fillId="23" borderId="11" xfId="0" applyFont="1" applyFill="1" applyBorder="1" applyAlignment="1">
      <alignment horizontal="left"/>
    </xf>
    <xf numFmtId="0" fontId="30" fillId="23" borderId="12" xfId="0" applyFont="1" applyFill="1" applyBorder="1" applyAlignment="1">
      <alignment horizontal="left" vertical="top"/>
    </xf>
    <xf numFmtId="0" fontId="30" fillId="20" borderId="11" xfId="0" applyFont="1" applyFill="1" applyBorder="1" applyAlignment="1">
      <alignment horizontal="left"/>
    </xf>
    <xf numFmtId="0" fontId="30" fillId="20" borderId="12" xfId="0" applyFont="1" applyFill="1" applyBorder="1" applyAlignment="1">
      <alignment horizontal="left" vertical="top"/>
    </xf>
    <xf numFmtId="0" fontId="30" fillId="19" borderId="10" xfId="0" applyFont="1" applyFill="1" applyBorder="1" applyAlignment="1">
      <alignment horizontal="center" vertical="center"/>
    </xf>
    <xf numFmtId="0" fontId="30" fillId="19" borderId="11" xfId="0" applyFont="1" applyFill="1" applyBorder="1" applyAlignment="1">
      <alignment horizontal="left"/>
    </xf>
    <xf numFmtId="0" fontId="30" fillId="19" borderId="12" xfId="0" applyFont="1" applyFill="1" applyBorder="1" applyAlignment="1">
      <alignment horizontal="left" vertical="top"/>
    </xf>
    <xf numFmtId="164" fontId="11" fillId="7" borderId="55" xfId="0" applyNumberFormat="1" applyFont="1" applyFill="1" applyBorder="1" applyAlignment="1">
      <alignment horizontal="right" vertical="center"/>
    </xf>
    <xf numFmtId="0" fontId="12" fillId="0" borderId="55" xfId="0" applyFont="1" applyBorder="1" applyAlignment="1">
      <alignment horizontal="left"/>
    </xf>
    <xf numFmtId="0" fontId="15" fillId="0" borderId="55" xfId="0" applyFont="1" applyBorder="1"/>
    <xf numFmtId="0" fontId="23" fillId="0" borderId="55" xfId="0" applyFont="1" applyBorder="1" applyAlignment="1">
      <alignment horizontal="left"/>
    </xf>
    <xf numFmtId="0" fontId="36" fillId="0" borderId="55" xfId="0" applyFont="1" applyBorder="1"/>
    <xf numFmtId="0" fontId="30" fillId="20" borderId="10" xfId="0" applyFont="1" applyFill="1" applyBorder="1" applyAlignment="1">
      <alignment horizontal="center" vertical="center"/>
    </xf>
    <xf numFmtId="0" fontId="30" fillId="20" borderId="27" xfId="0" applyFont="1" applyFill="1" applyBorder="1" applyAlignment="1">
      <alignment horizontal="center" vertical="center"/>
    </xf>
    <xf numFmtId="0" fontId="30" fillId="20" borderId="65" xfId="0" applyFont="1" applyFill="1" applyBorder="1" applyAlignment="1">
      <alignment horizontal="left"/>
    </xf>
    <xf numFmtId="0" fontId="30" fillId="20" borderId="66" xfId="0" applyFont="1" applyFill="1" applyBorder="1" applyAlignment="1">
      <alignment horizontal="left" vertical="top"/>
    </xf>
    <xf numFmtId="0" fontId="30" fillId="20" borderId="70" xfId="0" applyFont="1" applyFill="1" applyBorder="1" applyAlignment="1">
      <alignment horizontal="left"/>
    </xf>
    <xf numFmtId="0" fontId="0" fillId="20" borderId="0" xfId="0" applyFill="1"/>
    <xf numFmtId="0" fontId="19" fillId="20" borderId="10" xfId="0" applyFont="1" applyFill="1" applyBorder="1" applyAlignment="1">
      <alignment horizontal="center" vertical="center"/>
    </xf>
    <xf numFmtId="0" fontId="1" fillId="0" borderId="26" xfId="1" applyBorder="1" applyAlignment="1"/>
    <xf numFmtId="0" fontId="1" fillId="5" borderId="15" xfId="1" applyFill="1" applyBorder="1" applyAlignment="1">
      <alignment vertical="center"/>
    </xf>
    <xf numFmtId="0" fontId="3" fillId="20" borderId="35" xfId="0" applyFont="1" applyFill="1" applyBorder="1" applyAlignment="1">
      <alignment horizontal="left"/>
    </xf>
    <xf numFmtId="0" fontId="3" fillId="19" borderId="51" xfId="0" applyFont="1" applyFill="1" applyBorder="1" applyAlignment="1">
      <alignment horizontal="left" vertical="top"/>
    </xf>
    <xf numFmtId="0" fontId="3" fillId="19" borderId="35" xfId="0" applyFont="1" applyFill="1" applyBorder="1" applyAlignment="1">
      <alignment horizontal="left"/>
    </xf>
    <xf numFmtId="0" fontId="19" fillId="19" borderId="11" xfId="0" applyFont="1" applyFill="1" applyBorder="1" applyAlignment="1">
      <alignment horizontal="left"/>
    </xf>
    <xf numFmtId="0" fontId="3" fillId="19" borderId="15" xfId="0" applyFont="1" applyFill="1" applyBorder="1" applyAlignment="1">
      <alignment horizontal="left"/>
    </xf>
    <xf numFmtId="0" fontId="3" fillId="19" borderId="16" xfId="0" applyFont="1" applyFill="1" applyBorder="1" applyAlignment="1">
      <alignment horizontal="left" vertical="top"/>
    </xf>
    <xf numFmtId="0" fontId="3" fillId="20" borderId="5" xfId="0" applyFont="1" applyFill="1" applyBorder="1" applyAlignment="1">
      <alignment horizontal="left"/>
    </xf>
    <xf numFmtId="0" fontId="19" fillId="20" borderId="5" xfId="0" applyFont="1" applyFill="1" applyBorder="1" applyAlignment="1">
      <alignment horizontal="left"/>
    </xf>
    <xf numFmtId="0" fontId="11" fillId="19" borderId="58" xfId="0" applyFont="1" applyFill="1" applyBorder="1" applyAlignment="1">
      <alignment horizontal="center" vertical="center"/>
    </xf>
    <xf numFmtId="0" fontId="31" fillId="19" borderId="10" xfId="0" applyFont="1" applyFill="1" applyBorder="1" applyAlignment="1">
      <alignment horizontal="center" vertical="center"/>
    </xf>
    <xf numFmtId="0" fontId="31" fillId="19" borderId="11" xfId="0" applyFont="1" applyFill="1" applyBorder="1" applyAlignment="1">
      <alignment horizontal="left"/>
    </xf>
    <xf numFmtId="0" fontId="31" fillId="19" borderId="12" xfId="0" applyFont="1" applyFill="1" applyBorder="1" applyAlignment="1">
      <alignment horizontal="left" vertical="top"/>
    </xf>
    <xf numFmtId="0" fontId="31" fillId="20" borderId="75" xfId="0" applyFont="1" applyFill="1" applyBorder="1" applyAlignment="1">
      <alignment horizontal="center" vertical="center"/>
    </xf>
    <xf numFmtId="0" fontId="31" fillId="20" borderId="55" xfId="0" applyFont="1" applyFill="1" applyBorder="1" applyAlignment="1">
      <alignment horizontal="left"/>
    </xf>
    <xf numFmtId="0" fontId="31" fillId="20" borderId="29" xfId="0" applyFont="1" applyFill="1" applyBorder="1" applyAlignment="1">
      <alignment horizontal="left" vertical="top"/>
    </xf>
    <xf numFmtId="0" fontId="31" fillId="20" borderId="55" xfId="0" applyFont="1" applyFill="1" applyBorder="1" applyAlignment="1">
      <alignment horizontal="center" vertical="center"/>
    </xf>
    <xf numFmtId="0" fontId="31" fillId="20" borderId="59" xfId="0" applyFont="1" applyFill="1" applyBorder="1" applyAlignment="1">
      <alignment horizontal="center" vertical="center"/>
    </xf>
    <xf numFmtId="0" fontId="31" fillId="20" borderId="60" xfId="0" applyFont="1" applyFill="1" applyBorder="1" applyAlignment="1">
      <alignment horizontal="left"/>
    </xf>
    <xf numFmtId="0" fontId="31" fillId="20" borderId="38" xfId="0" applyFont="1" applyFill="1" applyBorder="1" applyAlignment="1">
      <alignment horizontal="left" vertical="top"/>
    </xf>
    <xf numFmtId="0" fontId="11" fillId="19" borderId="55" xfId="0" applyFont="1" applyFill="1" applyBorder="1" applyAlignment="1">
      <alignment horizontal="left"/>
    </xf>
    <xf numFmtId="0" fontId="11" fillId="19" borderId="55" xfId="0" applyFont="1" applyFill="1" applyBorder="1" applyAlignment="1">
      <alignment horizontal="left" vertical="top"/>
    </xf>
    <xf numFmtId="0" fontId="31" fillId="20" borderId="62" xfId="0" applyFont="1" applyFill="1" applyBorder="1" applyAlignment="1">
      <alignment horizontal="left"/>
    </xf>
    <xf numFmtId="0" fontId="31" fillId="20" borderId="53" xfId="0" applyFont="1" applyFill="1" applyBorder="1" applyAlignment="1">
      <alignment horizontal="left" vertical="top"/>
    </xf>
    <xf numFmtId="0" fontId="3" fillId="20" borderId="12" xfId="0" applyFont="1" applyFill="1" applyBorder="1" applyAlignment="1">
      <alignment vertical="center"/>
    </xf>
    <xf numFmtId="0" fontId="3" fillId="20" borderId="46" xfId="0" applyFont="1" applyFill="1" applyBorder="1" applyAlignment="1">
      <alignment horizontal="left"/>
    </xf>
    <xf numFmtId="0" fontId="3" fillId="20" borderId="47" xfId="0" applyFont="1" applyFill="1" applyBorder="1" applyAlignment="1">
      <alignment vertical="center"/>
    </xf>
    <xf numFmtId="0" fontId="31" fillId="21" borderId="55" xfId="0" applyFont="1" applyFill="1" applyBorder="1" applyAlignment="1">
      <alignment horizontal="center" vertical="center"/>
    </xf>
    <xf numFmtId="0" fontId="31" fillId="21" borderId="55" xfId="0" applyFont="1" applyFill="1" applyBorder="1" applyAlignment="1">
      <alignment horizontal="left"/>
    </xf>
    <xf numFmtId="0" fontId="0" fillId="21" borderId="0" xfId="0" applyFill="1"/>
    <xf numFmtId="0" fontId="35" fillId="20" borderId="29" xfId="0" applyFont="1" applyFill="1" applyBorder="1" applyAlignment="1">
      <alignment horizontal="left" vertical="top"/>
    </xf>
    <xf numFmtId="0" fontId="11" fillId="20" borderId="55" xfId="0" applyFont="1" applyFill="1" applyBorder="1" applyAlignment="1">
      <alignment horizontal="left"/>
    </xf>
    <xf numFmtId="0" fontId="31" fillId="19" borderId="35" xfId="0" applyFont="1" applyFill="1" applyBorder="1" applyAlignment="1">
      <alignment horizontal="left"/>
    </xf>
    <xf numFmtId="0" fontId="31" fillId="19" borderId="27" xfId="0" applyFont="1" applyFill="1" applyBorder="1" applyAlignment="1">
      <alignment horizontal="center" vertical="center"/>
    </xf>
    <xf numFmtId="0" fontId="31" fillId="19" borderId="55" xfId="0" applyFont="1" applyFill="1" applyBorder="1" applyAlignment="1">
      <alignment horizontal="left"/>
    </xf>
    <xf numFmtId="0" fontId="31" fillId="19" borderId="29" xfId="0" applyFont="1" applyFill="1" applyBorder="1" applyAlignment="1">
      <alignment horizontal="left" vertical="top"/>
    </xf>
    <xf numFmtId="0" fontId="0" fillId="0" borderId="0" xfId="0"/>
    <xf numFmtId="164" fontId="31" fillId="7" borderId="84" xfId="0" applyNumberFormat="1" applyFont="1" applyFill="1" applyBorder="1" applyAlignment="1">
      <alignment horizontal="right" vertical="center"/>
    </xf>
    <xf numFmtId="164" fontId="31" fillId="6" borderId="85" xfId="0" applyNumberFormat="1" applyFont="1" applyFill="1" applyBorder="1" applyAlignment="1">
      <alignment horizontal="right" vertical="center"/>
    </xf>
    <xf numFmtId="0" fontId="33" fillId="2" borderId="28" xfId="0" applyFont="1" applyFill="1" applyBorder="1" applyAlignment="1">
      <alignment horizontal="center"/>
    </xf>
    <xf numFmtId="0" fontId="33" fillId="2" borderId="29" xfId="0" applyFont="1" applyFill="1" applyBorder="1" applyAlignment="1">
      <alignment horizontal="center"/>
    </xf>
    <xf numFmtId="0" fontId="30" fillId="2" borderId="63" xfId="0" applyFont="1" applyFill="1" applyBorder="1" applyAlignment="1">
      <alignment horizontal="center"/>
    </xf>
    <xf numFmtId="0" fontId="30" fillId="2" borderId="2" xfId="0" applyFont="1" applyFill="1" applyBorder="1" applyAlignment="1">
      <alignment horizontal="center"/>
    </xf>
    <xf numFmtId="0" fontId="33" fillId="2" borderId="64" xfId="0" applyFont="1" applyFill="1" applyBorder="1" applyAlignment="1">
      <alignment horizontal="center"/>
    </xf>
    <xf numFmtId="0" fontId="30" fillId="2" borderId="0" xfId="0" applyFont="1" applyFill="1" applyAlignment="1">
      <alignment horizontal="center"/>
    </xf>
    <xf numFmtId="0" fontId="3" fillId="0" borderId="0" xfId="0" applyFont="1"/>
    <xf numFmtId="0" fontId="0" fillId="0" borderId="0" xfId="0"/>
    <xf numFmtId="0" fontId="10" fillId="0" borderId="0" xfId="0" applyFont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63" xfId="0" applyFont="1" applyBorder="1"/>
    <xf numFmtId="0" fontId="3" fillId="0" borderId="2" xfId="0" applyFont="1" applyBorder="1"/>
    <xf numFmtId="0" fontId="3" fillId="0" borderId="3" xfId="0" applyFont="1" applyBorder="1"/>
    <xf numFmtId="0" fontId="8" fillId="2" borderId="28" xfId="0" applyFont="1" applyFill="1" applyBorder="1" applyAlignment="1">
      <alignment horizontal="center"/>
    </xf>
    <xf numFmtId="0" fontId="8" fillId="2" borderId="29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5" borderId="17" xfId="0" applyFont="1" applyFill="1" applyBorder="1" applyAlignment="1">
      <alignment horizontal="center" vertical="center"/>
    </xf>
    <xf numFmtId="0" fontId="3" fillId="5" borderId="23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4" xfId="0" applyFont="1" applyBorder="1"/>
    <xf numFmtId="0" fontId="2" fillId="2" borderId="1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3" fillId="0" borderId="5" xfId="0" applyFont="1" applyBorder="1"/>
    <xf numFmtId="0" fontId="3" fillId="0" borderId="0" xfId="0" applyFont="1" applyAlignment="1">
      <alignment horizontal="right" vertical="center"/>
    </xf>
    <xf numFmtId="0" fontId="11" fillId="5" borderId="58" xfId="0" applyFont="1" applyFill="1" applyBorder="1" applyAlignment="1">
      <alignment horizontal="center" vertical="center"/>
    </xf>
    <xf numFmtId="0" fontId="11" fillId="5" borderId="59" xfId="0" applyFont="1" applyFill="1" applyBorder="1" applyAlignment="1">
      <alignment horizontal="center" vertical="center"/>
    </xf>
    <xf numFmtId="0" fontId="11" fillId="5" borderId="57" xfId="0" applyFont="1" applyFill="1" applyBorder="1" applyAlignment="1">
      <alignment horizontal="center" vertical="center"/>
    </xf>
    <xf numFmtId="0" fontId="13" fillId="0" borderId="37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3" fillId="0" borderId="39" xfId="0" applyFont="1" applyBorder="1" applyAlignment="1">
      <alignment horizontal="left"/>
    </xf>
    <xf numFmtId="0" fontId="13" fillId="0" borderId="40" xfId="0" applyFont="1" applyBorder="1" applyAlignment="1">
      <alignment horizontal="left"/>
    </xf>
    <xf numFmtId="0" fontId="11" fillId="19" borderId="17" xfId="0" applyFont="1" applyFill="1" applyBorder="1" applyAlignment="1">
      <alignment horizontal="center" vertical="center"/>
    </xf>
    <xf numFmtId="0" fontId="11" fillId="19" borderId="23" xfId="0" applyFont="1" applyFill="1" applyBorder="1" applyAlignment="1">
      <alignment horizontal="center" vertical="center"/>
    </xf>
    <xf numFmtId="0" fontId="3" fillId="20" borderId="23" xfId="0" applyFont="1" applyFill="1" applyBorder="1"/>
    <xf numFmtId="0" fontId="3" fillId="20" borderId="14" xfId="0" applyFont="1" applyFill="1" applyBorder="1"/>
    <xf numFmtId="0" fontId="3" fillId="20" borderId="17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horizontal="center"/>
    </xf>
    <xf numFmtId="0" fontId="8" fillId="2" borderId="64" xfId="0" applyFont="1" applyFill="1" applyBorder="1" applyAlignment="1">
      <alignment horizontal="center"/>
    </xf>
    <xf numFmtId="0" fontId="22" fillId="5" borderId="49" xfId="0" applyFont="1" applyFill="1" applyBorder="1" applyAlignment="1">
      <alignment horizontal="left"/>
    </xf>
    <xf numFmtId="0" fontId="19" fillId="0" borderId="2" xfId="0" applyFont="1" applyBorder="1"/>
    <xf numFmtId="0" fontId="19" fillId="0" borderId="3" xfId="0" applyFont="1" applyBorder="1"/>
    <xf numFmtId="0" fontId="3" fillId="20" borderId="23" xfId="0" applyFont="1" applyFill="1" applyBorder="1" applyAlignment="1">
      <alignment horizontal="center" vertical="center"/>
    </xf>
    <xf numFmtId="0" fontId="3" fillId="20" borderId="14" xfId="0" applyFont="1" applyFill="1" applyBorder="1" applyAlignment="1">
      <alignment horizontal="center" vertical="center"/>
    </xf>
    <xf numFmtId="0" fontId="1" fillId="0" borderId="49" xfId="1" applyBorder="1" applyAlignment="1"/>
    <xf numFmtId="0" fontId="8" fillId="22" borderId="28" xfId="0" applyFont="1" applyFill="1" applyBorder="1" applyAlignment="1">
      <alignment horizontal="center"/>
    </xf>
    <xf numFmtId="0" fontId="8" fillId="22" borderId="29" xfId="0" applyFont="1" applyFill="1" applyBorder="1" applyAlignment="1">
      <alignment horizontal="center"/>
    </xf>
    <xf numFmtId="0" fontId="11" fillId="19" borderId="60" xfId="0" applyFont="1" applyFill="1" applyBorder="1" applyAlignment="1">
      <alignment horizontal="center" vertical="center"/>
    </xf>
    <xf numFmtId="0" fontId="11" fillId="19" borderId="61" xfId="0" applyFont="1" applyFill="1" applyBorder="1" applyAlignment="1">
      <alignment horizontal="center" vertical="center"/>
    </xf>
    <xf numFmtId="0" fontId="11" fillId="19" borderId="62" xfId="0" applyFont="1" applyFill="1" applyBorder="1" applyAlignment="1">
      <alignment horizontal="center" vertical="center"/>
    </xf>
    <xf numFmtId="0" fontId="3" fillId="19" borderId="17" xfId="0" applyFont="1" applyFill="1" applyBorder="1" applyAlignment="1">
      <alignment horizontal="center" vertical="center"/>
    </xf>
    <xf numFmtId="0" fontId="3" fillId="19" borderId="23" xfId="0" applyFont="1" applyFill="1" applyBorder="1" applyAlignment="1">
      <alignment horizontal="center" vertical="center"/>
    </xf>
    <xf numFmtId="0" fontId="30" fillId="20" borderId="17" xfId="0" applyFont="1" applyFill="1" applyBorder="1" applyAlignment="1">
      <alignment horizontal="center" vertical="center"/>
    </xf>
    <xf numFmtId="0" fontId="30" fillId="20" borderId="23" xfId="0" applyFont="1" applyFill="1" applyBorder="1" applyAlignment="1">
      <alignment horizontal="center" vertical="center"/>
    </xf>
    <xf numFmtId="0" fontId="30" fillId="20" borderId="14" xfId="0" applyFont="1" applyFill="1" applyBorder="1" applyAlignment="1">
      <alignment horizontal="center" vertical="center"/>
    </xf>
    <xf numFmtId="0" fontId="3" fillId="20" borderId="54" xfId="0" applyFont="1" applyFill="1" applyBorder="1"/>
    <xf numFmtId="0" fontId="3" fillId="20" borderId="60" xfId="0" applyFont="1" applyFill="1" applyBorder="1" applyAlignment="1">
      <alignment horizontal="center" vertical="center"/>
    </xf>
    <xf numFmtId="0" fontId="3" fillId="20" borderId="61" xfId="0" applyFont="1" applyFill="1" applyBorder="1" applyAlignment="1">
      <alignment horizontal="center" vertical="center"/>
    </xf>
    <xf numFmtId="0" fontId="3" fillId="20" borderId="62" xfId="0" applyFont="1" applyFill="1" applyBorder="1" applyAlignment="1">
      <alignment horizontal="center" vertical="center"/>
    </xf>
    <xf numFmtId="0" fontId="11" fillId="19" borderId="58" xfId="0" applyFont="1" applyFill="1" applyBorder="1" applyAlignment="1">
      <alignment horizontal="center" vertical="center"/>
    </xf>
    <xf numFmtId="0" fontId="11" fillId="19" borderId="57" xfId="0" applyFont="1" applyFill="1" applyBorder="1" applyAlignment="1">
      <alignment horizontal="center" vertical="center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ilis.com.ar/hojas-de-bisturi-printex-100-todos-los-tama-os" TargetMode="External"/><Relationship Id="rId21" Type="http://schemas.openxmlformats.org/officeDocument/2006/relationships/hyperlink" Target="https://www.tiendahospimed.com.ar/MLA-839003046-jeringa-descartable-5-ml-sin-aguja-100-unidades-_JM?searchVariation=50638209526" TargetMode="External"/><Relationship Id="rId42" Type="http://schemas.openxmlformats.org/officeDocument/2006/relationships/hyperlink" Target="https://www.tiendahospimed.com.ar/MLA-1388007085-electrodo-adhesivo-ecg-skintact-adulto-x-30-unidades-_JM" TargetMode="External"/><Relationship Id="rId63" Type="http://schemas.openxmlformats.org/officeDocument/2006/relationships/hyperlink" Target="https://gontocal.com/product-meril-2405090612442854.h" TargetMode="External"/><Relationship Id="rId84" Type="http://schemas.openxmlformats.org/officeDocument/2006/relationships/hyperlink" Target="https://www.kine-estetic.com/products/cinta-testigo-para-estufa-calor-seco-en-rollo-18-mm-x-50-mts" TargetMode="External"/><Relationship Id="rId138" Type="http://schemas.openxmlformats.org/officeDocument/2006/relationships/hyperlink" Target="https://www.lilis.com.ar/sutura-de-nylon-supralon-todos-los-tama-os" TargetMode="External"/><Relationship Id="rId159" Type="http://schemas.openxmlformats.org/officeDocument/2006/relationships/hyperlink" Target="https://cirugiarex.com.ar/producto/papel-ecg-electrocardiografo-80mm-x25-mts/" TargetMode="External"/><Relationship Id="rId170" Type="http://schemas.openxmlformats.org/officeDocument/2006/relationships/hyperlink" Target="https://www.lilis.com.ar/sonda-k-32-nasogastrica-s-33" TargetMode="External"/><Relationship Id="rId191" Type="http://schemas.openxmlformats.org/officeDocument/2006/relationships/hyperlink" Target="https://www.tiendahospimed.com.ar/MLA-1444670127-tubo-carestaine-13x75-celeste-ccitrato-sodio-25ml-x-100u-_JM" TargetMode="External"/><Relationship Id="rId205" Type="http://schemas.openxmlformats.org/officeDocument/2006/relationships/hyperlink" Target="https://www.tiendahospimed.com.ar/MLA-1395481639-regulador-de-flujo-para-guias-de-suero-_JM" TargetMode="External"/><Relationship Id="rId226" Type="http://schemas.openxmlformats.org/officeDocument/2006/relationships/hyperlink" Target="https://www.cedent.com.ar/shop/c004860-rollo-pouch-para-esterilizacion-10-cm-x-200-m-qualident-5143?product=product.template%285143%2C%29" TargetMode="External"/><Relationship Id="rId107" Type="http://schemas.openxmlformats.org/officeDocument/2006/relationships/hyperlink" Target="https://www.insumotiendasaludonline.com.ar/productos/gasa-doblada-simple-esteril-en-sobre-7x7cm-x-3u-caja-x-500u-insumos-xxi/" TargetMode="External"/><Relationship Id="rId11" Type="http://schemas.openxmlformats.org/officeDocument/2006/relationships/hyperlink" Target="https://cirugiarex.com.ar/producto/pieza-de-gasa-1-kg/" TargetMode="External"/><Relationship Id="rId32" Type="http://schemas.openxmlformats.org/officeDocument/2006/relationships/hyperlink" Target="https://www.tiendahospimed.com.ar/MLA-918604306-alcohol-etilico-96-1-litro-x-3-unidades-sanicol-_JM" TargetMode="External"/><Relationship Id="rId53" Type="http://schemas.openxmlformats.org/officeDocument/2006/relationships/hyperlink" Target="https://cirugiarex.com.ar/producto/nylon-monofilamento/" TargetMode="External"/><Relationship Id="rId74" Type="http://schemas.openxmlformats.org/officeDocument/2006/relationships/hyperlink" Target="https://www.insumotiendasaludonline.com.ar/productos/tubo-citrato-para-coagulacion-tamponado-al-38-x-1-200u-40ml-deltalab/" TargetMode="External"/><Relationship Id="rId128" Type="http://schemas.openxmlformats.org/officeDocument/2006/relationships/hyperlink" Target="https://www.lilis.com.ar/bigotera-k27-adulto-nasal-kol-78433" TargetMode="External"/><Relationship Id="rId149" Type="http://schemas.openxmlformats.org/officeDocument/2006/relationships/hyperlink" Target="https://www.tiendasaludonline.com.ar/productos/nonisec-panales-adultos-recto-con-gel-extragrande-x-10pads-x-8-paq/" TargetMode="External"/><Relationship Id="rId5" Type="http://schemas.openxmlformats.org/officeDocument/2006/relationships/hyperlink" Target="https://cirugiarex.com.ar/producto/baja-lengua-de-madera-adultos-x100-unidades/" TargetMode="External"/><Relationship Id="rId95" Type="http://schemas.openxmlformats.org/officeDocument/2006/relationships/hyperlink" Target="https://www.lilis.com.ar/descartador-agujas-e-500-90-gr-blanco" TargetMode="External"/><Relationship Id="rId160" Type="http://schemas.openxmlformats.org/officeDocument/2006/relationships/hyperlink" Target="https://cirugiarex.com.ar/producto/papel-videprinter-ecografico-upp-110s-sony/" TargetMode="External"/><Relationship Id="rId181" Type="http://schemas.openxmlformats.org/officeDocument/2006/relationships/hyperlink" Target="https://cirugiarex.com.ar/producto/termometro-digital-cta301-c-citizen/" TargetMode="External"/><Relationship Id="rId216" Type="http://schemas.openxmlformats.org/officeDocument/2006/relationships/hyperlink" Target="https://gontocal.com/product-kangyuan-2308120644067161.h" TargetMode="External"/><Relationship Id="rId237" Type="http://schemas.openxmlformats.org/officeDocument/2006/relationships/hyperlink" Target="https://cirugiarex.com.ar/producto/lazo-para-extraccion-de-sangre/" TargetMode="External"/><Relationship Id="rId22" Type="http://schemas.openxmlformats.org/officeDocument/2006/relationships/hyperlink" Target="https://www.tiendahospimed.com.ar/MLA-1111930436-mascara-de-oxigeno-c-reservorio-arnes-y-tubuladora-_JM" TargetMode="External"/><Relationship Id="rId43" Type="http://schemas.openxmlformats.org/officeDocument/2006/relationships/hyperlink" Target="https://cirugiarex.com.ar/producto/jeringa-descartable-thomey-60ml-x-25un-neojet/" TargetMode="External"/><Relationship Id="rId64" Type="http://schemas.openxmlformats.org/officeDocument/2006/relationships/hyperlink" Target="https://gontocal.com/product-meril-2405090612442854.h" TargetMode="External"/><Relationship Id="rId118" Type="http://schemas.openxmlformats.org/officeDocument/2006/relationships/hyperlink" Target="https://www.lilis.com.ar/hojas-de-bisturi-printex-100-todos-los-tama-os" TargetMode="External"/><Relationship Id="rId139" Type="http://schemas.openxmlformats.org/officeDocument/2006/relationships/hyperlink" Target="https://www.lilis.com.ar/sutura-de-nylon-supralon-todos-los-tama-os" TargetMode="External"/><Relationship Id="rId85" Type="http://schemas.openxmlformats.org/officeDocument/2006/relationships/hyperlink" Target="https://articulo.mercadolibre.com.ar/MLA-1320698137-cinta-testigo-autoadhesiva-vapor-rollo-18-mm-x-50-mts-kims-_JM?matt_tool=38087446&amp;utm_source=google_shopping&amp;utm_medium=organic" TargetMode="External"/><Relationship Id="rId150" Type="http://schemas.openxmlformats.org/officeDocument/2006/relationships/hyperlink" Target="https://www.ferniplast.com/9361311-panales-adultos-nonisec-gde-anatomico-8-un/p" TargetMode="External"/><Relationship Id="rId171" Type="http://schemas.openxmlformats.org/officeDocument/2006/relationships/hyperlink" Target="https://www.igmainsumos.com/productos/k32-adulto-sonda-de-aspiracion/" TargetMode="External"/><Relationship Id="rId192" Type="http://schemas.openxmlformats.org/officeDocument/2006/relationships/hyperlink" Target="https://www.tiendahospimed.com.ar/MLA-1888503398-tubo-carestainer-13x75-amarillo-cgelactivador-3ml-x-100u-_JM" TargetMode="External"/><Relationship Id="rId206" Type="http://schemas.openxmlformats.org/officeDocument/2006/relationships/hyperlink" Target="https://www.lilis.com.ar/espatula-de-ayre-100-economicas?gad_source=4&amp;gclid=Cj0KCQjw2ou2BhCCARIsANAwM2HAiAUzE--06Bbzf-PrMUk4Lzd_VntaRdqzt61RF-lZR4GJ8uowHTIaAi67EALw_wcB" TargetMode="External"/><Relationship Id="rId227" Type="http://schemas.openxmlformats.org/officeDocument/2006/relationships/hyperlink" Target="https://www.mercadoclinico.com.ar/shop/15209-rollo-pouch-para-esterilizacion-20-cm-x-200-m-qualident-8755" TargetMode="External"/><Relationship Id="rId201" Type="http://schemas.openxmlformats.org/officeDocument/2006/relationships/hyperlink" Target="https://www.lilis.com.ar/venda-yeso-rapida-15-4-gypsofix-25" TargetMode="External"/><Relationship Id="rId222" Type="http://schemas.openxmlformats.org/officeDocument/2006/relationships/hyperlink" Target="https://www.kine-estetic.com/products/bolsa-papel-medico-para-esterilizacion-250-x-100-x-380-mm-pack-x-100-unidades" TargetMode="External"/><Relationship Id="rId243" Type="http://schemas.openxmlformats.org/officeDocument/2006/relationships/hyperlink" Target="https://articulo.mercadolibre.com.ar/MLA-1756515284-tincion-may-grunwald-colorante-en-solucion-x-1000ml-_JM" TargetMode="External"/><Relationship Id="rId12" Type="http://schemas.openxmlformats.org/officeDocument/2006/relationships/hyperlink" Target="https://www.tiendahospimed.com.ar/MLA-756022976-histerometro-sims-32-cm-instrumental-quirurgico-_JM" TargetMode="External"/><Relationship Id="rId17" Type="http://schemas.openxmlformats.org/officeDocument/2006/relationships/hyperlink" Target="https://www.tiendahospimed.com.ar/MLA-679310440-guante-latex-esteril-descartable-x-par-10-unidades-_JM" TargetMode="External"/><Relationship Id="rId33" Type="http://schemas.openxmlformats.org/officeDocument/2006/relationships/hyperlink" Target="https://cirugiarex.com.ar/producto/barbijo-quirurgico-x50-unidades-2/" TargetMode="External"/><Relationship Id="rId38" Type="http://schemas.openxmlformats.org/officeDocument/2006/relationships/hyperlink" Target="https://www.lilis.com.ar/agujas-terumo-todos-los-tama-os" TargetMode="External"/><Relationship Id="rId59" Type="http://schemas.openxmlformats.org/officeDocument/2006/relationships/hyperlink" Target="https://cirugiarex.com.ar/producto/dacril-acido-poliglicolico-hilo-multifilamento/" TargetMode="External"/><Relationship Id="rId103" Type="http://schemas.openxmlformats.org/officeDocument/2006/relationships/hyperlink" Target="https://www.tiendahospimed.com.ar/MLA-1123310076-filtro-con-puerto-oxigeno-kangyuan-x-3-unidades-_JM" TargetMode="External"/><Relationship Id="rId108" Type="http://schemas.openxmlformats.org/officeDocument/2006/relationships/hyperlink" Target="https://www.insumotiendasaludonline.com.ar/productos/gasa-hidrof-tubular-doble-hilado-24-1-pieza-x-1-kilo-pack-x-5-piezas-x-1-kg-insumos-xxi/" TargetMode="External"/><Relationship Id="rId124" Type="http://schemas.openxmlformats.org/officeDocument/2006/relationships/hyperlink" Target="https://articulo.mercadolibre.com.ar/MLA-1428765724-jeringa-est-tuberculina-1cc-sag-latex-free-x100u-euromix-_JM?matt_tool=38087446&amp;utm_source=google_shopping&amp;utm_medium=organic" TargetMode="External"/><Relationship Id="rId129" Type="http://schemas.openxmlformats.org/officeDocument/2006/relationships/hyperlink" Target="https://www.consortiumsalud.com/aerocamara-hospitalaria-neonatal.html?srsltid=AfmBOopo9wNIFGQRyrVfZdiGMSOJ0AWjCJZPD1734wdzbjKf4nPlSmjjgbI" TargetMode="External"/><Relationship Id="rId54" Type="http://schemas.openxmlformats.org/officeDocument/2006/relationships/hyperlink" Target="https://cirugiarex.com.ar/producto/nylon-monofilamento/" TargetMode="External"/><Relationship Id="rId70" Type="http://schemas.openxmlformats.org/officeDocument/2006/relationships/hyperlink" Target="https://www.ferniplast.com/9930253-panales-bebes-pampers-med-babysan-10-un/p" TargetMode="External"/><Relationship Id="rId75" Type="http://schemas.openxmlformats.org/officeDocument/2006/relationships/hyperlink" Target="https://www.insumotiendasaludonline.com.ar/productos/tubos-separadores-de-suero-con-acelerador-y-gel-volumen-4ml-x-1-200u-eurotubo-deltalab/" TargetMode="External"/><Relationship Id="rId91" Type="http://schemas.openxmlformats.org/officeDocument/2006/relationships/hyperlink" Target="https://www.tuortopedia.com.ar/MLA-1379270385-collar-de-filadelfia-cuello-rigido-inmovilizador-cervical-_JM" TargetMode="External"/><Relationship Id="rId96" Type="http://schemas.openxmlformats.org/officeDocument/2006/relationships/hyperlink" Target="https://gontocal.com/product-surgizime-5-litros-2312281104321860.h" TargetMode="External"/><Relationship Id="rId140" Type="http://schemas.openxmlformats.org/officeDocument/2006/relationships/hyperlink" Target="https://www.lilis.com.ar/sutura-poliglyd-todos-los-tama-os" TargetMode="External"/><Relationship Id="rId145" Type="http://schemas.openxmlformats.org/officeDocument/2006/relationships/hyperlink" Target="https://www.tiendahospimed.com.ar/MLA-1119302304-agujas-descartables-508-21-g-x-2-500-unidades-_JM" TargetMode="External"/><Relationship Id="rId161" Type="http://schemas.openxmlformats.org/officeDocument/2006/relationships/hyperlink" Target="https://www.tiendahospimed.com.ar/MLA-1103683562-papel-kraff-medicinal-bobina-60-cm-12-kg-_JM" TargetMode="External"/><Relationship Id="rId166" Type="http://schemas.openxmlformats.org/officeDocument/2006/relationships/hyperlink" Target="https://www.lilis.com.ar/sonda-k-32-nasogastrica-s-33" TargetMode="External"/><Relationship Id="rId182" Type="http://schemas.openxmlformats.org/officeDocument/2006/relationships/hyperlink" Target="https://www.lilis.com.ar/tubo-endotraqueal-con-balon-rusch-todos-los-tama-os" TargetMode="External"/><Relationship Id="rId187" Type="http://schemas.openxmlformats.org/officeDocument/2006/relationships/hyperlink" Target="https://gontocal.com/product-well-lead-con-balon-2308120716328321.h" TargetMode="External"/><Relationship Id="rId217" Type="http://schemas.openxmlformats.org/officeDocument/2006/relationships/hyperlink" Target="https://www.consortiumsalud.com/filtro-viral-bacterial-c-puerto.html?srsltid=AfmBOopGjmvcFa0-yJ5k7nVg-owo8vg0-4UVYY1GuRsGrWQhFX-uBv5C" TargetMode="External"/><Relationship Id="rId1" Type="http://schemas.openxmlformats.org/officeDocument/2006/relationships/hyperlink" Target="https://www.lilis.com.ar/algodon-1-2-k-doncella-igalte" TargetMode="External"/><Relationship Id="rId6" Type="http://schemas.openxmlformats.org/officeDocument/2006/relationships/hyperlink" Target="https://www.lilis.com.ar/bajalenguas-adulto-100" TargetMode="External"/><Relationship Id="rId212" Type="http://schemas.openxmlformats.org/officeDocument/2006/relationships/hyperlink" Target="https://www.kine-estetic.com/products/prolongador-pt-2610-100-cm-largo-x-unidad" TargetMode="External"/><Relationship Id="rId233" Type="http://schemas.openxmlformats.org/officeDocument/2006/relationships/hyperlink" Target="https://www.icomsalud.com.ar/MLA-760152609-cidex-opa-desinfectante-concentrado-alto-nivel-378-litros-_JM?gclid=CjwKCAjwoJa2BhBPEiwA0l0ImPIaw15ktSOx_0mghRdyUE8fJApC2G6PTTzRT85CpCUYj7bUJ6ZhoRoCwt8QAvD_BwE" TargetMode="External"/><Relationship Id="rId238" Type="http://schemas.openxmlformats.org/officeDocument/2006/relationships/hyperlink" Target="https://gontocal.com/product-bremen-20-x-20-ml-2403281108027221.h" TargetMode="External"/><Relationship Id="rId23" Type="http://schemas.openxmlformats.org/officeDocument/2006/relationships/hyperlink" Target="https://www.lilis.com.ar/mascara-de-oxigeno-6-graduaciones-pediatrica-hg-113" TargetMode="External"/><Relationship Id="rId28" Type="http://schemas.openxmlformats.org/officeDocument/2006/relationships/hyperlink" Target="https://cirugiarex.com.ar/producto/venda-enseyada-fraguada-rapido-15cm-x-4m/" TargetMode="External"/><Relationship Id="rId49" Type="http://schemas.openxmlformats.org/officeDocument/2006/relationships/hyperlink" Target="https://www.tiendahospimed.com.ar/MLA-1390492031-sonda-foley-3-vias-100-silicona-_JM" TargetMode="External"/><Relationship Id="rId114" Type="http://schemas.openxmlformats.org/officeDocument/2006/relationships/hyperlink" Target="https://www.insumotiendasaludonline.com.ar/productos/macrogotero-sin-aguja-v14-caja-x-200-unidades-a-ruedita-novamed/" TargetMode="External"/><Relationship Id="rId119" Type="http://schemas.openxmlformats.org/officeDocument/2006/relationships/hyperlink" Target="https://www.insumotiendasaludonline.com.ar/productos/jeringas-5cc-sin-aguja-caja-x-100-novamed/" TargetMode="External"/><Relationship Id="rId44" Type="http://schemas.openxmlformats.org/officeDocument/2006/relationships/hyperlink" Target="https://cirugiarex.com.ar/producto/llave-de-3-vias-esteril-klf/" TargetMode="External"/><Relationship Id="rId60" Type="http://schemas.openxmlformats.org/officeDocument/2006/relationships/hyperlink" Target="https://cirugiarex.com.ar/producto/dacril-acido-poliglicolico-hilo-multifilamento/" TargetMode="External"/><Relationship Id="rId65" Type="http://schemas.openxmlformats.org/officeDocument/2006/relationships/hyperlink" Target="https://gontocal.com/product-meril-2405090611465975.h" TargetMode="External"/><Relationship Id="rId81" Type="http://schemas.openxmlformats.org/officeDocument/2006/relationships/hyperlink" Target="https://www.tiendahospimed.com.ar/MLA-843214352-cubreobjetos-de-vidrio-20x20-300-unidades-_JM" TargetMode="External"/><Relationship Id="rId86" Type="http://schemas.openxmlformats.org/officeDocument/2006/relationships/hyperlink" Target="https://www.onelab.com.ar/cinta-indicadora-autoadhesiva-para-procesos-de-esterilizacion-ct40-vh2o2" TargetMode="External"/><Relationship Id="rId130" Type="http://schemas.openxmlformats.org/officeDocument/2006/relationships/hyperlink" Target="https://www.lilis.com.ar/mascara-de-oxigeno-6-graduaciones-pediatrica-hg-113" TargetMode="External"/><Relationship Id="rId135" Type="http://schemas.openxmlformats.org/officeDocument/2006/relationships/hyperlink" Target="https://www.lilis.com.ar/sutura-de-nylon-supralon-todos-los-tama-os" TargetMode="External"/><Relationship Id="rId151" Type="http://schemas.openxmlformats.org/officeDocument/2006/relationships/hyperlink" Target="https://www.insumotiendasaludonline.com.ar/productos/panales-babysec-premium-tanga-hiper-m-x-52u-x-4-paq/" TargetMode="External"/><Relationship Id="rId156" Type="http://schemas.openxmlformats.org/officeDocument/2006/relationships/hyperlink" Target="https://www.insumotiendasaludonline.com.ar/productos/panal-anatomico-juvenil-c-barreras-25-40kg-10-paquetes-x-8u-nonino/" TargetMode="External"/><Relationship Id="rId177" Type="http://schemas.openxmlformats.org/officeDocument/2006/relationships/hyperlink" Target="https://www.kine-estetic.com/products/tela-adhesiva-hospitalaria-ancho-10-cm-x-unidad" TargetMode="External"/><Relationship Id="rId198" Type="http://schemas.openxmlformats.org/officeDocument/2006/relationships/hyperlink" Target="https://cirugiarex.com.ar/producto/placa-de-petri-vidrio-60-x-15-mm/" TargetMode="External"/><Relationship Id="rId172" Type="http://schemas.openxmlformats.org/officeDocument/2006/relationships/hyperlink" Target="https://www.lilis.com.ar/sonda-k-32-nasogastrica-s-33" TargetMode="External"/><Relationship Id="rId193" Type="http://schemas.openxmlformats.org/officeDocument/2006/relationships/hyperlink" Target="https://norces.mercadoshops.com.ar/MLA-675379943-tubo-khan-plastico-pp-opaco-12-x-75-mm-x-500-un-paralwall-_JM" TargetMode="External"/><Relationship Id="rId202" Type="http://schemas.openxmlformats.org/officeDocument/2006/relationships/hyperlink" Target="https://www.lilis.com.ar/venda-yeso-rapida-20-4-fave-gypsofix-25" TargetMode="External"/><Relationship Id="rId207" Type="http://schemas.openxmlformats.org/officeDocument/2006/relationships/hyperlink" Target="https://www.lilis.com.ar/resucitador-manual-adulto-hand-83968" TargetMode="External"/><Relationship Id="rId223" Type="http://schemas.openxmlformats.org/officeDocument/2006/relationships/hyperlink" Target="https://www.onelab.com.ar/indicador-emulador-it31-dry-x-250u" TargetMode="External"/><Relationship Id="rId228" Type="http://schemas.openxmlformats.org/officeDocument/2006/relationships/hyperlink" Target="https://www.grimbergdentales.com/rollo-pouch-30cm-200mt-efelab/p" TargetMode="External"/><Relationship Id="rId244" Type="http://schemas.openxmlformats.org/officeDocument/2006/relationships/printerSettings" Target="../printerSettings/printerSettings1.bin"/><Relationship Id="rId13" Type="http://schemas.openxmlformats.org/officeDocument/2006/relationships/hyperlink" Target="https://www.lilis.com.ar/barbijo-triple-con-elastico-50-negro" TargetMode="External"/><Relationship Id="rId18" Type="http://schemas.openxmlformats.org/officeDocument/2006/relationships/hyperlink" Target="https://cirugiarex.com.ar/producto/jeringa-hipodermica-descartable-5ml-darling/" TargetMode="External"/><Relationship Id="rId39" Type="http://schemas.openxmlformats.org/officeDocument/2006/relationships/hyperlink" Target="https://www.lilis.com.ar/agujas-terumo-todos-los-tama-os" TargetMode="External"/><Relationship Id="rId109" Type="http://schemas.openxmlformats.org/officeDocument/2006/relationships/hyperlink" Target="https://www.tiendahospimed.com.ar/MLA-808478889-gel-neutro-1-kg-x-2-unidades-_JM" TargetMode="External"/><Relationship Id="rId34" Type="http://schemas.openxmlformats.org/officeDocument/2006/relationships/hyperlink" Target="https://www.lilis.com.ar/agujas-terumo-todos-los-tama-os" TargetMode="External"/><Relationship Id="rId50" Type="http://schemas.openxmlformats.org/officeDocument/2006/relationships/hyperlink" Target="https://www.tiendahospimed.com.ar/MLA-854138982-termometro-digital-lectura-rapida-exatherm-_JM" TargetMode="External"/><Relationship Id="rId55" Type="http://schemas.openxmlformats.org/officeDocument/2006/relationships/hyperlink" Target="https://cirugiarex.com.ar/producto/nylon-monofilamento/" TargetMode="External"/><Relationship Id="rId76" Type="http://schemas.openxmlformats.org/officeDocument/2006/relationships/hyperlink" Target="https://cirugiarex.com.ar/producto/tubo-de-ensayo-vidrio-15cm/" TargetMode="External"/><Relationship Id="rId97" Type="http://schemas.openxmlformats.org/officeDocument/2006/relationships/hyperlink" Target="https://gontocal.com/product-surgizime-1-litro-2312281053597812.h" TargetMode="External"/><Relationship Id="rId104" Type="http://schemas.openxmlformats.org/officeDocument/2006/relationships/hyperlink" Target="https://www.tiendahospimed.com.ar/MLA-1119006063-filtro-para-espirometro-3030-microgard-ii-_JM" TargetMode="External"/><Relationship Id="rId120" Type="http://schemas.openxmlformats.org/officeDocument/2006/relationships/hyperlink" Target="https://cirugiarex.com.ar/producto/jeringa-hipodermica-descartable-10ml-darling/" TargetMode="External"/><Relationship Id="rId125" Type="http://schemas.openxmlformats.org/officeDocument/2006/relationships/hyperlink" Target="https://www.consortiumsalud.com/jeringa-descartable-tuberculina-c-aguja-25x6-x100.html" TargetMode="External"/><Relationship Id="rId141" Type="http://schemas.openxmlformats.org/officeDocument/2006/relationships/hyperlink" Target="https://www.lilis.com.ar/sutura-poliglyd-todos-los-tama-os" TargetMode="External"/><Relationship Id="rId146" Type="http://schemas.openxmlformats.org/officeDocument/2006/relationships/hyperlink" Target="https://findingsolutions.mercadoshops.com.ar/MLA-896451830-aguja-descartable-hipodermica-258-21x1-euromix-_JM" TargetMode="External"/><Relationship Id="rId167" Type="http://schemas.openxmlformats.org/officeDocument/2006/relationships/hyperlink" Target="https://www.tienda.ioa.com.ar/productos/sonda-para-intubacion-gastrica-k9/?variant=327592994&amp;pf=mc&amp;srsltid=AfmBOoo-tzWYxCEx15jheBq-0sZl_G7zsoTmVDtn8GCNKmQk9tcf0rxbpZg" TargetMode="External"/><Relationship Id="rId188" Type="http://schemas.openxmlformats.org/officeDocument/2006/relationships/hyperlink" Target="https://www.medprefer.com/flexguard-tubo-endotraqueal-s-balon-id-4-0-mm-10u-caja?srsltid=AfmBOorWFenrZC9B8fAYDV4zh7kiVhRX3q_Go-2u5WKylY96rCiB7uoMb_w" TargetMode="External"/><Relationship Id="rId7" Type="http://schemas.openxmlformats.org/officeDocument/2006/relationships/hyperlink" Target="https://cirugiarex.com.ar/producto/baja-lengua-de-madera-pediatricos-x100-unidades/" TargetMode="External"/><Relationship Id="rId71" Type="http://schemas.openxmlformats.org/officeDocument/2006/relationships/hyperlink" Target="https://www.insumotiendasaludonline.com.ar/productos/panal-anatomico-elastizado-adulto-nonino-plus-g-45-75kg-x-16-unidades-x-5-paquetes/" TargetMode="External"/><Relationship Id="rId92" Type="http://schemas.openxmlformats.org/officeDocument/2006/relationships/hyperlink" Target="https://www.insumotiendasaludonline.com.ar/productos/indicador-biologico-bt110-oe-rapido-x-50u-terragene/" TargetMode="External"/><Relationship Id="rId162" Type="http://schemas.openxmlformats.org/officeDocument/2006/relationships/hyperlink" Target="https://www.lilis.com.ar/pinza-maier-medisul-descartable-10-uni" TargetMode="External"/><Relationship Id="rId183" Type="http://schemas.openxmlformats.org/officeDocument/2006/relationships/hyperlink" Target="https://gontocal.com/product-well-lead-sin-balon-2308120715462081.h" TargetMode="External"/><Relationship Id="rId213" Type="http://schemas.openxmlformats.org/officeDocument/2006/relationships/hyperlink" Target="https://www.allinsumos.com.ar/productos/micronebulizador-con-mascara-elastico-y-tubuladura/" TargetMode="External"/><Relationship Id="rId218" Type="http://schemas.openxmlformats.org/officeDocument/2006/relationships/hyperlink" Target="https://articulo.mercadolibre.com.ar/MLA-1874291128-tubuladura-corrugada-para-conexiones-respiratorias-152mt-_JM?matt_tool=38087446&amp;utm_source=google_shopping&amp;utm_medium=organic" TargetMode="External"/><Relationship Id="rId234" Type="http://schemas.openxmlformats.org/officeDocument/2006/relationships/hyperlink" Target="https://lafontsrl.com.ar/productos/spray-de-silicona-oks-1361-importado/?variant=879711713&amp;pf=mc" TargetMode="External"/><Relationship Id="rId239" Type="http://schemas.openxmlformats.org/officeDocument/2006/relationships/hyperlink" Target="https://www.lilis.com.ar/porta-objetos-chino-comun-50" TargetMode="External"/><Relationship Id="rId2" Type="http://schemas.openxmlformats.org/officeDocument/2006/relationships/hyperlink" Target="https://cirugiarex.com.ar/producto/venda-ovata-de-algodon-10cm-x-3m/" TargetMode="External"/><Relationship Id="rId29" Type="http://schemas.openxmlformats.org/officeDocument/2006/relationships/hyperlink" Target="https://www.lilis.com.ar/venda-cambric-orillada-7-3-plus" TargetMode="External"/><Relationship Id="rId24" Type="http://schemas.openxmlformats.org/officeDocument/2006/relationships/hyperlink" Target="https://www.lilis.com.ar/papel-para-video-printer-sony-negro-hd-ha" TargetMode="External"/><Relationship Id="rId40" Type="http://schemas.openxmlformats.org/officeDocument/2006/relationships/hyperlink" Target="https://cirugiarex.com.ar/producto/tegaderm-1626-10x12cm-3m/" TargetMode="External"/><Relationship Id="rId45" Type="http://schemas.openxmlformats.org/officeDocument/2006/relationships/hyperlink" Target="https://www.tiendahospimed.com.ar/MLA-1390517757-sonda-foley-2-vias-latex-_JM" TargetMode="External"/><Relationship Id="rId66" Type="http://schemas.openxmlformats.org/officeDocument/2006/relationships/hyperlink" Target="https://gontocal.com/product-meril-2405090611465975.h" TargetMode="External"/><Relationship Id="rId87" Type="http://schemas.openxmlformats.org/officeDocument/2006/relationships/hyperlink" Target="https://cirugiarex.com.ar/producto/tela-adhesiva-microporosa-euromix/?srsltid=AfmBOoo2cPIfckP3ItXvdaZHiKazmcyLCBlgJIWrFH_KJwkTeufzQbgb" TargetMode="External"/><Relationship Id="rId110" Type="http://schemas.openxmlformats.org/officeDocument/2006/relationships/hyperlink" Target="https://www.insumotiendasaludonline.com.ar/productos/guantes-examen-latex-talle-m-caja-x-100u-aurinco/" TargetMode="External"/><Relationship Id="rId115" Type="http://schemas.openxmlformats.org/officeDocument/2006/relationships/hyperlink" Target="https://www.kine-estetic.com/products/guia-de-suero-perfus-n-2-v17p-microgotero-sin-aguja-con-chapita-admisol" TargetMode="External"/><Relationship Id="rId131" Type="http://schemas.openxmlformats.org/officeDocument/2006/relationships/hyperlink" Target="https://www.lilis.com.ar/mascara-de-oxigeno-6-graduaciones-hg-adulta-59498" TargetMode="External"/><Relationship Id="rId136" Type="http://schemas.openxmlformats.org/officeDocument/2006/relationships/hyperlink" Target="https://www.lilis.com.ar/sutura-de-nylon-supralon-todos-los-tama-os" TargetMode="External"/><Relationship Id="rId157" Type="http://schemas.openxmlformats.org/officeDocument/2006/relationships/hyperlink" Target="https://www.lilis.com.ar/ba-o-facil-manzanilla-10-unidades" TargetMode="External"/><Relationship Id="rId178" Type="http://schemas.openxmlformats.org/officeDocument/2006/relationships/hyperlink" Target="https://www.lilis.com.ar/tela-adhesiva-micropore-5-sin-carretel-16558" TargetMode="External"/><Relationship Id="rId61" Type="http://schemas.openxmlformats.org/officeDocument/2006/relationships/hyperlink" Target="https://cirugiarex.com.ar/producto/dacril-acido-poliglicolico-hilo-multifilamento/" TargetMode="External"/><Relationship Id="rId82" Type="http://schemas.openxmlformats.org/officeDocument/2006/relationships/hyperlink" Target="https://gontocal.com/product-sail-2308120658426353.h" TargetMode="External"/><Relationship Id="rId152" Type="http://schemas.openxmlformats.org/officeDocument/2006/relationships/hyperlink" Target="https://www.insumotiendasaludonline.com.ar/productos/panales-babysec-premium-g-grande-jumbo-pack-60-x-3-paq/" TargetMode="External"/><Relationship Id="rId173" Type="http://schemas.openxmlformats.org/officeDocument/2006/relationships/hyperlink" Target="https://www.insumotiendasaludonline.com.ar/productos/sonda-foley-2-vias-100-silicona-pura-n-16-caja-x-10ps-star-kangyuang/" TargetMode="External"/><Relationship Id="rId194" Type="http://schemas.openxmlformats.org/officeDocument/2006/relationships/hyperlink" Target="https://gontocal.com/product-bremen-2309051241011434.h" TargetMode="External"/><Relationship Id="rId199" Type="http://schemas.openxmlformats.org/officeDocument/2006/relationships/hyperlink" Target="https://www.insumotiendasaludonline.com.ar/productos/frasco-recolector-150ml-pp-esteril-individual-x-350u-deltalab/" TargetMode="External"/><Relationship Id="rId203" Type="http://schemas.openxmlformats.org/officeDocument/2006/relationships/hyperlink" Target="https://cirugiarex.com.ar/producto/venda-cambric-7-cm-x3mm-antar/" TargetMode="External"/><Relationship Id="rId208" Type="http://schemas.openxmlformats.org/officeDocument/2006/relationships/hyperlink" Target="https://www.lilis.com.ar/resucitador-manual-adulto-hand-83968" TargetMode="External"/><Relationship Id="rId229" Type="http://schemas.openxmlformats.org/officeDocument/2006/relationships/hyperlink" Target="https://ipeinsumosparaesterilizacion.mercadoshops.com.ar/MLA-858221642-pouch-40cm-x-200mts-para-autoclave-_JM" TargetMode="External"/><Relationship Id="rId19" Type="http://schemas.openxmlformats.org/officeDocument/2006/relationships/hyperlink" Target="https://www.tiendahospimed.com.ar/MLA-839003144-jeringa-descartable-10-ml-sin-aguja-100-unidades-_JM?searchVariation=50638348833" TargetMode="External"/><Relationship Id="rId224" Type="http://schemas.openxmlformats.org/officeDocument/2006/relationships/hyperlink" Target="https://www.onelab.com.ar/indicador-quimico-en-tira-para-procesos-de-esterilizacion-vh2o2-x-250u?gad_source=1&amp;gclid=CjwKCAjwoJa2BhBPEiwA0l0ImLTb22A12-Z9WYUg_LRDg3hvuJW9lA0onm9AwFJTNpFkjc-IGbNHMxoC448QAvD_BwE" TargetMode="External"/><Relationship Id="rId240" Type="http://schemas.openxmlformats.org/officeDocument/2006/relationships/hyperlink" Target="https://articulo.mercadolibre.com.ar/MLA-920089845-lapiz-dermografico-mitsu-bishi-para-piel-x-unidad-16740-_JM" TargetMode="External"/><Relationship Id="rId14" Type="http://schemas.openxmlformats.org/officeDocument/2006/relationships/hyperlink" Target="https://www.tiendahospimed.com.ar/MLA-915340507-descartador-agujas-y-cortopunzantes-negro-4-litros-_JM" TargetMode="External"/><Relationship Id="rId30" Type="http://schemas.openxmlformats.org/officeDocument/2006/relationships/hyperlink" Target="https://www.lilis.com.ar/venda-cambric-orillada-10-3-plus" TargetMode="External"/><Relationship Id="rId35" Type="http://schemas.openxmlformats.org/officeDocument/2006/relationships/hyperlink" Target="https://www.lilis.com.ar/filtro-antibacterial-para-espirometro-mir" TargetMode="External"/><Relationship Id="rId56" Type="http://schemas.openxmlformats.org/officeDocument/2006/relationships/hyperlink" Target="https://cirugiarex.com.ar/producto/nylon-monofilamento/" TargetMode="External"/><Relationship Id="rId77" Type="http://schemas.openxmlformats.org/officeDocument/2006/relationships/hyperlink" Target="https://www.tiendahospimed.com.ar/MLA-1440167235-frasco-esteril-sin-caja-125ml-10-unidades-_JM" TargetMode="External"/><Relationship Id="rId100" Type="http://schemas.openxmlformats.org/officeDocument/2006/relationships/hyperlink" Target="https://www.insumotiendasaludonline.com.ar/productos/especulo-vaginal-descartable-chico-greyton/" TargetMode="External"/><Relationship Id="rId105" Type="http://schemas.openxmlformats.org/officeDocument/2006/relationships/hyperlink" Target="https://www.tienda.ioa.com.ar/productos/frasco-humidificador-tapa-verde/?variant=344892091&amp;pf=mc&amp;srsltid=AfmBOoq_hJOsJhL7kJO4pu7oXbQLfxn5E_sojom7yyuulhePSqVkJsCUqjQ" TargetMode="External"/><Relationship Id="rId126" Type="http://schemas.openxmlformats.org/officeDocument/2006/relationships/hyperlink" Target="https://www.lilis.com.ar/llave-de-3-vias" TargetMode="External"/><Relationship Id="rId147" Type="http://schemas.openxmlformats.org/officeDocument/2006/relationships/hyperlink" Target="https://www.kine-estetic.com/products/aguja-insulina-31g-x-5mm-pack-x-100-unidades-coronet" TargetMode="External"/><Relationship Id="rId168" Type="http://schemas.openxmlformats.org/officeDocument/2006/relationships/hyperlink" Target="https://articulo.mercadolibre.com.ar/MLA-1476365264-sonda-para-intubacion-gastrica-k-11-tipo-levine-x-10-u-_JM?matt_tool=38087446&amp;utm_source=google_shopping&amp;utm_medium=organic" TargetMode="External"/><Relationship Id="rId8" Type="http://schemas.openxmlformats.org/officeDocument/2006/relationships/hyperlink" Target="https://cirugiarex.com.ar/producto/cofia-descartable-x100-unidades-lyncmed/" TargetMode="External"/><Relationship Id="rId51" Type="http://schemas.openxmlformats.org/officeDocument/2006/relationships/hyperlink" Target="https://www.consortiumsalud.com/marca/sunmed-5752" TargetMode="External"/><Relationship Id="rId72" Type="http://schemas.openxmlformats.org/officeDocument/2006/relationships/hyperlink" Target="https://www.insumotiendasaludonline.com.ar/productos/plenitud-protect-panal-adulto-med-416-10-hs/" TargetMode="External"/><Relationship Id="rId93" Type="http://schemas.openxmlformats.org/officeDocument/2006/relationships/hyperlink" Target="https://www.lilis.com.ar/descartador-agujas-y-corto-punz-e-4" TargetMode="External"/><Relationship Id="rId98" Type="http://schemas.openxmlformats.org/officeDocument/2006/relationships/hyperlink" Target="https://www.consortiumsalud.com/desinfectante-en-espuma-surfasafe-premium-750ml.html?srsltid=AfmBOoqeb3zp374-OMNOW0i1a66YHFwxbQPJCq2vvj1cTAA7pM7He8aetGs" TargetMode="External"/><Relationship Id="rId121" Type="http://schemas.openxmlformats.org/officeDocument/2006/relationships/hyperlink" Target="https://cirugiarex.com.ar/producto/jeringa-hipodermica-descartable-20ml-darling/" TargetMode="External"/><Relationship Id="rId142" Type="http://schemas.openxmlformats.org/officeDocument/2006/relationships/hyperlink" Target="https://www.lilis.com.ar/sutura-poliglyd-todos-los-tama-os" TargetMode="External"/><Relationship Id="rId163" Type="http://schemas.openxmlformats.org/officeDocument/2006/relationships/hyperlink" Target="https://www.farmaciasdelsud.com.ar/shop/product/clamp-umbilical-WS2428531?srsltid=AfmBOoqXOilXJ-ER9vx2icr9g-sroVPL8-B1MH3qFnOGIfIVhYumVNJEB4U" TargetMode="External"/><Relationship Id="rId184" Type="http://schemas.openxmlformats.org/officeDocument/2006/relationships/hyperlink" Target="https://www.medprefer.com/flexguard-tubo-endotraqueal-s-balon-id-4-0-mm-10u-caja?srsltid=AfmBOorWFenrZC9B8fAYDV4zh7kiVhRX3q_Go-2u5WKylY96rCiB7uoMb_w" TargetMode="External"/><Relationship Id="rId189" Type="http://schemas.openxmlformats.org/officeDocument/2006/relationships/hyperlink" Target="https://www.tiendahospimed.com.ar/MLA-1444747495-tubo-carestainer-13x75-violeta-con-edta-k2-25ml-x-100u-_JM" TargetMode="External"/><Relationship Id="rId219" Type="http://schemas.openxmlformats.org/officeDocument/2006/relationships/hyperlink" Target="https://www.consortiumsalud.com/vara-introductor-eschmann-adulto-sunmed.html?srsltid=AfmBOor4W9kFdDV9o4PwGFVMevNqi-GFZSUXKta8GIvOkpMEUpCE5f2KUVA" TargetMode="External"/><Relationship Id="rId3" Type="http://schemas.openxmlformats.org/officeDocument/2006/relationships/hyperlink" Target="https://www.tiendahospimed.com.ar/MLA-1120422069-aposito-esteril-gasa-algodon-kraft-10x20-20-unidades-_JM" TargetMode="External"/><Relationship Id="rId214" Type="http://schemas.openxmlformats.org/officeDocument/2006/relationships/hyperlink" Target="https://articulo.mercadolibre.com.ar/MLA-1147627542-mascara-oxigeno-pediatrica-creservorio-y-tubuladura-_JM?matt_tool=38087446&amp;utm_source=google_shopping&amp;utm_medium=organic" TargetMode="External"/><Relationship Id="rId230" Type="http://schemas.openxmlformats.org/officeDocument/2006/relationships/hyperlink" Target="https://eco-go.ar/productos/bobina-papel-para-uso-industrial-25x400-delmar-/?variant=996309598&amp;pf=mc" TargetMode="External"/><Relationship Id="rId235" Type="http://schemas.openxmlformats.org/officeDocument/2006/relationships/hyperlink" Target="https://www.tiendahospimed.com.ar/MLA-1634119322-cateter-doble-j-6-fr-x-26cm-wellead-drenaje-uretral-_JM?srsltid=AfmBOorHP_Cesced1LcaRbY8swSqAuptH17AullO-7775vy57Y2vT3Xu" TargetMode="External"/><Relationship Id="rId25" Type="http://schemas.openxmlformats.org/officeDocument/2006/relationships/hyperlink" Target="https://www.tiendahospimed.com.ar/MLA-817034684-pinza-maier-ginecologica-descartable-por-5-unidades-_JM" TargetMode="External"/><Relationship Id="rId46" Type="http://schemas.openxmlformats.org/officeDocument/2006/relationships/hyperlink" Target="https://www.tiendahospimed.com.ar/MLA-1390517757-sonda-foley-2-vias-latex-_JM" TargetMode="External"/><Relationship Id="rId67" Type="http://schemas.openxmlformats.org/officeDocument/2006/relationships/hyperlink" Target="https://www.ferniplast.com/9361307-panales-adultos-nonisec-xg-con-gel-50-un/p?idsku=4914&amp;https://www.ferniplast.com/&amp;gad_source=1&amp;gclid=Cj0KCQjwq_G1BhCSARIsACc7NxoVf9kzAKsfovAMXHhoy48XFn8IxDBZC8AyZZR8RTDjM-PduhRUqMgaAryPEALw_wcB" TargetMode="External"/><Relationship Id="rId116" Type="http://schemas.openxmlformats.org/officeDocument/2006/relationships/hyperlink" Target="https://articulo.mercadolibre.com.ar/MLA-1532649040-set-de-infusion-v17-sin-aguja-bremen-microgotero-1-unidad-_JM" TargetMode="External"/><Relationship Id="rId137" Type="http://schemas.openxmlformats.org/officeDocument/2006/relationships/hyperlink" Target="https://www.lilis.com.ar/sutura-de-nylon-supralon-todos-los-tama-os" TargetMode="External"/><Relationship Id="rId158" Type="http://schemas.openxmlformats.org/officeDocument/2006/relationships/hyperlink" Target="https://cirugiarex.com.ar/producto/papel-ecg-electrocardiografo-50mm-x30-mts/" TargetMode="External"/><Relationship Id="rId20" Type="http://schemas.openxmlformats.org/officeDocument/2006/relationships/hyperlink" Target="https://www.tiendahospimed.com.ar/MLA-839005963-jeringa-descartable-20-ml-sin-aguja-50-unidades-_JM?searchVariation=50639296659" TargetMode="External"/><Relationship Id="rId41" Type="http://schemas.openxmlformats.org/officeDocument/2006/relationships/hyperlink" Target="https://cirugiarex.com.ar/producto/brocal-descartable-vertice/" TargetMode="External"/><Relationship Id="rId62" Type="http://schemas.openxmlformats.org/officeDocument/2006/relationships/hyperlink" Target="https://cirugiarex.com.ar/producto/dacril-acido-poliglicolico-hilo-multifilamento/" TargetMode="External"/><Relationship Id="rId83" Type="http://schemas.openxmlformats.org/officeDocument/2006/relationships/hyperlink" Target="https://cirugiarex.com.ar/producto/portaobjeto-de-microscopio/" TargetMode="External"/><Relationship Id="rId88" Type="http://schemas.openxmlformats.org/officeDocument/2006/relationships/hyperlink" Target="https://articulo.mercadolibre.com.ar/MLA-1728140538-circuito-cerrado-de-aspiracion-14fr-60cm-marca-huakun-_JM?matt_tool=38087446&amp;utm_source=google_shopping&amp;utm_medium=organic" TargetMode="External"/><Relationship Id="rId111" Type="http://schemas.openxmlformats.org/officeDocument/2006/relationships/hyperlink" Target="https://www.insumotiendasaludonline.com.ar/productos/guantes-de-cirugia-esteriles-n-7-0-caja-x-50-pares-kelmer/" TargetMode="External"/><Relationship Id="rId132" Type="http://schemas.openxmlformats.org/officeDocument/2006/relationships/hyperlink" Target="https://www.tiendahospimed.com.ar/MLA-1111932009-mascara-de-oxigeno-c-reguladores-arnes-y-tubuladora-_JM" TargetMode="External"/><Relationship Id="rId153" Type="http://schemas.openxmlformats.org/officeDocument/2006/relationships/hyperlink" Target="https://www.insumotiendasaludonline.com.ar/productos/panales-estrella-extra-extragrande-hiperpack-34-u-x-4-paq/" TargetMode="External"/><Relationship Id="rId174" Type="http://schemas.openxmlformats.org/officeDocument/2006/relationships/hyperlink" Target="https://www.insumotiendasaludonline.com.ar/productos/sonda-foley-silicona-100-3-vias-n-20-caja-x-10u-aurinco/" TargetMode="External"/><Relationship Id="rId179" Type="http://schemas.openxmlformats.org/officeDocument/2006/relationships/hyperlink" Target="https://cirugiarex.com.ar/producto/tela-transpore-5-00cm-x-6un-3m/" TargetMode="External"/><Relationship Id="rId195" Type="http://schemas.openxmlformats.org/officeDocument/2006/relationships/hyperlink" Target="https://gontocal.com/product-bremen-2309051241011434.h" TargetMode="External"/><Relationship Id="rId209" Type="http://schemas.openxmlformats.org/officeDocument/2006/relationships/hyperlink" Target="https://www.shop.femmto.health/tensiometro-digital-brazo-medidor-presion-arterial-enfermeria-automatico-femmto/p/MLA19441502?pdp_filters=category%3AMLA410989%7Cseller_id%3A394109866%7Citem_id%3AMLA1146476234" TargetMode="External"/><Relationship Id="rId190" Type="http://schemas.openxmlformats.org/officeDocument/2006/relationships/hyperlink" Target="https://www.tiendahospimed.com.ar/MLA-1444670127-tubo-carestaine-13x75-celeste-ccitrato-sodio-25ml-x-100u-_JM" TargetMode="External"/><Relationship Id="rId204" Type="http://schemas.openxmlformats.org/officeDocument/2006/relationships/hyperlink" Target="https://cirugiarex.com.ar/producto/venda-cambric-10-cm-x3mm-antar/" TargetMode="External"/><Relationship Id="rId220" Type="http://schemas.openxmlformats.org/officeDocument/2006/relationships/hyperlink" Target="https://www.igmainsumos.com/productos/x-25-unidades-hme-filtro-hmef-hygrobac-s-adulto-pediatrico-covidien/" TargetMode="External"/><Relationship Id="rId225" Type="http://schemas.openxmlformats.org/officeDocument/2006/relationships/hyperlink" Target="https://www.insumosodontologicosweb.com.ar/productos/pouch-para-esterilizacion-en-autoclave-rollo-200-metros/" TargetMode="External"/><Relationship Id="rId241" Type="http://schemas.openxmlformats.org/officeDocument/2006/relationships/hyperlink" Target="https://www.mercadolibre.com.ar/lapicera-boligrafo-roller-borrable-filgo-borrax-tinta-roja-color-de-la-tinta-rojo/p/MLA24865348" TargetMode="External"/><Relationship Id="rId15" Type="http://schemas.openxmlformats.org/officeDocument/2006/relationships/hyperlink" Target="https://www.tiendahospimed.com.ar/MLA-805901351-descartador-agujas-y-cortopunzantes-rojo-7-litros-_JM" TargetMode="External"/><Relationship Id="rId36" Type="http://schemas.openxmlformats.org/officeDocument/2006/relationships/hyperlink" Target="https://www.lilis.com.ar/llave-de-3-vias" TargetMode="External"/><Relationship Id="rId57" Type="http://schemas.openxmlformats.org/officeDocument/2006/relationships/hyperlink" Target="https://cirugiarex.com.ar/producto/nylon-monofilamento/" TargetMode="External"/><Relationship Id="rId106" Type="http://schemas.openxmlformats.org/officeDocument/2006/relationships/hyperlink" Target="https://www.insumotiendasaludonline.com.ar/productos/gasa-hidrof-tubular-doble-hilado-24-1-pieza-x-1-kilo-pack-x-5-piezas-x-1-kg-insumos-xxi/" TargetMode="External"/><Relationship Id="rId127" Type="http://schemas.openxmlformats.org/officeDocument/2006/relationships/hyperlink" Target="https://www.insumotiendasaludonline.com.ar/productos/aerocamara-hospitalaria-neonatal-aerospacer/" TargetMode="External"/><Relationship Id="rId10" Type="http://schemas.openxmlformats.org/officeDocument/2006/relationships/hyperlink" Target="https://www.tiendahospimed.com.ar/MLA-625881370-collar-filadelfia-collarin-inmovilizador-cervical-_JM" TargetMode="External"/><Relationship Id="rId31" Type="http://schemas.openxmlformats.org/officeDocument/2006/relationships/hyperlink" Target="https://www.tiendahospimed.com.ar/MLA-918606757-alcohol-medicinal-70-1-litro-sanicol-3-unidades-_JM" TargetMode="External"/><Relationship Id="rId52" Type="http://schemas.openxmlformats.org/officeDocument/2006/relationships/hyperlink" Target="https://www.onelab.com.ar/terragene" TargetMode="External"/><Relationship Id="rId73" Type="http://schemas.openxmlformats.org/officeDocument/2006/relationships/hyperlink" Target="https://www.insumotiendasaludonline.com.ar/productos/tubo-citrato-para-coagulacion-tamponado-al-38-x-1-200u-40ml-deltalab/" TargetMode="External"/><Relationship Id="rId78" Type="http://schemas.openxmlformats.org/officeDocument/2006/relationships/hyperlink" Target="https://www.lilis.com.ar/envase-esteril-sin-caja-125-cc-6294" TargetMode="External"/><Relationship Id="rId94" Type="http://schemas.openxmlformats.org/officeDocument/2006/relationships/hyperlink" Target="https://www.lilis.com.ar/descartador-agujas-y-corto-punz-e-7" TargetMode="External"/><Relationship Id="rId99" Type="http://schemas.openxmlformats.org/officeDocument/2006/relationships/hyperlink" Target="https://hospiinnova.com/electrodos-para-ecg/52-31118733-electrodo-meditrace-100-para-monitoreo-pedi%C3%A1trico-caja-con-10-sobres-con-100-piezas.html" TargetMode="External"/><Relationship Id="rId101" Type="http://schemas.openxmlformats.org/officeDocument/2006/relationships/hyperlink" Target="https://www.insumotiendasaludonline.com.ar/productos/especulo-vaginal-descartable-grande-packing-x-100u-greyton/" TargetMode="External"/><Relationship Id="rId122" Type="http://schemas.openxmlformats.org/officeDocument/2006/relationships/hyperlink" Target="https://gontocal.com/product-bremen-thomey-2308120611306621.h" TargetMode="External"/><Relationship Id="rId143" Type="http://schemas.openxmlformats.org/officeDocument/2006/relationships/hyperlink" Target="https://elmercadomedico.com/productos/aguja-hipodermica-descartable/" TargetMode="External"/><Relationship Id="rId148" Type="http://schemas.openxmlformats.org/officeDocument/2006/relationships/hyperlink" Target="https://www.lilis.com.ar/papagayo-plastico-masculino" TargetMode="External"/><Relationship Id="rId164" Type="http://schemas.openxmlformats.org/officeDocument/2006/relationships/hyperlink" Target="https://www.lilis.com.ar/rollo-nylon-papel-pouch-5cm-200sf-1" TargetMode="External"/><Relationship Id="rId169" Type="http://schemas.openxmlformats.org/officeDocument/2006/relationships/hyperlink" Target="https://www.lilis.com.ar/sonda-k-32-nasogastrica-s-33" TargetMode="External"/><Relationship Id="rId185" Type="http://schemas.openxmlformats.org/officeDocument/2006/relationships/hyperlink" Target="https://gontocal.com/product-well-lead-con-balon-2308120716328321.h" TargetMode="External"/><Relationship Id="rId4" Type="http://schemas.openxmlformats.org/officeDocument/2006/relationships/hyperlink" Target="https://www.lilis.com.ar/bajalenguas-adulto-100" TargetMode="External"/><Relationship Id="rId9" Type="http://schemas.openxmlformats.org/officeDocument/2006/relationships/hyperlink" Target="https://www.lilis.com.ar/chata-plastica" TargetMode="External"/><Relationship Id="rId180" Type="http://schemas.openxmlformats.org/officeDocument/2006/relationships/hyperlink" Target="https://www.farmaonline.com/hipoalergic-8025820/p?idsku=8025820&amp;gclid=Cj0KCQjwzva1BhD3ARIsADQuPnUU2dHtJIdu_4eRbEn1ns4Bcst07jeP-ykiqTPZBP8V4-ktKx2h_BQaAgGxEALw_wcB" TargetMode="External"/><Relationship Id="rId210" Type="http://schemas.openxmlformats.org/officeDocument/2006/relationships/hyperlink" Target="https://www.doctorobralomas.com.ar/productos/cera-de-soja-x-1kg/?pf=gs&amp;variant=879778413&amp;srsltid=AfmBOopySq4a25Turx6UFzdHvJes1efJH3hkOCgaWSTy6VQGRa_ReucC9Ek" TargetMode="External"/><Relationship Id="rId215" Type="http://schemas.openxmlformats.org/officeDocument/2006/relationships/hyperlink" Target="https://www.consortiumsalud.com/tubo-guedel.html?srsltid=AfmBOoq_5kw_mZwJnR7w6t6oJpq2H_IF5nPhHxynjVI2AU8RXn528ekr_9s" TargetMode="External"/><Relationship Id="rId236" Type="http://schemas.openxmlformats.org/officeDocument/2006/relationships/hyperlink" Target="https://cirugiarex.com.ar/producto/gradilla-acero-para-12-tubos/" TargetMode="External"/><Relationship Id="rId26" Type="http://schemas.openxmlformats.org/officeDocument/2006/relationships/hyperlink" Target="https://cirugiarex.com.ar/producto/cinta-hipoalergenica-micropore-3m-1530-2/" TargetMode="External"/><Relationship Id="rId231" Type="http://schemas.openxmlformats.org/officeDocument/2006/relationships/hyperlink" Target="https://articulo.mercadolibre.com.ar/MLA-1678774750-paquete-de-prueba-bowie-dick-x-10-unidades-_JM?matt_tool=38087446&amp;utm_source=google_shopping&amp;utm_medium=organic" TargetMode="External"/><Relationship Id="rId47" Type="http://schemas.openxmlformats.org/officeDocument/2006/relationships/hyperlink" Target="https://www.tiendahospimed.com.ar/MLA-1390517757-sonda-foley-2-vias-latex-_JM" TargetMode="External"/><Relationship Id="rId68" Type="http://schemas.openxmlformats.org/officeDocument/2006/relationships/hyperlink" Target="https://www.icomsalud.com.ar/MLA-1150229630-panal-adulto-nonisec-25-mas-gel-talle-grande-x-50-unidades-_JM?variation=174964036712&amp;gclid=Cj0KCQjwq_G1BhCSARIsACc7NxohWJUfuu04YleOEkTnQ_JwAsd94ONIfW-44OiLQD990Uu7sqbc8YsaApMrEALw_wcB" TargetMode="External"/><Relationship Id="rId89" Type="http://schemas.openxmlformats.org/officeDocument/2006/relationships/hyperlink" Target="https://www.consortiumsalud.com/canula-para-traqueostomia-espiralada-c-balon.html?srsltid=AfmBOopdIewhLqpDb_4NjkLPjEBgVIckZkZZJqbOjcuu_T7OUs8_hFPTRpw" TargetMode="External"/><Relationship Id="rId112" Type="http://schemas.openxmlformats.org/officeDocument/2006/relationships/hyperlink" Target="https://www.tiendahospimed.com.ar/MLA-866945877-guantes-de-nitrilo-negro-sin-polvo-x-100-unidades-_JM?searchVariation=59540783082" TargetMode="External"/><Relationship Id="rId133" Type="http://schemas.openxmlformats.org/officeDocument/2006/relationships/hyperlink" Target="https://www.allinsumos.com.ar/productos/mascara-oxigeno-con-reservorio-y-tubuladura/" TargetMode="External"/><Relationship Id="rId154" Type="http://schemas.openxmlformats.org/officeDocument/2006/relationships/hyperlink" Target="https://www.insumotiendasaludonline.com.ar/productos/panales-estrella-pequeno-megapack-30u-x-6-paq/" TargetMode="External"/><Relationship Id="rId175" Type="http://schemas.openxmlformats.org/officeDocument/2006/relationships/hyperlink" Target="https://www.insumotiendasaludonline.com.ar/productos/sonda-nelaton-uretral-pvc-k93-n12-caja-x-50-ps-novamed-kanyuang-dc-premium/" TargetMode="External"/><Relationship Id="rId196" Type="http://schemas.openxmlformats.org/officeDocument/2006/relationships/hyperlink" Target="https://cirugiarex.com.ar/producto/tubo-centrif-conico-s-graduacion/" TargetMode="External"/><Relationship Id="rId200" Type="http://schemas.openxmlformats.org/officeDocument/2006/relationships/hyperlink" Target="https://cirugiarex.com.ar/producto/venda-enseyada-fraguada-rapido-10cm-x-4m/" TargetMode="External"/><Relationship Id="rId16" Type="http://schemas.openxmlformats.org/officeDocument/2006/relationships/hyperlink" Target="https://www.tiendahospimed.com.ar/MLA-862992543-descartador-agujas-cortopunzantes-negro-1-litro-2-unidades-_JM" TargetMode="External"/><Relationship Id="rId221" Type="http://schemas.openxmlformats.org/officeDocument/2006/relationships/hyperlink" Target="https://www.kine-estetic.com/products/sonda-para-alimentacion-enteral-k-108" TargetMode="External"/><Relationship Id="rId242" Type="http://schemas.openxmlformats.org/officeDocument/2006/relationships/hyperlink" Target="https://www.insumotiendasaludonline.com.ar/productos/varillas-para-medicion-ph-rango-0-14-x-100-tiras-merck/" TargetMode="External"/><Relationship Id="rId37" Type="http://schemas.openxmlformats.org/officeDocument/2006/relationships/hyperlink" Target="https://www.lilis.com.ar/agujas-terumo-todos-los-tama-os" TargetMode="External"/><Relationship Id="rId58" Type="http://schemas.openxmlformats.org/officeDocument/2006/relationships/hyperlink" Target="https://cirugiarex.com.ar/producto/nylon-monofilamento/" TargetMode="External"/><Relationship Id="rId79" Type="http://schemas.openxmlformats.org/officeDocument/2006/relationships/hyperlink" Target="https://www.tiendahospimed.com.ar/MLA-816491348-lazo-de-extraccion-de-sangretorniquete-_JM" TargetMode="External"/><Relationship Id="rId102" Type="http://schemas.openxmlformats.org/officeDocument/2006/relationships/hyperlink" Target="https://www.insumotiendasaludonline.com.ar/productos/especulo-vaginal-descartable-mediano-medisul/" TargetMode="External"/><Relationship Id="rId123" Type="http://schemas.openxmlformats.org/officeDocument/2006/relationships/hyperlink" Target="https://www.farmaciarossomarcos.com.ar/shop/product/bremen-jeringa-descartable-3-ml-sin-aguja-x-100-unidades-WS1632212" TargetMode="External"/><Relationship Id="rId144" Type="http://schemas.openxmlformats.org/officeDocument/2006/relationships/hyperlink" Target="https://elmercadomedico.com/productos/aguja-hipodermica-descartable/" TargetMode="External"/><Relationship Id="rId90" Type="http://schemas.openxmlformats.org/officeDocument/2006/relationships/hyperlink" Target="https://www.kine-estetic.com/products/canula-para-aspiracion-campo-con-tubuladura-k66" TargetMode="External"/><Relationship Id="rId165" Type="http://schemas.openxmlformats.org/officeDocument/2006/relationships/hyperlink" Target="https://cirugiarex.com.ar/producto/llave-de-3-vias-esteril-klf-con-tubo-de-extension-de-30-cm/" TargetMode="External"/><Relationship Id="rId186" Type="http://schemas.openxmlformats.org/officeDocument/2006/relationships/hyperlink" Target="https://www.medprefer.com/flexguard-tubo-endotraqueal-s-balon-id-4-0-mm-10u-caja?srsltid=AfmBOorWFenrZC9B8fAYDV4zh7kiVhRX3q_Go-2u5WKylY96rCiB7uoMb_w" TargetMode="External"/><Relationship Id="rId211" Type="http://schemas.openxmlformats.org/officeDocument/2006/relationships/hyperlink" Target="https://www.kine-estetic.com/products/esponja-hemostatica-tipo-spongostan-standard-80-x-50-x-10mm-x-unidad-curaspon" TargetMode="External"/><Relationship Id="rId232" Type="http://schemas.openxmlformats.org/officeDocument/2006/relationships/hyperlink" Target="https://articulo.mercadolibre.com.ar/MLA-1115042004-pouch-tyvek-desde-30-cm-ancho-x-70-mtrs-_JM" TargetMode="External"/><Relationship Id="rId27" Type="http://schemas.openxmlformats.org/officeDocument/2006/relationships/hyperlink" Target="https://www.lilis.com.ar/venda-yeso-rapida-10-4-gypsofix-25" TargetMode="External"/><Relationship Id="rId48" Type="http://schemas.openxmlformats.org/officeDocument/2006/relationships/hyperlink" Target="https://www.tiendahospimed.com.ar/MLA-1390517757-sonda-foley-2-vias-latex-_JM" TargetMode="External"/><Relationship Id="rId69" Type="http://schemas.openxmlformats.org/officeDocument/2006/relationships/hyperlink" Target="https://www.icomsalud.com.ar/MLA-700157410-nonisec-adultos-refuerza-panal-clasico-por-20-unidades-_JM?searchVariation=174166338870" TargetMode="External"/><Relationship Id="rId113" Type="http://schemas.openxmlformats.org/officeDocument/2006/relationships/hyperlink" Target="https://www.tiendahospimed.com.ar/MLA-1291850372-guia-suero-macrogotero-cchapa-v-14-x-10-unidades-sin-aguja-_JM" TargetMode="External"/><Relationship Id="rId134" Type="http://schemas.openxmlformats.org/officeDocument/2006/relationships/hyperlink" Target="https://www.tiendahospimed.com.ar/MLA-1111930436-mascara-de-oxigeno-c-reservorio-arnes-y-tubuladora-_JM" TargetMode="External"/><Relationship Id="rId80" Type="http://schemas.openxmlformats.org/officeDocument/2006/relationships/hyperlink" Target="https://cirugiarex.com.ar/producto/cubreobjetos-x-100-un-bremen/" TargetMode="External"/><Relationship Id="rId155" Type="http://schemas.openxmlformats.org/officeDocument/2006/relationships/hyperlink" Target="https://www.insumotiendasaludonline.com.ar/productos/plenitud-classic-panal-adulto-elastizado-mediano-x-16-pads-x-4-paq/" TargetMode="External"/><Relationship Id="rId176" Type="http://schemas.openxmlformats.org/officeDocument/2006/relationships/hyperlink" Target="https://cirugiarex.com.ar/producto/tela-adhesiva-de-uso-medico-2-5cm-euromix/" TargetMode="External"/><Relationship Id="rId197" Type="http://schemas.openxmlformats.org/officeDocument/2006/relationships/hyperlink" Target="https://cirugiarex.com.ar/producto/tubo-centrif-conico-s-gradu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19"/>
  <sheetViews>
    <sheetView tabSelected="1" topLeftCell="B1" zoomScale="85" zoomScaleNormal="85" workbookViewId="0">
      <selection activeCell="I12" sqref="I12"/>
    </sheetView>
  </sheetViews>
  <sheetFormatPr baseColWidth="10" defaultColWidth="14.5" defaultRowHeight="14.25"/>
  <cols>
    <col min="1" max="1" width="10.625" hidden="1" customWidth="1"/>
    <col min="2" max="2" width="11.75" bestFit="1" customWidth="1"/>
    <col min="3" max="3" width="65.25" customWidth="1"/>
    <col min="4" max="4" width="12.875" customWidth="1"/>
    <col min="5" max="5" width="4.875" customWidth="1"/>
    <col min="6" max="6" width="20.375" customWidth="1"/>
    <col min="7" max="7" width="13.5" customWidth="1"/>
    <col min="8" max="8" width="15.25" bestFit="1" customWidth="1"/>
    <col min="9" max="9" width="10.625" customWidth="1"/>
    <col min="10" max="10" width="11.625" customWidth="1"/>
    <col min="11" max="11" width="13.5" bestFit="1" customWidth="1"/>
    <col min="12" max="12" width="10.625" customWidth="1"/>
    <col min="13" max="13" width="12.125" customWidth="1"/>
    <col min="14" max="14" width="10.625" customWidth="1"/>
    <col min="15" max="15" width="226.875" bestFit="1" customWidth="1"/>
    <col min="16" max="16" width="37.875" customWidth="1"/>
    <col min="17" max="17" width="2" customWidth="1"/>
  </cols>
  <sheetData>
    <row r="1" spans="1:17" ht="15.75" thickBot="1">
      <c r="C1" s="617" t="s">
        <v>391</v>
      </c>
      <c r="D1" s="605"/>
      <c r="E1" s="605"/>
      <c r="F1" s="605"/>
      <c r="G1" s="605"/>
      <c r="H1" s="605"/>
      <c r="I1" s="605"/>
      <c r="J1" s="605"/>
      <c r="K1" s="605"/>
      <c r="L1" s="605"/>
      <c r="M1" s="605"/>
      <c r="N1" s="605"/>
      <c r="O1" s="605"/>
      <c r="P1" s="605"/>
      <c r="Q1" s="606"/>
    </row>
    <row r="2" spans="1:17" ht="15">
      <c r="F2" s="3"/>
      <c r="G2" s="3"/>
      <c r="J2" s="3"/>
    </row>
    <row r="3" spans="1:17" ht="15">
      <c r="B3" s="618" t="s">
        <v>791</v>
      </c>
      <c r="C3" s="619"/>
      <c r="D3" s="598"/>
      <c r="E3" s="599"/>
      <c r="F3" s="620"/>
      <c r="G3" s="599"/>
      <c r="H3" s="598"/>
      <c r="I3" s="599"/>
      <c r="J3" s="598"/>
      <c r="K3" s="599"/>
      <c r="L3" s="598"/>
      <c r="M3" s="599"/>
      <c r="N3" s="598"/>
      <c r="O3" s="599"/>
      <c r="P3" s="598"/>
      <c r="Q3" s="598"/>
    </row>
    <row r="4" spans="1:17" ht="15.75" thickBot="1">
      <c r="B4" s="5"/>
      <c r="C4" s="5"/>
      <c r="D4" s="5"/>
      <c r="E4" s="5"/>
      <c r="F4" s="6"/>
      <c r="G4" s="6"/>
      <c r="H4" s="5"/>
      <c r="I4" s="5"/>
      <c r="J4" s="6"/>
      <c r="K4" s="5"/>
      <c r="L4" s="5"/>
      <c r="M4" s="5"/>
      <c r="N4" s="5"/>
      <c r="O4" s="5"/>
      <c r="P4" s="5"/>
      <c r="Q4" s="5"/>
    </row>
    <row r="5" spans="1:17" ht="15.75" thickBot="1">
      <c r="B5" s="7" t="s">
        <v>0</v>
      </c>
      <c r="C5" s="8" t="s">
        <v>1</v>
      </c>
      <c r="D5" s="9" t="s">
        <v>2</v>
      </c>
      <c r="E5" s="10"/>
      <c r="F5" s="9" t="s">
        <v>3</v>
      </c>
      <c r="G5" s="11" t="s">
        <v>4</v>
      </c>
      <c r="H5" s="12" t="s">
        <v>5</v>
      </c>
      <c r="I5" s="9" t="s">
        <v>6</v>
      </c>
      <c r="J5" s="11" t="s">
        <v>7</v>
      </c>
      <c r="K5" s="9" t="s">
        <v>8</v>
      </c>
      <c r="L5" s="7" t="s">
        <v>9</v>
      </c>
      <c r="M5" s="13" t="s">
        <v>10</v>
      </c>
      <c r="N5" s="14" t="s">
        <v>11</v>
      </c>
      <c r="O5" s="7" t="s">
        <v>12</v>
      </c>
      <c r="P5" s="9" t="s">
        <v>13</v>
      </c>
    </row>
    <row r="6" spans="1:17" ht="15.75" thickBot="1">
      <c r="B6" s="598"/>
      <c r="C6" s="599"/>
      <c r="D6" s="599"/>
      <c r="E6" s="15"/>
      <c r="F6" s="600" t="s">
        <v>14</v>
      </c>
      <c r="G6" s="599"/>
      <c r="H6" s="599"/>
      <c r="I6" s="599"/>
      <c r="J6" s="599"/>
      <c r="K6" s="599"/>
      <c r="L6" s="599"/>
      <c r="M6" s="599"/>
      <c r="N6" s="599"/>
      <c r="O6" s="599"/>
      <c r="P6" s="599"/>
    </row>
    <row r="7" spans="1:17" ht="15.75" thickBot="1">
      <c r="B7" s="16"/>
      <c r="C7" s="601" t="s">
        <v>15</v>
      </c>
      <c r="D7" s="602"/>
      <c r="E7" s="15"/>
      <c r="F7" s="603"/>
      <c r="G7" s="604"/>
      <c r="H7" s="604"/>
      <c r="I7" s="605"/>
      <c r="J7" s="605"/>
      <c r="K7" s="605"/>
      <c r="L7" s="605"/>
      <c r="M7" s="605"/>
      <c r="N7" s="605"/>
      <c r="O7" s="605"/>
      <c r="P7" s="606"/>
    </row>
    <row r="8" spans="1:17" ht="15.75" thickBot="1">
      <c r="B8" s="17">
        <v>321200019</v>
      </c>
      <c r="C8" s="488" t="s">
        <v>16</v>
      </c>
      <c r="D8" s="489" t="s">
        <v>17</v>
      </c>
      <c r="E8" s="15"/>
      <c r="F8" s="349">
        <f t="shared" ref="F8:F13" si="0">+(G8+J8)/2</f>
        <v>3332</v>
      </c>
      <c r="G8" s="540">
        <v>3332</v>
      </c>
      <c r="H8" s="541" t="s">
        <v>18</v>
      </c>
      <c r="I8" s="487" t="s">
        <v>430</v>
      </c>
      <c r="J8" s="61">
        <v>3332</v>
      </c>
      <c r="K8" s="19" t="s">
        <v>635</v>
      </c>
      <c r="L8" s="238" t="s">
        <v>943</v>
      </c>
      <c r="M8" s="22"/>
      <c r="N8" s="22"/>
      <c r="O8" s="23"/>
      <c r="P8" s="24"/>
    </row>
    <row r="9" spans="1:17" s="365" customFormat="1" ht="15.75" thickBot="1">
      <c r="B9" s="17">
        <v>321200019</v>
      </c>
      <c r="C9" s="488" t="s">
        <v>634</v>
      </c>
      <c r="D9" s="489"/>
      <c r="E9" s="15"/>
      <c r="F9" s="349">
        <f t="shared" si="0"/>
        <v>3480</v>
      </c>
      <c r="G9" s="540">
        <v>3332</v>
      </c>
      <c r="H9" s="541" t="s">
        <v>635</v>
      </c>
      <c r="I9" s="487" t="s">
        <v>430</v>
      </c>
      <c r="J9" s="61">
        <v>3628</v>
      </c>
      <c r="K9" s="19" t="s">
        <v>635</v>
      </c>
      <c r="L9" s="238" t="s">
        <v>636</v>
      </c>
      <c r="M9" s="334"/>
      <c r="N9" s="334"/>
      <c r="O9" s="353"/>
      <c r="P9" s="32"/>
    </row>
    <row r="10" spans="1:17" s="365" customFormat="1" ht="15.75" thickBot="1">
      <c r="B10" s="17">
        <v>321200019</v>
      </c>
      <c r="C10" s="488" t="s">
        <v>637</v>
      </c>
      <c r="D10" s="489"/>
      <c r="E10" s="15"/>
      <c r="F10" s="349">
        <f t="shared" si="0"/>
        <v>5437.5</v>
      </c>
      <c r="G10" s="540">
        <v>8554</v>
      </c>
      <c r="H10" s="541" t="s">
        <v>635</v>
      </c>
      <c r="I10" s="487" t="s">
        <v>639</v>
      </c>
      <c r="J10" s="61">
        <v>2321</v>
      </c>
      <c r="K10" s="28"/>
      <c r="L10" s="238" t="s">
        <v>638</v>
      </c>
      <c r="M10" s="334"/>
      <c r="N10" s="334"/>
      <c r="O10" s="353"/>
      <c r="P10" s="32"/>
    </row>
    <row r="11" spans="1:17" s="312" customFormat="1" ht="15.75" thickBot="1">
      <c r="B11" s="611">
        <v>320700022</v>
      </c>
      <c r="C11" s="490" t="s">
        <v>546</v>
      </c>
      <c r="D11" s="491" t="s">
        <v>17</v>
      </c>
      <c r="E11" s="15"/>
      <c r="F11" s="349">
        <f t="shared" si="0"/>
        <v>33.4</v>
      </c>
      <c r="G11" s="540">
        <v>24.5</v>
      </c>
      <c r="H11" s="542" t="s">
        <v>23</v>
      </c>
      <c r="I11" s="238" t="s">
        <v>431</v>
      </c>
      <c r="J11" s="61">
        <v>42.3</v>
      </c>
      <c r="K11" s="28"/>
      <c r="L11" s="238" t="s">
        <v>547</v>
      </c>
      <c r="M11" s="334"/>
      <c r="N11" s="334"/>
      <c r="O11" s="353"/>
      <c r="P11" s="32"/>
    </row>
    <row r="12" spans="1:17" s="312" customFormat="1" ht="15.75" thickBot="1">
      <c r="B12" s="612"/>
      <c r="C12" s="490" t="s">
        <v>548</v>
      </c>
      <c r="D12" s="491" t="s">
        <v>17</v>
      </c>
      <c r="E12" s="15"/>
      <c r="F12" s="349">
        <f t="shared" si="0"/>
        <v>145.16</v>
      </c>
      <c r="G12" s="540">
        <v>90.32</v>
      </c>
      <c r="H12" s="544" t="s">
        <v>350</v>
      </c>
      <c r="I12" s="330" t="s">
        <v>910</v>
      </c>
      <c r="J12" s="61">
        <f>20000/100</f>
        <v>200</v>
      </c>
      <c r="K12" s="19" t="s">
        <v>27</v>
      </c>
      <c r="L12" s="238" t="s">
        <v>944</v>
      </c>
      <c r="M12" s="334"/>
      <c r="N12" s="334"/>
      <c r="O12" s="353"/>
      <c r="P12" s="32"/>
    </row>
    <row r="13" spans="1:17" s="312" customFormat="1" ht="15.75" thickBot="1">
      <c r="B13" s="612"/>
      <c r="C13" s="492" t="s">
        <v>927</v>
      </c>
      <c r="D13" s="491" t="s">
        <v>17</v>
      </c>
      <c r="E13" s="15"/>
      <c r="F13" s="349">
        <f t="shared" si="0"/>
        <v>363.05500000000001</v>
      </c>
      <c r="G13" s="540">
        <v>333.5</v>
      </c>
      <c r="H13" s="542" t="s">
        <v>550</v>
      </c>
      <c r="I13" s="487" t="s">
        <v>549</v>
      </c>
      <c r="J13" s="61">
        <f>39261/100</f>
        <v>392.61</v>
      </c>
      <c r="K13" s="278" t="s">
        <v>543</v>
      </c>
      <c r="L13" s="238" t="s">
        <v>911</v>
      </c>
      <c r="M13" s="334"/>
      <c r="N13" s="334"/>
      <c r="O13" s="353"/>
      <c r="P13" s="32"/>
    </row>
    <row r="14" spans="1:17" ht="15.75" thickBot="1">
      <c r="A14" t="s">
        <v>19</v>
      </c>
      <c r="B14" s="612"/>
      <c r="C14" s="492" t="s">
        <v>20</v>
      </c>
      <c r="D14" s="491" t="s">
        <v>17</v>
      </c>
      <c r="E14" s="15"/>
      <c r="F14" s="349">
        <f t="shared" ref="F14:F22" si="1">+(G14+J14)/2</f>
        <v>97.54</v>
      </c>
      <c r="G14" s="540">
        <v>24.5</v>
      </c>
      <c r="H14" s="542" t="s">
        <v>23</v>
      </c>
      <c r="I14" s="238" t="s">
        <v>431</v>
      </c>
      <c r="J14" s="61">
        <f>17058/100</f>
        <v>170.58</v>
      </c>
      <c r="K14" s="28" t="s">
        <v>392</v>
      </c>
      <c r="L14" s="238" t="s">
        <v>24</v>
      </c>
      <c r="M14" s="30"/>
      <c r="N14" s="30"/>
      <c r="O14" s="31"/>
      <c r="P14" s="32"/>
    </row>
    <row r="15" spans="1:17" ht="15.75" thickBot="1">
      <c r="A15" t="s">
        <v>21</v>
      </c>
      <c r="B15" s="612"/>
      <c r="C15" s="492" t="s">
        <v>22</v>
      </c>
      <c r="D15" s="491" t="s">
        <v>17</v>
      </c>
      <c r="E15" s="15"/>
      <c r="F15" s="349">
        <f t="shared" si="1"/>
        <v>106.505</v>
      </c>
      <c r="G15" s="540">
        <v>24.5</v>
      </c>
      <c r="H15" s="542" t="s">
        <v>23</v>
      </c>
      <c r="I15" s="487" t="s">
        <v>431</v>
      </c>
      <c r="J15" s="61">
        <v>188.51</v>
      </c>
      <c r="K15" s="28" t="s">
        <v>392</v>
      </c>
      <c r="L15" s="238" t="s">
        <v>24</v>
      </c>
      <c r="M15" s="1"/>
      <c r="N15" s="1"/>
      <c r="O15" s="1"/>
      <c r="P15" s="32"/>
    </row>
    <row r="16" spans="1:17" ht="15.75" thickBot="1">
      <c r="A16" t="s">
        <v>25</v>
      </c>
      <c r="B16" s="612"/>
      <c r="C16" s="492" t="s">
        <v>26</v>
      </c>
      <c r="D16" s="491" t="s">
        <v>17</v>
      </c>
      <c r="E16" s="15"/>
      <c r="F16" s="349">
        <f t="shared" si="1"/>
        <v>25.9</v>
      </c>
      <c r="G16" s="540">
        <v>22.8</v>
      </c>
      <c r="H16" s="543" t="s">
        <v>36</v>
      </c>
      <c r="I16" s="238" t="s">
        <v>432</v>
      </c>
      <c r="J16" s="61">
        <f>2900/100</f>
        <v>29</v>
      </c>
      <c r="K16" s="33" t="s">
        <v>23</v>
      </c>
      <c r="L16" s="239" t="s">
        <v>431</v>
      </c>
      <c r="M16" s="38"/>
      <c r="N16" s="39"/>
      <c r="O16" s="40"/>
      <c r="P16" s="32"/>
    </row>
    <row r="17" spans="1:16" ht="15.75" thickBot="1">
      <c r="A17" t="s">
        <v>28</v>
      </c>
      <c r="B17" s="612"/>
      <c r="C17" s="492" t="s">
        <v>29</v>
      </c>
      <c r="D17" s="491" t="s">
        <v>17</v>
      </c>
      <c r="E17" s="41"/>
      <c r="F17" s="349">
        <f t="shared" si="1"/>
        <v>290.55500000000001</v>
      </c>
      <c r="G17" s="540">
        <v>392.6</v>
      </c>
      <c r="H17" s="542" t="s">
        <v>30</v>
      </c>
      <c r="I17" s="487" t="s">
        <v>31</v>
      </c>
      <c r="J17" s="61">
        <v>188.51</v>
      </c>
      <c r="K17" s="28" t="s">
        <v>392</v>
      </c>
      <c r="L17" s="35" t="s">
        <v>24</v>
      </c>
      <c r="M17" s="1"/>
      <c r="N17" s="1"/>
      <c r="O17" s="1"/>
      <c r="P17" s="32"/>
    </row>
    <row r="18" spans="1:16" ht="15.75" thickBot="1">
      <c r="A18" t="s">
        <v>32</v>
      </c>
      <c r="B18" s="612"/>
      <c r="C18" s="492" t="s">
        <v>33</v>
      </c>
      <c r="D18" s="491" t="s">
        <v>17</v>
      </c>
      <c r="E18" s="15"/>
      <c r="F18" s="349">
        <f t="shared" si="1"/>
        <v>43.394999999999996</v>
      </c>
      <c r="G18" s="540">
        <v>31.99</v>
      </c>
      <c r="H18" s="543" t="s">
        <v>36</v>
      </c>
      <c r="I18" s="238" t="s">
        <v>936</v>
      </c>
      <c r="J18" s="61">
        <f>27400/500</f>
        <v>54.8</v>
      </c>
      <c r="K18" s="278" t="s">
        <v>434</v>
      </c>
      <c r="L18" s="43" t="s">
        <v>433</v>
      </c>
      <c r="M18" s="44"/>
      <c r="P18" s="32"/>
    </row>
    <row r="19" spans="1:16" ht="15.75" thickBot="1">
      <c r="A19" t="s">
        <v>34</v>
      </c>
      <c r="B19" s="613"/>
      <c r="C19" s="492" t="s">
        <v>35</v>
      </c>
      <c r="D19" s="491" t="s">
        <v>17</v>
      </c>
      <c r="E19" s="15"/>
      <c r="F19" s="349">
        <f t="shared" si="1"/>
        <v>108.655</v>
      </c>
      <c r="G19" s="540">
        <v>28.8</v>
      </c>
      <c r="H19" s="543" t="s">
        <v>36</v>
      </c>
      <c r="I19" s="238" t="s">
        <v>435</v>
      </c>
      <c r="J19" s="61">
        <f>18851/100</f>
        <v>188.51</v>
      </c>
      <c r="K19" s="28" t="s">
        <v>392</v>
      </c>
      <c r="L19" s="35" t="s">
        <v>24</v>
      </c>
      <c r="M19" s="1"/>
      <c r="N19" s="1"/>
      <c r="O19" s="1"/>
      <c r="P19" s="32"/>
    </row>
    <row r="20" spans="1:16" s="312" customFormat="1" ht="15.75" thickBot="1">
      <c r="B20" s="611">
        <v>32070001</v>
      </c>
      <c r="C20" s="492" t="s">
        <v>539</v>
      </c>
      <c r="D20" s="491" t="s">
        <v>17</v>
      </c>
      <c r="E20" s="15"/>
      <c r="F20" s="349">
        <f t="shared" si="1"/>
        <v>89.734999999999999</v>
      </c>
      <c r="G20" s="540">
        <v>119.99</v>
      </c>
      <c r="H20" s="543" t="s">
        <v>543</v>
      </c>
      <c r="I20" s="45" t="s">
        <v>542</v>
      </c>
      <c r="J20" s="319">
        <v>59.48</v>
      </c>
      <c r="K20" s="33" t="s">
        <v>540</v>
      </c>
      <c r="L20" s="35" t="s">
        <v>541</v>
      </c>
      <c r="M20" s="313"/>
      <c r="N20" s="313"/>
      <c r="O20" s="313"/>
      <c r="P20" s="346"/>
    </row>
    <row r="21" spans="1:16" s="312" customFormat="1" ht="15.75" thickBot="1">
      <c r="B21" s="612"/>
      <c r="C21" s="493" t="s">
        <v>544</v>
      </c>
      <c r="D21" s="491" t="s">
        <v>17</v>
      </c>
      <c r="E21" s="15"/>
      <c r="F21" s="349">
        <f t="shared" si="1"/>
        <v>89.734999999999999</v>
      </c>
      <c r="G21" s="540">
        <v>119.99</v>
      </c>
      <c r="H21" s="543" t="s">
        <v>543</v>
      </c>
      <c r="I21" s="45" t="s">
        <v>542</v>
      </c>
      <c r="J21" s="319">
        <v>59.48</v>
      </c>
      <c r="K21" s="33" t="s">
        <v>540</v>
      </c>
      <c r="L21" s="35" t="s">
        <v>541</v>
      </c>
      <c r="M21" s="313"/>
      <c r="N21" s="313"/>
      <c r="O21" s="313"/>
      <c r="P21" s="346"/>
    </row>
    <row r="22" spans="1:16" s="312" customFormat="1" ht="15.75" thickBot="1">
      <c r="B22" s="612"/>
      <c r="C22" s="494" t="s">
        <v>545</v>
      </c>
      <c r="D22" s="491" t="s">
        <v>17</v>
      </c>
      <c r="E22" s="15"/>
      <c r="F22" s="349">
        <f t="shared" si="1"/>
        <v>89.734999999999999</v>
      </c>
      <c r="G22" s="540">
        <v>119.99</v>
      </c>
      <c r="H22" s="543" t="s">
        <v>543</v>
      </c>
      <c r="I22" s="45" t="s">
        <v>542</v>
      </c>
      <c r="J22" s="319">
        <v>59.48</v>
      </c>
      <c r="K22" s="33" t="s">
        <v>540</v>
      </c>
      <c r="L22" s="35" t="s">
        <v>541</v>
      </c>
      <c r="M22" s="313"/>
      <c r="N22" s="313"/>
      <c r="O22" s="313"/>
      <c r="P22" s="346"/>
    </row>
    <row r="23" spans="1:16" s="312" customFormat="1" ht="15.75" thickBot="1">
      <c r="B23" s="315"/>
      <c r="C23" s="316"/>
      <c r="D23" s="348"/>
      <c r="E23" s="15"/>
      <c r="F23" s="349"/>
      <c r="G23" s="350"/>
      <c r="H23" s="351"/>
      <c r="I23" s="45"/>
      <c r="J23" s="319"/>
      <c r="K23" s="352"/>
      <c r="L23" s="35"/>
      <c r="M23" s="313"/>
      <c r="N23" s="313"/>
      <c r="O23" s="313"/>
      <c r="P23" s="346"/>
    </row>
    <row r="24" spans="1:16" ht="15.75" thickBot="1">
      <c r="B24" s="47"/>
      <c r="C24" s="607" t="s">
        <v>37</v>
      </c>
      <c r="D24" s="608"/>
      <c r="E24" s="15"/>
      <c r="F24" s="48"/>
      <c r="G24" s="609"/>
      <c r="H24" s="610"/>
      <c r="I24" s="610"/>
      <c r="J24" s="610"/>
      <c r="K24" s="610"/>
      <c r="L24" s="610"/>
      <c r="M24" s="610"/>
      <c r="N24" s="610"/>
      <c r="O24" s="610"/>
      <c r="P24" s="610"/>
    </row>
    <row r="25" spans="1:16" ht="15.75" thickBot="1">
      <c r="A25" t="s">
        <v>38</v>
      </c>
      <c r="B25" s="614">
        <v>31290027</v>
      </c>
      <c r="C25" s="492" t="s">
        <v>39</v>
      </c>
      <c r="D25" s="495" t="s">
        <v>40</v>
      </c>
      <c r="E25" s="15"/>
      <c r="F25" s="18">
        <f t="shared" ref="F25:F26" si="2">+(G25+J25)/2</f>
        <v>4378</v>
      </c>
      <c r="G25" s="50">
        <v>5776</v>
      </c>
      <c r="H25" s="261" t="s">
        <v>393</v>
      </c>
      <c r="I25" s="487" t="s">
        <v>928</v>
      </c>
      <c r="J25" s="52">
        <f>8940/3</f>
        <v>2980</v>
      </c>
      <c r="K25" s="261" t="s">
        <v>41</v>
      </c>
      <c r="L25" s="53" t="s">
        <v>42</v>
      </c>
      <c r="M25" s="54"/>
      <c r="N25" s="55"/>
      <c r="O25" s="56"/>
      <c r="P25" s="57" t="s">
        <v>395</v>
      </c>
    </row>
    <row r="26" spans="1:16" ht="15.75" thickBot="1">
      <c r="A26" t="s">
        <v>43</v>
      </c>
      <c r="B26" s="616"/>
      <c r="C26" s="492" t="s">
        <v>44</v>
      </c>
      <c r="D26" s="495" t="s">
        <v>45</v>
      </c>
      <c r="E26" s="15"/>
      <c r="F26" s="42">
        <f t="shared" si="2"/>
        <v>4175</v>
      </c>
      <c r="G26" s="58">
        <v>5180</v>
      </c>
      <c r="H26" s="262" t="s">
        <v>394</v>
      </c>
      <c r="I26" s="487" t="s">
        <v>929</v>
      </c>
      <c r="J26" s="61">
        <f>9510/3</f>
        <v>3170</v>
      </c>
      <c r="K26" s="262" t="s">
        <v>41</v>
      </c>
      <c r="L26" s="62" t="s">
        <v>46</v>
      </c>
      <c r="M26" s="63"/>
      <c r="N26" s="63"/>
      <c r="O26" s="64"/>
      <c r="P26" s="57" t="s">
        <v>395</v>
      </c>
    </row>
    <row r="27" spans="1:16" ht="15.75" thickBot="1">
      <c r="B27" s="47"/>
      <c r="C27" s="607" t="s">
        <v>47</v>
      </c>
      <c r="D27" s="608"/>
      <c r="E27" s="15"/>
      <c r="F27" s="66"/>
      <c r="G27" s="610"/>
      <c r="H27" s="610"/>
      <c r="I27" s="610"/>
      <c r="J27" s="610"/>
      <c r="K27" s="610"/>
      <c r="L27" s="610"/>
      <c r="M27" s="610"/>
      <c r="N27" s="610"/>
      <c r="O27" s="610"/>
      <c r="P27" s="610"/>
    </row>
    <row r="28" spans="1:16" ht="15.75" thickBot="1">
      <c r="A28" t="s">
        <v>48</v>
      </c>
      <c r="B28" s="621">
        <v>32020001</v>
      </c>
      <c r="C28" s="488" t="s">
        <v>49</v>
      </c>
      <c r="D28" s="489" t="s">
        <v>50</v>
      </c>
      <c r="E28" s="15"/>
      <c r="F28" s="42">
        <f>(G28+J28+M28)/3</f>
        <v>3893</v>
      </c>
      <c r="G28" s="67">
        <v>3795</v>
      </c>
      <c r="H28" s="265" t="s">
        <v>51</v>
      </c>
      <c r="I28" s="487" t="s">
        <v>930</v>
      </c>
      <c r="J28" s="52">
        <v>3800</v>
      </c>
      <c r="K28" s="71" t="s">
        <v>51</v>
      </c>
      <c r="L28" s="69" t="s">
        <v>436</v>
      </c>
      <c r="M28" s="70">
        <v>4084</v>
      </c>
      <c r="N28" s="71" t="s">
        <v>51</v>
      </c>
      <c r="O28" s="68" t="s">
        <v>53</v>
      </c>
      <c r="P28" s="32"/>
    </row>
    <row r="29" spans="1:16" ht="15.75" thickBot="1">
      <c r="A29" t="s">
        <v>54</v>
      </c>
      <c r="B29" s="622"/>
      <c r="C29" s="492" t="s">
        <v>55</v>
      </c>
      <c r="D29" s="495" t="s">
        <v>56</v>
      </c>
      <c r="E29" s="15"/>
      <c r="F29" s="42">
        <f>+(G29+J29)/2</f>
        <v>1049</v>
      </c>
      <c r="G29" s="58">
        <v>898</v>
      </c>
      <c r="H29" s="265" t="s">
        <v>438</v>
      </c>
      <c r="I29" s="487" t="s">
        <v>437</v>
      </c>
      <c r="J29" s="52">
        <v>1200</v>
      </c>
      <c r="K29" s="73" t="s">
        <v>57</v>
      </c>
      <c r="L29" s="74" t="s">
        <v>58</v>
      </c>
      <c r="M29" s="75"/>
      <c r="N29" s="75"/>
      <c r="O29" s="76"/>
      <c r="P29" s="32"/>
    </row>
    <row r="30" spans="1:16" s="312" customFormat="1" ht="15.75" thickBot="1">
      <c r="B30" s="622"/>
      <c r="C30" s="492" t="s">
        <v>530</v>
      </c>
      <c r="D30" s="495" t="s">
        <v>56</v>
      </c>
      <c r="E30" s="15"/>
      <c r="F30" s="340">
        <f>+G30</f>
        <v>1300</v>
      </c>
      <c r="G30" s="319">
        <v>1300</v>
      </c>
      <c r="H30" s="265" t="s">
        <v>532</v>
      </c>
      <c r="I30" s="487" t="s">
        <v>531</v>
      </c>
      <c r="J30" s="319"/>
      <c r="K30" s="322"/>
      <c r="L30" s="343"/>
      <c r="M30" s="344"/>
      <c r="N30" s="344"/>
      <c r="O30" s="345"/>
      <c r="P30" s="346"/>
    </row>
    <row r="31" spans="1:16" s="312" customFormat="1" ht="15.75" thickBot="1">
      <c r="B31" s="623"/>
      <c r="C31" s="492" t="s">
        <v>533</v>
      </c>
      <c r="D31" s="495" t="s">
        <v>56</v>
      </c>
      <c r="E31" s="15"/>
      <c r="F31" s="340">
        <f>+(G31+J31+M31)/3</f>
        <v>1895.87</v>
      </c>
      <c r="G31" s="319">
        <v>2317.71</v>
      </c>
      <c r="H31" s="265" t="s">
        <v>536</v>
      </c>
      <c r="I31" s="342" t="s">
        <v>535</v>
      </c>
      <c r="J31" s="319">
        <f>12550/5</f>
        <v>2510</v>
      </c>
      <c r="K31" s="347" t="s">
        <v>538</v>
      </c>
      <c r="L31" s="343" t="s">
        <v>537</v>
      </c>
      <c r="M31" s="70">
        <f>8599/10</f>
        <v>859.9</v>
      </c>
      <c r="N31" s="344"/>
      <c r="O31" s="345" t="s">
        <v>534</v>
      </c>
      <c r="P31" s="346"/>
    </row>
    <row r="32" spans="1:16" ht="15.75" thickBot="1">
      <c r="B32" s="47"/>
      <c r="C32" s="607" t="s">
        <v>59</v>
      </c>
      <c r="D32" s="608"/>
      <c r="E32" s="15"/>
      <c r="F32" s="66"/>
      <c r="G32" s="610"/>
      <c r="H32" s="610"/>
      <c r="I32" s="610"/>
      <c r="J32" s="610"/>
      <c r="K32" s="610"/>
      <c r="L32" s="610"/>
      <c r="M32" s="610"/>
      <c r="N32" s="610"/>
      <c r="O32" s="610"/>
      <c r="P32" s="610"/>
    </row>
    <row r="33" spans="1:16" ht="15.75" thickBot="1">
      <c r="A33" t="s">
        <v>60</v>
      </c>
      <c r="B33" s="614">
        <v>321000014</v>
      </c>
      <c r="C33" s="492" t="s">
        <v>61</v>
      </c>
      <c r="D33" s="495" t="s">
        <v>62</v>
      </c>
      <c r="E33" s="15"/>
      <c r="F33" s="78">
        <f t="shared" ref="F33:F38" si="3">(G33+J33)/2</f>
        <v>2275</v>
      </c>
      <c r="G33" s="20">
        <v>2250</v>
      </c>
      <c r="H33" s="79" t="s">
        <v>63</v>
      </c>
      <c r="I33" s="487" t="s">
        <v>64</v>
      </c>
      <c r="J33" s="20">
        <v>2300</v>
      </c>
      <c r="K33" s="260" t="s">
        <v>63</v>
      </c>
      <c r="L33" s="244" t="s">
        <v>396</v>
      </c>
      <c r="M33" s="243"/>
    </row>
    <row r="34" spans="1:16" s="337" customFormat="1" ht="15.75" thickBot="1">
      <c r="B34" s="615"/>
      <c r="C34" s="492" t="s">
        <v>611</v>
      </c>
      <c r="D34" s="495" t="s">
        <v>62</v>
      </c>
      <c r="E34" s="15"/>
      <c r="F34" s="78">
        <f t="shared" si="3"/>
        <v>3220.5</v>
      </c>
      <c r="G34" s="97">
        <v>3422</v>
      </c>
      <c r="H34" s="370" t="s">
        <v>614</v>
      </c>
      <c r="I34" s="487" t="s">
        <v>613</v>
      </c>
      <c r="J34" s="20">
        <v>3019</v>
      </c>
      <c r="K34" s="260" t="s">
        <v>36</v>
      </c>
      <c r="L34" s="368" t="s">
        <v>612</v>
      </c>
      <c r="M34" s="369"/>
    </row>
    <row r="35" spans="1:16" s="337" customFormat="1" ht="15.75" thickBot="1">
      <c r="B35" s="615"/>
      <c r="C35" s="492" t="s">
        <v>619</v>
      </c>
      <c r="D35" s="495" t="s">
        <v>62</v>
      </c>
      <c r="E35" s="15"/>
      <c r="F35" s="78">
        <f t="shared" si="3"/>
        <v>1740.82</v>
      </c>
      <c r="G35" s="97">
        <v>2744</v>
      </c>
      <c r="H35" s="370" t="s">
        <v>621</v>
      </c>
      <c r="I35" s="487" t="s">
        <v>620</v>
      </c>
      <c r="J35" s="20">
        <f>73764/100</f>
        <v>737.64</v>
      </c>
      <c r="K35" s="260" t="s">
        <v>622</v>
      </c>
      <c r="L35" s="368" t="s">
        <v>623</v>
      </c>
      <c r="M35" s="369"/>
    </row>
    <row r="36" spans="1:16" ht="15.75" thickBot="1">
      <c r="A36" t="s">
        <v>65</v>
      </c>
      <c r="B36" s="616"/>
      <c r="C36" s="492" t="s">
        <v>66</v>
      </c>
      <c r="D36" s="495" t="s">
        <v>62</v>
      </c>
      <c r="E36" s="15"/>
      <c r="F36" s="42">
        <f t="shared" si="3"/>
        <v>7236.35</v>
      </c>
      <c r="G36" s="80">
        <v>7508</v>
      </c>
      <c r="H36" s="19" t="s">
        <v>67</v>
      </c>
      <c r="I36" s="487" t="s">
        <v>68</v>
      </c>
      <c r="J36" s="83">
        <f>69647/10</f>
        <v>6964.7</v>
      </c>
      <c r="K36" s="260" t="s">
        <v>67</v>
      </c>
      <c r="L36" s="245" t="s">
        <v>945</v>
      </c>
      <c r="M36" s="246"/>
      <c r="N36" s="84"/>
      <c r="O36" s="245"/>
      <c r="P36" s="246"/>
    </row>
    <row r="37" spans="1:16" s="337" customFormat="1" ht="15.75" thickBot="1">
      <c r="B37" s="336">
        <v>32100001</v>
      </c>
      <c r="C37" s="492" t="s">
        <v>615</v>
      </c>
      <c r="D37" s="495" t="s">
        <v>62</v>
      </c>
      <c r="E37" s="15"/>
      <c r="F37" s="42">
        <f t="shared" si="3"/>
        <v>2144.16</v>
      </c>
      <c r="G37" s="80">
        <v>3500</v>
      </c>
      <c r="H37" s="278" t="s">
        <v>36</v>
      </c>
      <c r="I37" s="487" t="s">
        <v>616</v>
      </c>
      <c r="J37" s="85">
        <v>788.32</v>
      </c>
      <c r="K37" s="260" t="s">
        <v>618</v>
      </c>
      <c r="L37" s="245" t="s">
        <v>617</v>
      </c>
      <c r="M37" s="371"/>
      <c r="N37" s="372"/>
      <c r="O37" s="371"/>
      <c r="P37" s="246"/>
    </row>
    <row r="38" spans="1:16" ht="15.75" thickBot="1">
      <c r="A38" t="s">
        <v>69</v>
      </c>
      <c r="B38" s="49">
        <v>32020007</v>
      </c>
      <c r="C38" s="492" t="s">
        <v>70</v>
      </c>
      <c r="D38" s="495" t="s">
        <v>62</v>
      </c>
      <c r="E38" s="15"/>
      <c r="F38" s="42">
        <f t="shared" si="3"/>
        <v>584.5</v>
      </c>
      <c r="G38" s="83">
        <v>619</v>
      </c>
      <c r="H38" s="260" t="s">
        <v>71</v>
      </c>
      <c r="I38" s="487" t="s">
        <v>503</v>
      </c>
      <c r="J38" s="85">
        <f>11000/20</f>
        <v>550</v>
      </c>
      <c r="K38" s="86" t="s">
        <v>72</v>
      </c>
      <c r="L38" s="87" t="s">
        <v>73</v>
      </c>
      <c r="P38" s="246"/>
    </row>
    <row r="39" spans="1:16" ht="15.75" thickBot="1">
      <c r="B39" s="47"/>
      <c r="C39" s="607" t="s">
        <v>74</v>
      </c>
      <c r="D39" s="608"/>
      <c r="E39" s="15"/>
      <c r="F39" s="66"/>
      <c r="G39" s="610"/>
      <c r="H39" s="610"/>
      <c r="I39" s="610"/>
      <c r="J39" s="610"/>
      <c r="K39" s="610"/>
      <c r="L39" s="610"/>
      <c r="M39" s="610"/>
      <c r="N39" s="610"/>
      <c r="O39" s="610"/>
      <c r="P39" s="610"/>
    </row>
    <row r="40" spans="1:16" ht="15.75" thickBot="1">
      <c r="A40" t="s">
        <v>75</v>
      </c>
      <c r="B40" s="614">
        <v>32090001</v>
      </c>
      <c r="C40" s="492" t="s">
        <v>76</v>
      </c>
      <c r="D40" s="495" t="s">
        <v>77</v>
      </c>
      <c r="E40" s="15"/>
      <c r="F40" s="89">
        <f t="shared" ref="F40:F43" si="4">(G40+J40+M40)/3</f>
        <v>2337.3333333333335</v>
      </c>
      <c r="G40" s="50">
        <v>2165</v>
      </c>
      <c r="H40" s="261" t="s">
        <v>78</v>
      </c>
      <c r="I40" s="238" t="s">
        <v>931</v>
      </c>
      <c r="J40" s="52">
        <v>2857</v>
      </c>
      <c r="K40" s="261" t="s">
        <v>78</v>
      </c>
      <c r="L40" s="51" t="s">
        <v>79</v>
      </c>
      <c r="M40" s="70">
        <v>1990</v>
      </c>
      <c r="N40" s="90" t="s">
        <v>78</v>
      </c>
      <c r="O40" s="624" t="s">
        <v>80</v>
      </c>
      <c r="P40" s="625"/>
    </row>
    <row r="41" spans="1:16" ht="15.75" thickBot="1">
      <c r="A41" t="s">
        <v>81</v>
      </c>
      <c r="B41" s="616"/>
      <c r="C41" s="492" t="s">
        <v>82</v>
      </c>
      <c r="D41" s="495" t="s">
        <v>77</v>
      </c>
      <c r="E41" s="15"/>
      <c r="F41" s="91">
        <f t="shared" si="4"/>
        <v>2615.6666666666665</v>
      </c>
      <c r="G41" s="50">
        <v>3000</v>
      </c>
      <c r="H41" s="262" t="s">
        <v>78</v>
      </c>
      <c r="I41" s="487" t="s">
        <v>932</v>
      </c>
      <c r="J41" s="61">
        <v>2857</v>
      </c>
      <c r="K41" s="262" t="s">
        <v>78</v>
      </c>
      <c r="L41" s="51" t="s">
        <v>79</v>
      </c>
      <c r="M41" s="92">
        <v>1990</v>
      </c>
      <c r="N41" s="93" t="s">
        <v>78</v>
      </c>
      <c r="O41" s="626" t="s">
        <v>83</v>
      </c>
      <c r="P41" s="627"/>
    </row>
    <row r="42" spans="1:16" ht="15.75" thickBot="1">
      <c r="B42" s="47"/>
      <c r="C42" s="607" t="s">
        <v>84</v>
      </c>
      <c r="D42" s="608"/>
      <c r="E42" s="15"/>
      <c r="F42" s="66"/>
      <c r="G42" s="610"/>
      <c r="H42" s="610"/>
      <c r="I42" s="610"/>
      <c r="J42" s="610"/>
      <c r="K42" s="610"/>
      <c r="L42" s="610"/>
      <c r="M42" s="610"/>
      <c r="N42" s="610"/>
      <c r="O42" s="610"/>
      <c r="P42" s="610"/>
    </row>
    <row r="43" spans="1:16" ht="15.75" thickBot="1">
      <c r="A43" t="s">
        <v>85</v>
      </c>
      <c r="B43" s="94">
        <v>32010001</v>
      </c>
      <c r="C43" s="492" t="s">
        <v>86</v>
      </c>
      <c r="D43" s="495" t="s">
        <v>62</v>
      </c>
      <c r="E43" s="15"/>
      <c r="F43" s="91">
        <f t="shared" si="4"/>
        <v>933.04666666666662</v>
      </c>
      <c r="G43" s="27">
        <v>2700</v>
      </c>
      <c r="H43" s="263" t="s">
        <v>87</v>
      </c>
      <c r="I43" s="487" t="s">
        <v>88</v>
      </c>
      <c r="J43" s="34">
        <f>2100/50</f>
        <v>42</v>
      </c>
      <c r="K43" s="263" t="s">
        <v>89</v>
      </c>
      <c r="L43" s="95" t="s">
        <v>90</v>
      </c>
      <c r="M43" s="92">
        <f>2857/50</f>
        <v>57.14</v>
      </c>
      <c r="N43" s="264" t="s">
        <v>63</v>
      </c>
      <c r="O43" s="96" t="s">
        <v>91</v>
      </c>
      <c r="P43" s="246"/>
    </row>
    <row r="44" spans="1:16" ht="15.75" thickBot="1">
      <c r="B44" s="47"/>
      <c r="C44" s="607" t="s">
        <v>92</v>
      </c>
      <c r="D44" s="608"/>
      <c r="E44" s="15"/>
      <c r="F44" s="66"/>
      <c r="G44" s="610"/>
      <c r="H44" s="610"/>
      <c r="I44" s="610"/>
      <c r="J44" s="610"/>
      <c r="K44" s="610"/>
      <c r="L44" s="610"/>
      <c r="M44" s="610"/>
      <c r="N44" s="610"/>
      <c r="O44" s="610"/>
      <c r="P44" s="610"/>
    </row>
    <row r="45" spans="1:16" ht="15.75" thickBot="1">
      <c r="A45" t="s">
        <v>93</v>
      </c>
      <c r="B45" s="94">
        <v>320100049</v>
      </c>
      <c r="C45" s="492" t="s">
        <v>94</v>
      </c>
      <c r="D45" s="495" t="s">
        <v>62</v>
      </c>
      <c r="E45" s="15"/>
      <c r="F45" s="18">
        <f>(G45+J45+M45)/3</f>
        <v>1683</v>
      </c>
      <c r="G45" s="97">
        <v>2000</v>
      </c>
      <c r="H45" s="261" t="s">
        <v>95</v>
      </c>
      <c r="I45" s="487" t="s">
        <v>912</v>
      </c>
      <c r="J45" s="52">
        <v>1450</v>
      </c>
      <c r="K45" s="261" t="s">
        <v>95</v>
      </c>
      <c r="L45" s="51" t="s">
        <v>486</v>
      </c>
      <c r="M45" s="92">
        <v>1599</v>
      </c>
      <c r="N45" t="s">
        <v>487</v>
      </c>
      <c r="O45" s="240" t="s">
        <v>946</v>
      </c>
      <c r="P45" s="246"/>
    </row>
    <row r="46" spans="1:16" ht="15.75" customHeight="1" thickBot="1">
      <c r="A46" t="s">
        <v>96</v>
      </c>
      <c r="B46" s="498">
        <v>320100053</v>
      </c>
      <c r="C46" s="496" t="s">
        <v>97</v>
      </c>
      <c r="D46" s="495" t="s">
        <v>98</v>
      </c>
      <c r="E46" s="15"/>
      <c r="F46" s="78">
        <f>+(G46+J46)/2</f>
        <v>139.9</v>
      </c>
      <c r="G46" s="80">
        <v>135.80000000000001</v>
      </c>
      <c r="H46" s="260" t="s">
        <v>398</v>
      </c>
      <c r="I46" s="487" t="s">
        <v>397</v>
      </c>
      <c r="J46" s="83">
        <f>7200/50</f>
        <v>144</v>
      </c>
      <c r="K46" s="81" t="s">
        <v>489</v>
      </c>
      <c r="L46" s="82" t="s">
        <v>488</v>
      </c>
      <c r="M46" s="25"/>
      <c r="N46" s="25"/>
      <c r="O46" s="98"/>
      <c r="P46" s="246"/>
    </row>
    <row r="47" spans="1:16" ht="15.75" customHeight="1" thickBot="1">
      <c r="A47" t="s">
        <v>99</v>
      </c>
      <c r="B47" s="498">
        <v>320100073</v>
      </c>
      <c r="C47" s="492" t="s">
        <v>100</v>
      </c>
      <c r="D47" s="495" t="s">
        <v>62</v>
      </c>
      <c r="E47" s="15"/>
      <c r="F47" s="26">
        <f>(G47+J47)/2</f>
        <v>39.515000000000001</v>
      </c>
      <c r="G47" s="58">
        <v>32.53</v>
      </c>
      <c r="H47" s="262" t="s">
        <v>27</v>
      </c>
      <c r="I47" s="487" t="s">
        <v>439</v>
      </c>
      <c r="J47" s="61">
        <v>46.5</v>
      </c>
      <c r="K47" s="262" t="s">
        <v>101</v>
      </c>
      <c r="L47" s="60" t="s">
        <v>102</v>
      </c>
      <c r="M47" s="99"/>
      <c r="N47" s="63"/>
      <c r="O47" s="64"/>
      <c r="P47" s="246"/>
    </row>
    <row r="48" spans="1:16" ht="15.75" customHeight="1" thickBot="1">
      <c r="B48" s="47"/>
      <c r="C48" s="607"/>
      <c r="D48" s="608"/>
      <c r="E48" s="15"/>
      <c r="F48" s="66"/>
      <c r="G48" s="610"/>
      <c r="H48" s="610"/>
      <c r="I48" s="610"/>
      <c r="J48" s="610"/>
      <c r="K48" s="610"/>
      <c r="L48" s="610"/>
      <c r="M48" s="610"/>
      <c r="N48" s="610"/>
      <c r="O48" s="610"/>
      <c r="P48" s="610"/>
    </row>
    <row r="49" spans="1:17" ht="15.75" customHeight="1" thickBot="1">
      <c r="A49" t="s">
        <v>103</v>
      </c>
      <c r="B49" s="499">
        <v>32130001</v>
      </c>
      <c r="C49" s="492" t="s">
        <v>104</v>
      </c>
      <c r="D49" s="495" t="s">
        <v>62</v>
      </c>
      <c r="F49" s="36">
        <f>(G49+J49)/2</f>
        <v>8460</v>
      </c>
      <c r="G49" s="50">
        <v>5310</v>
      </c>
      <c r="H49" s="79" t="s">
        <v>67</v>
      </c>
      <c r="I49" s="240" t="s">
        <v>933</v>
      </c>
      <c r="J49" s="100">
        <f>23220/2</f>
        <v>11610</v>
      </c>
      <c r="K49" s="79" t="s">
        <v>67</v>
      </c>
      <c r="L49" s="304" t="s">
        <v>440</v>
      </c>
      <c r="M49" s="248"/>
      <c r="N49" s="79"/>
      <c r="O49" s="247"/>
      <c r="P49" s="246"/>
    </row>
    <row r="50" spans="1:17" ht="15.75" customHeight="1" thickBot="1">
      <c r="A50" t="s">
        <v>105</v>
      </c>
      <c r="B50" s="498">
        <v>322300022</v>
      </c>
      <c r="C50" s="492" t="s">
        <v>106</v>
      </c>
      <c r="D50" s="495" t="s">
        <v>62</v>
      </c>
      <c r="E50" s="15"/>
      <c r="F50" s="26">
        <f>(G50+J50)/2</f>
        <v>3921.5</v>
      </c>
      <c r="G50" s="58">
        <v>3585</v>
      </c>
      <c r="H50" s="262" t="s">
        <v>107</v>
      </c>
      <c r="I50" s="487" t="s">
        <v>442</v>
      </c>
      <c r="J50" s="61">
        <v>4258</v>
      </c>
      <c r="K50" s="79" t="s">
        <v>107</v>
      </c>
      <c r="L50" s="249" t="s">
        <v>441</v>
      </c>
      <c r="M50" s="250"/>
      <c r="N50" s="250"/>
      <c r="O50" s="250"/>
      <c r="P50" s="246"/>
    </row>
    <row r="51" spans="1:17" ht="15.75" customHeight="1" thickBot="1">
      <c r="B51" s="47"/>
      <c r="C51" s="607" t="s">
        <v>108</v>
      </c>
      <c r="D51" s="608"/>
      <c r="E51" s="15"/>
      <c r="F51" s="297"/>
      <c r="G51" s="610"/>
      <c r="H51" s="610"/>
      <c r="I51" s="610"/>
      <c r="J51" s="610"/>
      <c r="K51" s="610"/>
      <c r="L51" s="610"/>
      <c r="M51" s="610"/>
      <c r="N51" s="610"/>
      <c r="O51" s="610"/>
      <c r="P51" s="610"/>
    </row>
    <row r="52" spans="1:17" ht="15.75" customHeight="1" thickBot="1">
      <c r="A52" t="s">
        <v>109</v>
      </c>
      <c r="B52" s="498">
        <v>321220013</v>
      </c>
      <c r="C52" s="492" t="s">
        <v>110</v>
      </c>
      <c r="D52" s="495" t="s">
        <v>17</v>
      </c>
      <c r="E52" s="15"/>
      <c r="F52" s="91">
        <f>(G52)</f>
        <v>400</v>
      </c>
      <c r="G52" s="101">
        <v>400</v>
      </c>
      <c r="H52" s="266" t="s">
        <v>398</v>
      </c>
      <c r="I52" s="487" t="s">
        <v>111</v>
      </c>
      <c r="J52" s="497" t="s">
        <v>189</v>
      </c>
      <c r="K52" s="497"/>
      <c r="L52" s="497"/>
      <c r="M52" s="497"/>
      <c r="N52" s="497"/>
      <c r="O52" s="497"/>
      <c r="P52" s="246"/>
    </row>
    <row r="53" spans="1:17" ht="15.75" customHeight="1" thickBot="1">
      <c r="B53" s="104"/>
      <c r="C53" s="607"/>
      <c r="D53" s="608"/>
      <c r="E53" s="15"/>
      <c r="F53" s="66"/>
      <c r="G53" s="603"/>
      <c r="H53" s="610"/>
      <c r="I53" s="610"/>
      <c r="J53" s="610"/>
      <c r="K53" s="610"/>
      <c r="L53" s="610"/>
      <c r="M53" s="610"/>
      <c r="N53" s="610"/>
      <c r="O53" s="610"/>
      <c r="P53" s="610"/>
      <c r="Q53" s="610"/>
    </row>
    <row r="54" spans="1:17" ht="15.75" customHeight="1" thickBot="1">
      <c r="A54" t="s">
        <v>112</v>
      </c>
      <c r="B54" s="498">
        <v>322300061</v>
      </c>
      <c r="C54" s="492" t="s">
        <v>113</v>
      </c>
      <c r="D54" s="495" t="s">
        <v>62</v>
      </c>
      <c r="E54" s="15"/>
      <c r="F54" s="91">
        <f>+(G54+J54)/2</f>
        <v>3765</v>
      </c>
      <c r="G54" s="101">
        <v>4930</v>
      </c>
      <c r="H54" s="262" t="s">
        <v>399</v>
      </c>
      <c r="I54" s="487" t="s">
        <v>114</v>
      </c>
      <c r="J54" s="106">
        <v>2600</v>
      </c>
      <c r="K54" s="262" t="s">
        <v>400</v>
      </c>
      <c r="L54" s="29" t="s">
        <v>115</v>
      </c>
      <c r="M54" s="251"/>
      <c r="N54" s="103"/>
      <c r="O54" s="29"/>
      <c r="P54" s="253" t="s">
        <v>403</v>
      </c>
    </row>
    <row r="55" spans="1:17" ht="15.75" customHeight="1" thickBot="1">
      <c r="B55" s="107"/>
      <c r="C55" s="607"/>
      <c r="D55" s="608"/>
      <c r="E55" s="15"/>
      <c r="F55" s="66"/>
      <c r="G55" s="610"/>
      <c r="H55" s="610"/>
      <c r="I55" s="610"/>
      <c r="J55" s="610"/>
      <c r="K55" s="610"/>
      <c r="L55" s="610"/>
      <c r="M55" s="610"/>
      <c r="N55" s="610"/>
      <c r="O55" s="610"/>
      <c r="P55" s="610"/>
    </row>
    <row r="56" spans="1:17" ht="15.75" customHeight="1" thickBot="1">
      <c r="A56" t="s">
        <v>116</v>
      </c>
      <c r="B56" s="500">
        <v>320300033</v>
      </c>
      <c r="C56" s="496" t="s">
        <v>117</v>
      </c>
      <c r="D56" s="501" t="s">
        <v>17</v>
      </c>
      <c r="E56" s="15"/>
      <c r="F56" s="252">
        <f>(G56+J56+M56)/3</f>
        <v>7949.666666666667</v>
      </c>
      <c r="G56" s="27">
        <v>13400</v>
      </c>
      <c r="H56" s="262" t="s">
        <v>401</v>
      </c>
      <c r="I56" s="487" t="s">
        <v>118</v>
      </c>
      <c r="J56" s="106">
        <v>5500</v>
      </c>
      <c r="K56" s="262" t="s">
        <v>402</v>
      </c>
      <c r="L56" s="238" t="s">
        <v>443</v>
      </c>
      <c r="M56" s="92">
        <v>4949</v>
      </c>
      <c r="N56" s="264" t="s">
        <v>18</v>
      </c>
      <c r="O56" s="268" t="s">
        <v>947</v>
      </c>
      <c r="P56" s="110"/>
    </row>
    <row r="57" spans="1:17" ht="15.75" customHeight="1" thickBot="1">
      <c r="B57" s="107"/>
      <c r="C57" s="607" t="s">
        <v>119</v>
      </c>
      <c r="D57" s="608"/>
      <c r="E57" s="15"/>
      <c r="F57" s="296"/>
      <c r="G57" s="610"/>
      <c r="H57" s="610"/>
      <c r="I57" s="610"/>
      <c r="J57" s="610"/>
      <c r="K57" s="610"/>
      <c r="L57" s="610"/>
      <c r="M57" s="610"/>
      <c r="N57" s="610"/>
      <c r="O57" s="610"/>
      <c r="P57" s="610"/>
    </row>
    <row r="58" spans="1:17" ht="15.75" customHeight="1" thickBot="1">
      <c r="A58" t="s">
        <v>120</v>
      </c>
      <c r="B58" s="628">
        <v>32070005</v>
      </c>
      <c r="C58" s="502" t="s">
        <v>551</v>
      </c>
      <c r="D58" s="503" t="s">
        <v>17</v>
      </c>
      <c r="F58" s="78">
        <f>(G58+J58)/2</f>
        <v>257.59500000000003</v>
      </c>
      <c r="G58" s="50">
        <v>196</v>
      </c>
      <c r="H58" s="21" t="s">
        <v>122</v>
      </c>
      <c r="I58" s="487" t="s">
        <v>123</v>
      </c>
      <c r="J58" s="52">
        <v>319.19</v>
      </c>
      <c r="K58" s="21" t="s">
        <v>36</v>
      </c>
      <c r="L58" s="242" t="s">
        <v>444</v>
      </c>
      <c r="M58" s="255"/>
      <c r="N58" s="255"/>
      <c r="O58" s="255"/>
      <c r="P58" s="246"/>
    </row>
    <row r="59" spans="1:17" s="312" customFormat="1" ht="15.75" customHeight="1" thickBot="1">
      <c r="B59" s="629"/>
      <c r="C59" s="502" t="s">
        <v>121</v>
      </c>
      <c r="D59" s="503" t="s">
        <v>17</v>
      </c>
      <c r="F59" s="78">
        <f>(G59+J59)/2</f>
        <v>257.59500000000003</v>
      </c>
      <c r="G59" s="50">
        <v>196</v>
      </c>
      <c r="H59" s="21" t="s">
        <v>122</v>
      </c>
      <c r="I59" s="487" t="s">
        <v>123</v>
      </c>
      <c r="J59" s="52">
        <v>319.19</v>
      </c>
      <c r="K59" s="21" t="s">
        <v>36</v>
      </c>
      <c r="L59" s="242" t="s">
        <v>444</v>
      </c>
      <c r="M59" s="354"/>
      <c r="N59" s="354"/>
      <c r="O59" s="354"/>
      <c r="P59" s="246"/>
    </row>
    <row r="60" spans="1:17" ht="15.75" customHeight="1" thickBot="1">
      <c r="B60" s="630"/>
      <c r="C60" s="502" t="s">
        <v>124</v>
      </c>
      <c r="D60" s="503" t="s">
        <v>17</v>
      </c>
      <c r="F60" s="78">
        <f t="shared" ref="F60" si="5">(G60+J60)/2</f>
        <v>257.59500000000003</v>
      </c>
      <c r="G60" s="50">
        <v>196</v>
      </c>
      <c r="H60" s="21" t="s">
        <v>122</v>
      </c>
      <c r="I60" s="487" t="s">
        <v>123</v>
      </c>
      <c r="J60" s="52">
        <v>319.19</v>
      </c>
      <c r="K60" s="21" t="s">
        <v>36</v>
      </c>
      <c r="L60" s="256" t="s">
        <v>444</v>
      </c>
      <c r="M60" s="257"/>
      <c r="N60" s="257"/>
      <c r="O60" s="257"/>
      <c r="P60" s="246"/>
    </row>
    <row r="61" spans="1:17" ht="15.75" thickBot="1">
      <c r="B61" s="630"/>
      <c r="C61" s="502" t="s">
        <v>125</v>
      </c>
      <c r="D61" s="503" t="s">
        <v>17</v>
      </c>
      <c r="F61" s="18">
        <f>+(G61+J61+M61)/3</f>
        <v>757.63333333333333</v>
      </c>
      <c r="G61" s="92">
        <v>494.45</v>
      </c>
      <c r="H61" s="312"/>
      <c r="I61" s="487" t="s">
        <v>554</v>
      </c>
      <c r="J61" s="52">
        <v>1284</v>
      </c>
      <c r="K61" s="307" t="s">
        <v>543</v>
      </c>
      <c r="L61" s="238" t="s">
        <v>555</v>
      </c>
      <c r="M61" s="92">
        <v>494.45</v>
      </c>
      <c r="O61" s="312" t="s">
        <v>554</v>
      </c>
      <c r="P61" s="246"/>
    </row>
    <row r="62" spans="1:17" ht="15.75" thickBot="1">
      <c r="B62" s="630"/>
      <c r="C62" s="502" t="s">
        <v>126</v>
      </c>
      <c r="D62" s="503" t="s">
        <v>17</v>
      </c>
      <c r="F62" s="18">
        <f>+(G62+J62+M62)/3</f>
        <v>584.92666666666662</v>
      </c>
      <c r="G62" s="80">
        <v>196</v>
      </c>
      <c r="H62" s="21" t="s">
        <v>122</v>
      </c>
      <c r="I62" s="487" t="s">
        <v>123</v>
      </c>
      <c r="J62" s="52">
        <v>1281</v>
      </c>
      <c r="K62" s="307" t="s">
        <v>543</v>
      </c>
      <c r="L62" s="238" t="s">
        <v>555</v>
      </c>
      <c r="M62" s="92">
        <v>277.77999999999997</v>
      </c>
      <c r="N62" s="21" t="s">
        <v>553</v>
      </c>
      <c r="O62" s="302" t="s">
        <v>552</v>
      </c>
      <c r="P62" s="303"/>
    </row>
    <row r="63" spans="1:17" ht="15.75" thickBot="1">
      <c r="B63" s="631"/>
      <c r="C63" s="502" t="s">
        <v>127</v>
      </c>
      <c r="D63" s="503" t="s">
        <v>17</v>
      </c>
      <c r="F63" s="18">
        <f>+(G63+J63+M63)/3</f>
        <v>986.37333333333333</v>
      </c>
      <c r="G63" s="80">
        <v>1284</v>
      </c>
      <c r="H63" s="307" t="s">
        <v>543</v>
      </c>
      <c r="I63" s="487" t="s">
        <v>556</v>
      </c>
      <c r="J63" s="83">
        <v>234</v>
      </c>
      <c r="K63" s="21" t="s">
        <v>446</v>
      </c>
      <c r="L63" s="112" t="s">
        <v>445</v>
      </c>
      <c r="M63" s="92">
        <f>72056/50</f>
        <v>1441.12</v>
      </c>
      <c r="N63" s="21" t="s">
        <v>558</v>
      </c>
      <c r="O63" s="302" t="s">
        <v>557</v>
      </c>
      <c r="P63" s="246"/>
    </row>
    <row r="64" spans="1:17" ht="15.75" thickBot="1">
      <c r="B64" s="107"/>
      <c r="C64" s="607"/>
      <c r="D64" s="608"/>
      <c r="E64" s="15"/>
      <c r="F64" s="48"/>
      <c r="G64" s="610"/>
      <c r="H64" s="610"/>
      <c r="I64" s="610"/>
      <c r="J64" s="610"/>
      <c r="K64" s="610"/>
      <c r="L64" s="610"/>
      <c r="M64" s="610"/>
      <c r="N64" s="610"/>
      <c r="O64" s="610"/>
      <c r="P64" s="610"/>
    </row>
    <row r="65" spans="1:16" ht="15.75" thickBot="1">
      <c r="A65" t="s">
        <v>128</v>
      </c>
      <c r="B65" s="498">
        <v>321600012</v>
      </c>
      <c r="C65" s="490" t="s">
        <v>129</v>
      </c>
      <c r="D65" s="495" t="s">
        <v>62</v>
      </c>
      <c r="E65" s="15"/>
      <c r="F65" s="36">
        <f>+(G65+J65)/2</f>
        <v>445</v>
      </c>
      <c r="G65" s="27">
        <v>440</v>
      </c>
      <c r="H65" s="307" t="s">
        <v>449</v>
      </c>
      <c r="I65" s="487" t="s">
        <v>448</v>
      </c>
      <c r="J65" s="83">
        <v>450</v>
      </c>
      <c r="K65" s="307" t="s">
        <v>171</v>
      </c>
      <c r="L65" s="300" t="s">
        <v>447</v>
      </c>
      <c r="M65" s="300"/>
      <c r="N65" s="300"/>
      <c r="O65" s="301"/>
      <c r="P65" s="246"/>
    </row>
    <row r="66" spans="1:16" ht="15.75" thickBot="1">
      <c r="B66" s="107"/>
      <c r="C66" s="607"/>
      <c r="D66" s="608"/>
      <c r="E66" s="15"/>
      <c r="F66" s="66"/>
      <c r="G66" s="610"/>
      <c r="H66" s="610"/>
      <c r="I66" s="610"/>
      <c r="J66" s="610"/>
      <c r="K66" s="610"/>
      <c r="L66" s="610"/>
      <c r="M66" s="610"/>
      <c r="N66" s="610"/>
      <c r="O66" s="610"/>
      <c r="P66" s="610"/>
    </row>
    <row r="67" spans="1:16" ht="15.75" thickBot="1">
      <c r="A67" t="s">
        <v>130</v>
      </c>
      <c r="B67" s="498">
        <v>320900071</v>
      </c>
      <c r="C67" s="490" t="s">
        <v>131</v>
      </c>
      <c r="D67" s="495" t="s">
        <v>17</v>
      </c>
      <c r="E67" s="15"/>
      <c r="F67" s="91">
        <f>(G67+J67)/2</f>
        <v>4152</v>
      </c>
      <c r="G67" s="27">
        <v>3200</v>
      </c>
      <c r="H67" s="263" t="s">
        <v>132</v>
      </c>
      <c r="I67" s="487" t="s">
        <v>133</v>
      </c>
      <c r="J67" s="34">
        <v>5104</v>
      </c>
      <c r="K67" s="105"/>
      <c r="L67" s="37" t="s">
        <v>134</v>
      </c>
      <c r="M67" s="113"/>
      <c r="N67" s="113"/>
      <c r="O67" s="40"/>
      <c r="P67" s="114"/>
    </row>
    <row r="68" spans="1:16" ht="15.75" thickBot="1">
      <c r="B68" s="47"/>
      <c r="C68" s="607" t="s">
        <v>135</v>
      </c>
      <c r="D68" s="608"/>
      <c r="E68" s="15"/>
      <c r="F68" s="66"/>
      <c r="G68" s="610"/>
      <c r="H68" s="610"/>
      <c r="I68" s="610"/>
      <c r="J68" s="610"/>
      <c r="K68" s="610"/>
      <c r="L68" s="610"/>
      <c r="M68" s="610"/>
      <c r="N68" s="610"/>
      <c r="O68" s="610"/>
      <c r="P68" s="610"/>
    </row>
    <row r="69" spans="1:16" ht="15.75" thickBot="1">
      <c r="A69" t="s">
        <v>136</v>
      </c>
      <c r="B69" s="632">
        <v>32150002</v>
      </c>
      <c r="C69" s="490" t="s">
        <v>137</v>
      </c>
      <c r="D69" s="495" t="s">
        <v>138</v>
      </c>
      <c r="E69" s="15"/>
      <c r="F69" s="115">
        <f>+(G69+J69+M69)/3</f>
        <v>8471</v>
      </c>
      <c r="G69" s="116">
        <v>7793</v>
      </c>
      <c r="H69" s="263" t="s">
        <v>404</v>
      </c>
      <c r="I69" s="267" t="s">
        <v>450</v>
      </c>
      <c r="J69" s="381">
        <v>5300</v>
      </c>
      <c r="K69" s="307" t="s">
        <v>452</v>
      </c>
      <c r="L69" s="117" t="s">
        <v>451</v>
      </c>
      <c r="M69" s="92">
        <v>12320</v>
      </c>
      <c r="N69" s="117"/>
      <c r="O69" s="300" t="s">
        <v>453</v>
      </c>
      <c r="P69" s="118"/>
    </row>
    <row r="70" spans="1:16" ht="15.75" thickBot="1">
      <c r="A70" t="s">
        <v>139</v>
      </c>
      <c r="B70" s="631"/>
      <c r="C70" s="490" t="s">
        <v>140</v>
      </c>
      <c r="D70" s="495" t="s">
        <v>56</v>
      </c>
      <c r="E70" s="15"/>
      <c r="F70" s="115">
        <f>G70</f>
        <v>11406</v>
      </c>
      <c r="G70" s="119">
        <v>11406</v>
      </c>
      <c r="H70" s="263" t="s">
        <v>422</v>
      </c>
      <c r="I70" s="267" t="s">
        <v>722</v>
      </c>
      <c r="J70" s="120"/>
      <c r="K70" s="120"/>
      <c r="L70" s="120"/>
      <c r="M70" s="120"/>
      <c r="N70" s="120"/>
      <c r="O70" s="120"/>
      <c r="P70" s="121"/>
    </row>
    <row r="71" spans="1:16" s="365" customFormat="1" ht="15.75" thickBot="1">
      <c r="B71" s="504"/>
      <c r="C71" s="505" t="s">
        <v>723</v>
      </c>
      <c r="D71" s="506"/>
      <c r="E71" s="15"/>
      <c r="F71" s="380">
        <f>+(G71+J71)/2</f>
        <v>38476.974999999999</v>
      </c>
      <c r="G71" s="381">
        <v>25319.95</v>
      </c>
      <c r="H71" s="263" t="s">
        <v>724</v>
      </c>
      <c r="I71" s="335" t="s">
        <v>725</v>
      </c>
      <c r="J71" s="381">
        <v>51634</v>
      </c>
      <c r="K71" s="382"/>
      <c r="L71" s="382" t="s">
        <v>726</v>
      </c>
      <c r="M71" s="382"/>
      <c r="N71" s="382"/>
      <c r="O71" s="382"/>
      <c r="P71" s="382"/>
    </row>
    <row r="72" spans="1:16" s="365" customFormat="1" ht="15.75" thickBot="1">
      <c r="B72" s="504"/>
      <c r="C72" s="505" t="s">
        <v>727</v>
      </c>
      <c r="D72" s="506"/>
      <c r="E72" s="15" t="s">
        <v>189</v>
      </c>
      <c r="F72" s="380">
        <f>+(G72+J72)/2</f>
        <v>1629</v>
      </c>
      <c r="G72" s="381">
        <v>1195</v>
      </c>
      <c r="H72" s="320" t="s">
        <v>604</v>
      </c>
      <c r="I72" s="335" t="s">
        <v>728</v>
      </c>
      <c r="J72" s="381">
        <v>2063</v>
      </c>
      <c r="K72" s="320" t="s">
        <v>604</v>
      </c>
      <c r="L72" s="382" t="s">
        <v>493</v>
      </c>
      <c r="M72" s="382"/>
      <c r="N72" s="382"/>
      <c r="O72" s="382"/>
      <c r="P72" s="382"/>
    </row>
    <row r="73" spans="1:16" s="305" customFormat="1" ht="15.75" thickBot="1">
      <c r="B73" s="338"/>
      <c r="C73" s="633"/>
      <c r="D73" s="608"/>
      <c r="E73" s="15"/>
      <c r="F73" s="66"/>
      <c r="G73" s="610"/>
      <c r="H73" s="610"/>
      <c r="I73" s="610"/>
      <c r="J73" s="610"/>
      <c r="K73" s="610"/>
      <c r="L73" s="610"/>
      <c r="M73" s="610"/>
      <c r="N73" s="610"/>
      <c r="O73" s="610"/>
      <c r="P73" s="610"/>
    </row>
    <row r="74" spans="1:16" ht="15.75" thickBot="1">
      <c r="A74" t="s">
        <v>141</v>
      </c>
      <c r="B74" s="507">
        <v>3212002017</v>
      </c>
      <c r="C74" s="508" t="s">
        <v>142</v>
      </c>
      <c r="D74" s="506" t="s">
        <v>17</v>
      </c>
      <c r="E74" s="15"/>
      <c r="F74" s="91">
        <f>(G74)</f>
        <v>30000</v>
      </c>
      <c r="G74" s="27">
        <v>30000</v>
      </c>
      <c r="H74" s="263" t="s">
        <v>456</v>
      </c>
      <c r="I74" s="267" t="s">
        <v>455</v>
      </c>
      <c r="J74" s="27">
        <v>36000</v>
      </c>
      <c r="K74" s="122"/>
      <c r="L74" s="122" t="s">
        <v>454</v>
      </c>
      <c r="M74" s="122"/>
      <c r="N74" s="122"/>
      <c r="O74" s="122"/>
      <c r="P74" s="123"/>
    </row>
    <row r="75" spans="1:16" s="308" customFormat="1" ht="15.75" thickBot="1">
      <c r="B75" s="507" t="s">
        <v>516</v>
      </c>
      <c r="C75" s="509" t="s">
        <v>512</v>
      </c>
      <c r="D75" s="506"/>
      <c r="E75" s="15"/>
      <c r="F75" s="91">
        <f>(G75+J75)/2</f>
        <v>5614.5</v>
      </c>
      <c r="G75" s="319">
        <v>6742</v>
      </c>
      <c r="H75" s="320"/>
      <c r="I75" s="335" t="s">
        <v>515</v>
      </c>
      <c r="J75" s="27">
        <v>4487</v>
      </c>
      <c r="K75" s="307" t="s">
        <v>514</v>
      </c>
      <c r="L75" s="122" t="s">
        <v>513</v>
      </c>
      <c r="M75" s="122"/>
      <c r="N75" s="122"/>
      <c r="O75" s="122"/>
      <c r="P75" s="122"/>
    </row>
    <row r="76" spans="1:16" s="312" customFormat="1" ht="15.75" thickBot="1">
      <c r="B76" s="507" t="s">
        <v>517</v>
      </c>
      <c r="C76" s="509" t="s">
        <v>518</v>
      </c>
      <c r="D76" s="506"/>
      <c r="E76" s="15"/>
      <c r="F76" s="91">
        <f>(G76+J76)/2</f>
        <v>3363</v>
      </c>
      <c r="G76" s="319">
        <v>2276</v>
      </c>
      <c r="H76" s="263" t="s">
        <v>497</v>
      </c>
      <c r="I76" s="335" t="s">
        <v>519</v>
      </c>
      <c r="J76" s="27">
        <v>4450</v>
      </c>
      <c r="K76" s="307" t="s">
        <v>521</v>
      </c>
      <c r="L76" s="122" t="s">
        <v>520</v>
      </c>
      <c r="M76" s="122"/>
      <c r="N76" s="122"/>
      <c r="O76" s="122"/>
      <c r="P76" s="122"/>
    </row>
    <row r="77" spans="1:16" ht="15.75" thickBot="1">
      <c r="B77" s="339"/>
      <c r="C77" s="634" t="s">
        <v>143</v>
      </c>
      <c r="D77" s="608"/>
      <c r="E77" s="124"/>
      <c r="F77" s="66"/>
      <c r="G77" s="610"/>
      <c r="H77" s="610"/>
      <c r="I77" s="610"/>
      <c r="J77" s="610"/>
      <c r="K77" s="610"/>
      <c r="L77" s="610"/>
      <c r="M77" s="610"/>
      <c r="N77" s="610"/>
      <c r="O77" s="610"/>
      <c r="P77" s="610"/>
    </row>
    <row r="78" spans="1:16" ht="15.75" thickBot="1">
      <c r="A78" t="s">
        <v>144</v>
      </c>
      <c r="B78" s="511">
        <v>32220001</v>
      </c>
      <c r="C78" s="488" t="s">
        <v>145</v>
      </c>
      <c r="D78" s="489" t="s">
        <v>62</v>
      </c>
      <c r="E78" s="15"/>
      <c r="F78" s="36">
        <f>(G78+J78)/2</f>
        <v>15772.5</v>
      </c>
      <c r="G78" s="27">
        <v>19745</v>
      </c>
      <c r="H78" s="263" t="s">
        <v>457</v>
      </c>
      <c r="I78" s="510" t="s">
        <v>458</v>
      </c>
      <c r="J78" s="34">
        <v>11800</v>
      </c>
      <c r="K78" s="263" t="s">
        <v>146</v>
      </c>
      <c r="L78" s="228" t="s">
        <v>405</v>
      </c>
      <c r="M78" s="125"/>
      <c r="N78" s="125"/>
      <c r="O78" s="126"/>
      <c r="P78" s="127"/>
    </row>
    <row r="79" spans="1:16" ht="15.75" thickBot="1">
      <c r="B79" s="107"/>
      <c r="C79" s="607"/>
      <c r="D79" s="608"/>
      <c r="E79" s="15"/>
      <c r="F79" s="66"/>
      <c r="G79" s="610"/>
      <c r="H79" s="610"/>
      <c r="I79" s="610"/>
      <c r="J79" s="610"/>
      <c r="K79" s="610"/>
      <c r="L79" s="610"/>
      <c r="M79" s="610"/>
      <c r="N79" s="610"/>
      <c r="O79" s="610"/>
      <c r="P79" s="610"/>
    </row>
    <row r="80" spans="1:16" ht="15.75" thickBot="1">
      <c r="A80" t="s">
        <v>147</v>
      </c>
      <c r="B80" s="498">
        <v>321500041</v>
      </c>
      <c r="C80" s="490" t="s">
        <v>148</v>
      </c>
      <c r="D80" s="495" t="s">
        <v>17</v>
      </c>
      <c r="E80" s="15"/>
      <c r="F80" s="91">
        <f>(G80)</f>
        <v>5444.9</v>
      </c>
      <c r="G80" s="27">
        <f>272245/50</f>
        <v>5444.9</v>
      </c>
      <c r="H80" s="263" t="s">
        <v>404</v>
      </c>
      <c r="I80" s="268" t="s">
        <v>459</v>
      </c>
      <c r="J80" s="108"/>
      <c r="K80" s="102"/>
      <c r="L80" s="102"/>
      <c r="M80" s="128"/>
      <c r="N80" s="128"/>
      <c r="O80" s="129"/>
      <c r="P80" s="114"/>
    </row>
    <row r="81" spans="1:16" ht="15.75" thickBot="1">
      <c r="B81" s="107"/>
      <c r="C81" s="607"/>
      <c r="D81" s="608"/>
      <c r="E81" s="15"/>
      <c r="F81" s="66"/>
      <c r="G81" s="610"/>
      <c r="H81" s="610"/>
      <c r="I81" s="610"/>
      <c r="J81" s="610"/>
      <c r="K81" s="610"/>
      <c r="L81" s="610"/>
      <c r="M81" s="610"/>
      <c r="N81" s="610"/>
      <c r="O81" s="610"/>
      <c r="P81" s="610"/>
    </row>
    <row r="82" spans="1:16" ht="15.75" thickBot="1">
      <c r="A82" t="s">
        <v>149</v>
      </c>
      <c r="B82" s="513"/>
      <c r="C82" s="496" t="s">
        <v>150</v>
      </c>
      <c r="D82" s="514" t="s">
        <v>62</v>
      </c>
      <c r="E82" s="15"/>
      <c r="F82" s="42">
        <f t="shared" ref="F82:F83" si="6">+(G82+J82)/2</f>
        <v>6031</v>
      </c>
      <c r="G82" s="50">
        <v>5802</v>
      </c>
      <c r="H82" s="273" t="s">
        <v>406</v>
      </c>
      <c r="I82" s="238" t="s">
        <v>151</v>
      </c>
      <c r="J82" s="52">
        <v>6260</v>
      </c>
      <c r="K82" s="273" t="s">
        <v>406</v>
      </c>
      <c r="L82" s="130" t="s">
        <v>152</v>
      </c>
      <c r="M82" s="131"/>
      <c r="N82" s="131"/>
      <c r="O82" s="131"/>
      <c r="P82" s="132"/>
    </row>
    <row r="83" spans="1:16" ht="15.75" thickBot="1">
      <c r="A83" t="s">
        <v>153</v>
      </c>
      <c r="B83" s="513"/>
      <c r="C83" s="496" t="s">
        <v>154</v>
      </c>
      <c r="D83" s="514" t="s">
        <v>62</v>
      </c>
      <c r="E83" s="15"/>
      <c r="F83" s="42">
        <f t="shared" si="6"/>
        <v>8446</v>
      </c>
      <c r="G83" s="80">
        <v>7682</v>
      </c>
      <c r="H83" s="273" t="s">
        <v>406</v>
      </c>
      <c r="I83" s="238" t="s">
        <v>155</v>
      </c>
      <c r="J83" s="83">
        <v>9210</v>
      </c>
      <c r="K83" s="273" t="s">
        <v>406</v>
      </c>
      <c r="L83" s="134" t="s">
        <v>156</v>
      </c>
      <c r="M83" s="135"/>
      <c r="N83" s="135"/>
      <c r="O83" s="135"/>
      <c r="P83" s="136"/>
    </row>
    <row r="84" spans="1:16" ht="15.75" thickBot="1">
      <c r="A84" t="s">
        <v>157</v>
      </c>
      <c r="B84" s="498">
        <v>3201000612</v>
      </c>
      <c r="C84" s="490" t="s">
        <v>158</v>
      </c>
      <c r="D84" s="495" t="s">
        <v>62</v>
      </c>
      <c r="E84" s="15"/>
      <c r="F84" s="42">
        <f>(G84+J84)/2</f>
        <v>2687</v>
      </c>
      <c r="G84" s="27">
        <v>2594</v>
      </c>
      <c r="H84" s="273" t="s">
        <v>406</v>
      </c>
      <c r="I84" s="512" t="s">
        <v>460</v>
      </c>
      <c r="J84" s="61">
        <f>5560/2</f>
        <v>2780</v>
      </c>
      <c r="K84" s="273" t="s">
        <v>406</v>
      </c>
      <c r="L84" s="138" t="s">
        <v>159</v>
      </c>
      <c r="M84" s="63"/>
      <c r="N84" s="63"/>
      <c r="O84" s="139"/>
      <c r="P84" s="246"/>
    </row>
    <row r="85" spans="1:16" s="306" customFormat="1" ht="15.75" customHeight="1" thickBot="1">
      <c r="B85" s="47"/>
      <c r="C85" s="607"/>
      <c r="D85" s="608"/>
      <c r="E85" s="15"/>
      <c r="F85" s="48"/>
      <c r="G85" s="610"/>
      <c r="H85" s="610"/>
      <c r="I85" s="610"/>
      <c r="J85" s="610"/>
      <c r="K85" s="610"/>
      <c r="L85" s="610"/>
      <c r="M85" s="610"/>
      <c r="N85" s="610"/>
      <c r="O85" s="610"/>
      <c r="P85" s="610"/>
    </row>
    <row r="86" spans="1:16" ht="15">
      <c r="A86" t="s">
        <v>160</v>
      </c>
      <c r="B86" s="498">
        <v>321500036</v>
      </c>
      <c r="C86" s="492" t="s">
        <v>161</v>
      </c>
      <c r="D86" s="495" t="s">
        <v>729</v>
      </c>
      <c r="E86" s="15"/>
      <c r="F86" s="91">
        <f>+(G86+J86+M86)/3</f>
        <v>63514.666666666664</v>
      </c>
      <c r="G86" s="27">
        <v>75567</v>
      </c>
      <c r="H86" s="263" t="s">
        <v>162</v>
      </c>
      <c r="I86" s="512" t="s">
        <v>594</v>
      </c>
      <c r="J86" s="83">
        <v>54477</v>
      </c>
      <c r="K86" s="263" t="s">
        <v>162</v>
      </c>
      <c r="L86" s="274" t="s">
        <v>595</v>
      </c>
      <c r="M86" s="83">
        <v>60500</v>
      </c>
      <c r="N86" s="25"/>
      <c r="O86" s="142" t="s">
        <v>593</v>
      </c>
      <c r="P86" s="65"/>
    </row>
    <row r="87" spans="1:16" s="373" customFormat="1" ht="15">
      <c r="B87" s="515"/>
      <c r="C87" s="492" t="s">
        <v>161</v>
      </c>
      <c r="D87" s="506" t="s">
        <v>730</v>
      </c>
      <c r="E87" s="15"/>
      <c r="F87" s="366">
        <f>+(G87+J87)/2</f>
        <v>21594</v>
      </c>
      <c r="G87" s="319">
        <v>19745</v>
      </c>
      <c r="H87" s="263" t="s">
        <v>162</v>
      </c>
      <c r="I87" s="367" t="s">
        <v>731</v>
      </c>
      <c r="J87" s="319">
        <v>23443</v>
      </c>
      <c r="K87" s="263" t="s">
        <v>162</v>
      </c>
      <c r="L87" s="367" t="s">
        <v>732</v>
      </c>
      <c r="M87" s="319"/>
      <c r="N87" s="323"/>
      <c r="O87" s="324"/>
      <c r="P87" s="323"/>
    </row>
    <row r="88" spans="1:16" s="337" customFormat="1" ht="15.75" thickBot="1">
      <c r="B88" s="515">
        <v>32090006</v>
      </c>
      <c r="C88" s="493" t="s">
        <v>596</v>
      </c>
      <c r="D88" s="506"/>
      <c r="E88" s="15"/>
      <c r="F88" s="366">
        <f>+(G88+J88)/2</f>
        <v>27515</v>
      </c>
      <c r="G88" s="319">
        <v>32040</v>
      </c>
      <c r="H88" s="263" t="s">
        <v>598</v>
      </c>
      <c r="I88" s="330" t="s">
        <v>597</v>
      </c>
      <c r="J88" s="319">
        <v>22990</v>
      </c>
      <c r="K88" s="263" t="s">
        <v>162</v>
      </c>
      <c r="L88" s="367" t="s">
        <v>599</v>
      </c>
      <c r="M88" s="319"/>
      <c r="N88" s="323"/>
      <c r="O88" s="324"/>
      <c r="P88" s="323"/>
    </row>
    <row r="89" spans="1:16" ht="15.75" thickBot="1">
      <c r="B89" s="47"/>
      <c r="C89" s="607" t="s">
        <v>163</v>
      </c>
      <c r="D89" s="608"/>
      <c r="E89" s="15"/>
      <c r="F89" s="66"/>
      <c r="G89" s="610"/>
      <c r="H89" s="610"/>
      <c r="I89" s="610"/>
      <c r="J89" s="610"/>
      <c r="K89" s="610"/>
      <c r="L89" s="610"/>
      <c r="M89" s="610"/>
      <c r="N89" s="610"/>
      <c r="O89" s="610"/>
      <c r="P89" s="610"/>
    </row>
    <row r="90" spans="1:16" s="250" customFormat="1" ht="15.75" thickBot="1">
      <c r="A90" s="250" t="s">
        <v>164</v>
      </c>
      <c r="B90" s="498">
        <v>32050001</v>
      </c>
      <c r="C90" s="492" t="s">
        <v>165</v>
      </c>
      <c r="D90" s="495" t="s">
        <v>62</v>
      </c>
      <c r="E90" s="15"/>
      <c r="F90" s="91">
        <f>G90</f>
        <v>335</v>
      </c>
      <c r="G90" s="480">
        <v>335</v>
      </c>
      <c r="H90" s="481" t="s">
        <v>166</v>
      </c>
      <c r="I90" s="238" t="s">
        <v>934</v>
      </c>
      <c r="J90" s="482">
        <f>75300/30</f>
        <v>2510</v>
      </c>
      <c r="K90" s="263" t="s">
        <v>408</v>
      </c>
      <c r="L90" s="483" t="s">
        <v>407</v>
      </c>
      <c r="M90" s="259"/>
      <c r="P90" s="246"/>
    </row>
    <row r="91" spans="1:16" ht="15.75" thickBot="1">
      <c r="B91" s="47"/>
      <c r="C91" s="607" t="s">
        <v>167</v>
      </c>
      <c r="D91" s="608"/>
      <c r="E91" s="15"/>
      <c r="F91" s="66"/>
      <c r="G91" s="610"/>
      <c r="H91" s="610"/>
      <c r="I91" s="610"/>
      <c r="J91" s="610"/>
      <c r="K91" s="610"/>
      <c r="L91" s="610"/>
      <c r="M91" s="610"/>
      <c r="N91" s="610"/>
      <c r="O91" s="610"/>
      <c r="P91" s="610"/>
    </row>
    <row r="92" spans="1:16" ht="15.75" thickBot="1">
      <c r="B92" s="632">
        <v>32160002</v>
      </c>
      <c r="C92" s="492" t="s">
        <v>168</v>
      </c>
      <c r="D92" s="495" t="s">
        <v>62</v>
      </c>
      <c r="E92" s="15"/>
      <c r="F92" s="18">
        <f t="shared" ref="F92:F94" si="7">(G92+J92+M92)/3</f>
        <v>786.74666666666656</v>
      </c>
      <c r="G92" s="50">
        <v>677.24</v>
      </c>
      <c r="H92" s="261" t="s">
        <v>169</v>
      </c>
      <c r="I92" s="240" t="s">
        <v>461</v>
      </c>
      <c r="J92" s="52">
        <v>699</v>
      </c>
      <c r="K92" s="261" t="s">
        <v>170</v>
      </c>
      <c r="L92" s="130" t="s">
        <v>462</v>
      </c>
      <c r="M92" s="70">
        <v>984</v>
      </c>
      <c r="N92" s="90" t="s">
        <v>171</v>
      </c>
      <c r="O92" s="144" t="s">
        <v>948</v>
      </c>
      <c r="P92" s="246"/>
    </row>
    <row r="93" spans="1:16" ht="15.75" thickBot="1">
      <c r="A93" t="s">
        <v>172</v>
      </c>
      <c r="B93" s="630"/>
      <c r="C93" s="492" t="s">
        <v>173</v>
      </c>
      <c r="D93" s="495" t="s">
        <v>62</v>
      </c>
      <c r="E93" s="15"/>
      <c r="F93" s="42">
        <f t="shared" si="7"/>
        <v>823.65</v>
      </c>
      <c r="G93" s="80">
        <v>750.7</v>
      </c>
      <c r="H93" s="260" t="s">
        <v>169</v>
      </c>
      <c r="I93" s="516" t="s">
        <v>463</v>
      </c>
      <c r="J93" s="83">
        <v>736.25</v>
      </c>
      <c r="K93" s="260" t="s">
        <v>170</v>
      </c>
      <c r="L93" s="134" t="s">
        <v>464</v>
      </c>
      <c r="M93" s="70">
        <v>984</v>
      </c>
      <c r="N93" s="90" t="s">
        <v>171</v>
      </c>
      <c r="O93" s="144" t="s">
        <v>948</v>
      </c>
      <c r="P93" s="246"/>
    </row>
    <row r="94" spans="1:16" ht="15.75" thickBot="1">
      <c r="B94" s="631"/>
      <c r="C94" s="492" t="s">
        <v>174</v>
      </c>
      <c r="D94" s="495" t="s">
        <v>62</v>
      </c>
      <c r="E94" s="15"/>
      <c r="F94" s="26">
        <f t="shared" si="7"/>
        <v>868.43333333333339</v>
      </c>
      <c r="G94" s="58">
        <v>899</v>
      </c>
      <c r="H94" s="262" t="s">
        <v>171</v>
      </c>
      <c r="I94" s="241" t="s">
        <v>465</v>
      </c>
      <c r="J94" s="61">
        <v>722.3</v>
      </c>
      <c r="K94" s="262" t="s">
        <v>170</v>
      </c>
      <c r="L94" s="60" t="s">
        <v>466</v>
      </c>
      <c r="M94" s="70">
        <v>984</v>
      </c>
      <c r="N94" s="90" t="s">
        <v>171</v>
      </c>
      <c r="O94" s="144" t="s">
        <v>948</v>
      </c>
      <c r="P94" s="246"/>
    </row>
    <row r="95" spans="1:16" ht="15.75" thickBot="1">
      <c r="B95" s="47"/>
      <c r="C95" s="607"/>
      <c r="D95" s="608"/>
      <c r="E95" s="15"/>
      <c r="F95" s="66"/>
      <c r="G95" s="610"/>
      <c r="H95" s="610"/>
      <c r="I95" s="610"/>
      <c r="J95" s="610"/>
      <c r="K95" s="610"/>
      <c r="L95" s="610"/>
      <c r="M95" s="610"/>
      <c r="N95" s="610"/>
      <c r="O95" s="610"/>
      <c r="P95" s="610"/>
    </row>
    <row r="96" spans="1:16" ht="15.75" thickBot="1">
      <c r="B96" s="500">
        <v>321200161</v>
      </c>
      <c r="C96" s="490" t="s">
        <v>175</v>
      </c>
      <c r="D96" s="495" t="s">
        <v>17</v>
      </c>
      <c r="E96" s="15"/>
      <c r="F96" s="26">
        <f>+G96</f>
        <v>8460</v>
      </c>
      <c r="G96" s="58">
        <f>25380/3</f>
        <v>8460</v>
      </c>
      <c r="H96" s="33" t="s">
        <v>176</v>
      </c>
      <c r="I96" s="238" t="s">
        <v>177</v>
      </c>
      <c r="J96" s="1"/>
      <c r="K96" s="1"/>
      <c r="L96" s="1"/>
      <c r="M96" s="1"/>
      <c r="N96" s="1"/>
      <c r="O96" s="1"/>
      <c r="P96" s="2"/>
    </row>
    <row r="97" spans="1:17" ht="15.75" customHeight="1" thickBot="1">
      <c r="B97" s="500">
        <v>321200172</v>
      </c>
      <c r="C97" s="492" t="s">
        <v>178</v>
      </c>
      <c r="D97" s="495" t="s">
        <v>17</v>
      </c>
      <c r="F97" s="42">
        <f>+(G97+J97)/2</f>
        <v>7600</v>
      </c>
      <c r="G97" s="58">
        <v>9250</v>
      </c>
      <c r="H97" s="33" t="s">
        <v>179</v>
      </c>
      <c r="I97" s="238" t="s">
        <v>180</v>
      </c>
      <c r="J97" s="61">
        <v>5950</v>
      </c>
      <c r="K97" s="33" t="s">
        <v>181</v>
      </c>
      <c r="L97" s="45" t="s">
        <v>182</v>
      </c>
      <c r="M97" s="1"/>
      <c r="N97" s="1"/>
      <c r="O97" s="1"/>
      <c r="P97" s="2"/>
    </row>
    <row r="98" spans="1:17" ht="15.75" customHeight="1" thickBot="1">
      <c r="B98" s="47"/>
      <c r="C98" s="607"/>
      <c r="D98" s="608"/>
      <c r="F98" s="48"/>
      <c r="G98" s="610"/>
      <c r="H98" s="610"/>
      <c r="I98" s="610"/>
      <c r="J98" s="610"/>
      <c r="K98" s="610"/>
      <c r="L98" s="610"/>
      <c r="M98" s="610"/>
      <c r="N98" s="610"/>
      <c r="O98" s="610"/>
      <c r="P98" s="610"/>
    </row>
    <row r="99" spans="1:17" ht="15.75" customHeight="1" thickBot="1">
      <c r="A99" t="s">
        <v>183</v>
      </c>
      <c r="B99" s="500">
        <v>321200192</v>
      </c>
      <c r="C99" s="490" t="s">
        <v>184</v>
      </c>
      <c r="D99" s="495" t="s">
        <v>62</v>
      </c>
      <c r="E99" s="15"/>
      <c r="F99" s="42">
        <f>+(G99+J99)/2</f>
        <v>12650</v>
      </c>
      <c r="G99" s="27">
        <v>17300</v>
      </c>
      <c r="H99" s="263" t="s">
        <v>409</v>
      </c>
      <c r="I99" s="517" t="s">
        <v>700</v>
      </c>
      <c r="J99" s="146">
        <v>8000</v>
      </c>
      <c r="K99" s="33" t="s">
        <v>699</v>
      </c>
      <c r="L99" s="147" t="s">
        <v>698</v>
      </c>
      <c r="M99" s="147"/>
      <c r="N99" s="147"/>
      <c r="O99" s="147"/>
      <c r="P99" s="148"/>
    </row>
    <row r="100" spans="1:17" ht="15.75" customHeight="1" thickBot="1">
      <c r="B100" s="47"/>
      <c r="C100" s="607" t="s">
        <v>185</v>
      </c>
      <c r="D100" s="608"/>
      <c r="E100" s="15"/>
      <c r="F100" s="66"/>
      <c r="G100" s="610"/>
      <c r="H100" s="610"/>
      <c r="I100" s="610"/>
      <c r="J100" s="610"/>
      <c r="K100" s="610"/>
      <c r="L100" s="610"/>
      <c r="M100" s="610"/>
      <c r="N100" s="610"/>
      <c r="O100" s="610"/>
      <c r="P100" s="610"/>
    </row>
    <row r="101" spans="1:17" ht="15.75" customHeight="1" thickBot="1">
      <c r="A101" t="s">
        <v>186</v>
      </c>
      <c r="B101" s="632">
        <v>32020003</v>
      </c>
      <c r="C101" s="492" t="s">
        <v>187</v>
      </c>
      <c r="D101" s="495" t="s">
        <v>188</v>
      </c>
      <c r="E101" s="15" t="s">
        <v>189</v>
      </c>
      <c r="F101" s="18">
        <f>(G101+J101)/2</f>
        <v>15239.5</v>
      </c>
      <c r="G101" s="50">
        <f>82895/5</f>
        <v>16579</v>
      </c>
      <c r="H101" s="261" t="s">
        <v>52</v>
      </c>
      <c r="I101" s="240" t="s">
        <v>467</v>
      </c>
      <c r="J101" s="52">
        <v>13900</v>
      </c>
      <c r="K101" s="275" t="s">
        <v>190</v>
      </c>
      <c r="L101" s="51" t="s">
        <v>191</v>
      </c>
      <c r="M101" s="55"/>
      <c r="N101" s="55"/>
      <c r="O101" s="56"/>
      <c r="P101" s="77" t="s">
        <v>192</v>
      </c>
    </row>
    <row r="102" spans="1:17" ht="15.75" customHeight="1" thickBot="1">
      <c r="A102" t="s">
        <v>193</v>
      </c>
      <c r="B102" s="631"/>
      <c r="C102" s="492" t="s">
        <v>194</v>
      </c>
      <c r="D102" s="495" t="s">
        <v>195</v>
      </c>
      <c r="E102" s="15"/>
      <c r="F102" s="42">
        <f>+G102</f>
        <v>211.8</v>
      </c>
      <c r="G102" s="80">
        <f>211800/1000</f>
        <v>211.8</v>
      </c>
      <c r="H102" s="262" t="s">
        <v>52</v>
      </c>
      <c r="I102" s="518" t="s">
        <v>468</v>
      </c>
      <c r="J102" s="149"/>
      <c r="K102" s="150"/>
      <c r="L102" s="137"/>
      <c r="M102" s="63"/>
      <c r="N102" s="63"/>
      <c r="O102" s="64"/>
      <c r="P102" s="246"/>
    </row>
    <row r="103" spans="1:17" ht="15.75" customHeight="1" thickBot="1">
      <c r="A103" s="151" t="s">
        <v>196</v>
      </c>
      <c r="B103" s="498">
        <v>320200024</v>
      </c>
      <c r="C103" s="492" t="s">
        <v>197</v>
      </c>
      <c r="D103" s="495" t="s">
        <v>188</v>
      </c>
      <c r="E103" s="4"/>
      <c r="F103" s="42">
        <f>(G103+J103)/2</f>
        <v>17564.5</v>
      </c>
      <c r="G103" s="50">
        <v>16579</v>
      </c>
      <c r="H103" s="261" t="s">
        <v>52</v>
      </c>
      <c r="I103" s="240" t="s">
        <v>467</v>
      </c>
      <c r="J103" s="52">
        <v>18550</v>
      </c>
      <c r="K103" s="261" t="s">
        <v>491</v>
      </c>
      <c r="L103" s="51" t="s">
        <v>490</v>
      </c>
      <c r="M103" s="55"/>
      <c r="N103" s="55"/>
      <c r="O103" s="56"/>
      <c r="P103" s="258" t="s">
        <v>198</v>
      </c>
      <c r="Q103" s="276"/>
    </row>
    <row r="104" spans="1:17" ht="15.75" customHeight="1" thickBot="1">
      <c r="B104" s="47"/>
      <c r="C104" s="607"/>
      <c r="D104" s="608"/>
      <c r="E104" s="15"/>
      <c r="F104" s="48"/>
      <c r="G104" s="610"/>
      <c r="H104" s="610"/>
      <c r="I104" s="610"/>
      <c r="J104" s="610"/>
      <c r="K104" s="610"/>
      <c r="L104" s="610"/>
      <c r="M104" s="610"/>
      <c r="N104" s="610"/>
      <c r="O104" s="610"/>
      <c r="P104" s="610"/>
    </row>
    <row r="105" spans="1:17" ht="15.75" customHeight="1" thickBot="1">
      <c r="A105" t="s">
        <v>199</v>
      </c>
      <c r="B105" s="498">
        <v>320500026</v>
      </c>
      <c r="C105" s="490" t="s">
        <v>200</v>
      </c>
      <c r="D105" s="495" t="s">
        <v>201</v>
      </c>
      <c r="E105" s="15"/>
      <c r="F105" s="36">
        <f>(G105+J105)/2</f>
        <v>5407.5</v>
      </c>
      <c r="G105" s="152">
        <f>7800/2</f>
        <v>3900</v>
      </c>
      <c r="H105" s="39" t="s">
        <v>202</v>
      </c>
      <c r="I105" s="238" t="s">
        <v>203</v>
      </c>
      <c r="J105" s="52">
        <v>6915</v>
      </c>
      <c r="K105" s="261" t="s">
        <v>523</v>
      </c>
      <c r="L105" s="153" t="s">
        <v>522</v>
      </c>
      <c r="M105" s="277"/>
      <c r="P105" s="253" t="s">
        <v>410</v>
      </c>
    </row>
    <row r="106" spans="1:17" ht="15.75" customHeight="1" thickBot="1">
      <c r="B106" s="47"/>
      <c r="C106" s="607" t="s">
        <v>204</v>
      </c>
      <c r="D106" s="608"/>
      <c r="E106" s="15"/>
      <c r="F106" s="66"/>
      <c r="G106" s="610"/>
      <c r="H106" s="610"/>
      <c r="I106" s="610"/>
      <c r="J106" s="610"/>
      <c r="K106" s="610"/>
      <c r="L106" s="610"/>
      <c r="M106" s="610"/>
      <c r="N106" s="610"/>
      <c r="O106" s="610"/>
      <c r="P106" s="610"/>
    </row>
    <row r="107" spans="1:17" ht="15.75" customHeight="1" thickBot="1">
      <c r="A107" t="s">
        <v>205</v>
      </c>
      <c r="B107" s="500">
        <v>320100112</v>
      </c>
      <c r="C107" s="496" t="s">
        <v>206</v>
      </c>
      <c r="D107" s="501" t="s">
        <v>207</v>
      </c>
      <c r="E107" s="15"/>
      <c r="F107" s="36">
        <f t="shared" ref="F107:F109" si="8">(G107+J107)/2</f>
        <v>7150</v>
      </c>
      <c r="G107" s="27">
        <v>8500</v>
      </c>
      <c r="H107" s="278" t="s">
        <v>18</v>
      </c>
      <c r="I107" s="239" t="s">
        <v>469</v>
      </c>
      <c r="J107" s="34">
        <v>5800</v>
      </c>
      <c r="K107" s="279" t="s">
        <v>411</v>
      </c>
      <c r="L107" s="240" t="s">
        <v>470</v>
      </c>
      <c r="M107" s="154"/>
      <c r="N107" s="131"/>
      <c r="O107" s="155"/>
      <c r="P107" s="246"/>
    </row>
    <row r="108" spans="1:17" ht="15.75" customHeight="1" thickBot="1">
      <c r="A108" t="s">
        <v>208</v>
      </c>
      <c r="B108" s="500">
        <v>320100123</v>
      </c>
      <c r="C108" s="496" t="s">
        <v>209</v>
      </c>
      <c r="D108" s="501" t="s">
        <v>210</v>
      </c>
      <c r="E108" s="15"/>
      <c r="F108" s="42">
        <f t="shared" si="8"/>
        <v>622.5</v>
      </c>
      <c r="G108" s="80">
        <f>35800/50</f>
        <v>716</v>
      </c>
      <c r="H108" s="280" t="s">
        <v>211</v>
      </c>
      <c r="I108" s="274" t="s">
        <v>471</v>
      </c>
      <c r="J108" s="83">
        <v>529</v>
      </c>
      <c r="K108" s="254" t="s">
        <v>413</v>
      </c>
      <c r="L108" s="274" t="s">
        <v>412</v>
      </c>
      <c r="M108" s="135"/>
      <c r="N108" s="135"/>
      <c r="O108" s="156"/>
      <c r="P108" s="246"/>
    </row>
    <row r="109" spans="1:17" ht="15.75" customHeight="1" thickBot="1">
      <c r="A109" t="s">
        <v>212</v>
      </c>
      <c r="B109" s="500">
        <v>3201001710</v>
      </c>
      <c r="C109" s="496" t="s">
        <v>213</v>
      </c>
      <c r="D109" s="501" t="s">
        <v>207</v>
      </c>
      <c r="E109" s="124"/>
      <c r="F109" s="36">
        <f t="shared" si="8"/>
        <v>8545</v>
      </c>
      <c r="G109" s="27">
        <v>5190</v>
      </c>
      <c r="H109" s="28" t="s">
        <v>72</v>
      </c>
      <c r="I109" s="238" t="s">
        <v>214</v>
      </c>
      <c r="J109" s="34">
        <v>11900</v>
      </c>
      <c r="K109" s="279" t="s">
        <v>18</v>
      </c>
      <c r="L109" s="60" t="s">
        <v>472</v>
      </c>
      <c r="M109" s="157"/>
      <c r="N109" s="157"/>
      <c r="O109" s="158"/>
      <c r="P109" s="246"/>
    </row>
    <row r="110" spans="1:17" ht="15.75" customHeight="1" thickBot="1">
      <c r="B110" s="47"/>
      <c r="C110" s="607" t="s">
        <v>215</v>
      </c>
      <c r="D110" s="608"/>
      <c r="E110" s="124"/>
      <c r="F110" s="66"/>
      <c r="G110" s="610"/>
      <c r="H110" s="610"/>
      <c r="I110" s="610"/>
      <c r="J110" s="610"/>
      <c r="K110" s="610"/>
      <c r="L110" s="610"/>
      <c r="M110" s="610"/>
      <c r="N110" s="610"/>
      <c r="O110" s="610"/>
      <c r="P110" s="610"/>
    </row>
    <row r="111" spans="1:17" ht="18.75" customHeight="1" thickBot="1">
      <c r="A111" t="s">
        <v>216</v>
      </c>
      <c r="B111" s="632">
        <v>32070006</v>
      </c>
      <c r="C111" s="519" t="s">
        <v>217</v>
      </c>
      <c r="D111" s="501" t="s">
        <v>17</v>
      </c>
      <c r="E111" s="15"/>
      <c r="F111" s="18">
        <f>(G111)</f>
        <v>1450</v>
      </c>
      <c r="G111" s="50">
        <f>14500/10</f>
        <v>1450</v>
      </c>
      <c r="H111" s="159" t="s">
        <v>218</v>
      </c>
      <c r="I111" s="238" t="s">
        <v>219</v>
      </c>
      <c r="J111" s="160"/>
      <c r="K111" s="22"/>
      <c r="L111" s="22"/>
      <c r="M111" s="161"/>
      <c r="N111" s="161"/>
      <c r="O111" s="162"/>
      <c r="P111" s="163"/>
    </row>
    <row r="112" spans="1:17" ht="15.75" customHeight="1" thickBot="1">
      <c r="A112" t="s">
        <v>220</v>
      </c>
      <c r="B112" s="638"/>
      <c r="C112" s="490" t="s">
        <v>221</v>
      </c>
      <c r="D112" s="495" t="s">
        <v>62</v>
      </c>
      <c r="E112" s="15"/>
      <c r="F112" s="18">
        <f>G112</f>
        <v>443.45</v>
      </c>
      <c r="G112" s="58">
        <f>88690/200</f>
        <v>443.45</v>
      </c>
      <c r="H112" s="269" t="s">
        <v>27</v>
      </c>
      <c r="I112" s="164" t="s">
        <v>473</v>
      </c>
      <c r="J112" s="165"/>
      <c r="K112" s="165"/>
      <c r="L112" s="166"/>
      <c r="M112" s="281"/>
    </row>
    <row r="113" spans="1:16" s="312" customFormat="1" ht="15.75" customHeight="1" thickBot="1">
      <c r="B113" s="639"/>
      <c r="C113" s="490" t="s">
        <v>559</v>
      </c>
      <c r="D113" s="495" t="s">
        <v>62</v>
      </c>
      <c r="E113" s="15"/>
      <c r="F113" s="349">
        <f>+(G113+J113+M113)/3</f>
        <v>4169</v>
      </c>
      <c r="G113" s="319">
        <v>5118</v>
      </c>
      <c r="H113" s="355"/>
      <c r="I113" s="356" t="s">
        <v>913</v>
      </c>
      <c r="J113" s="34">
        <v>5031</v>
      </c>
      <c r="K113" s="357"/>
      <c r="L113" s="358" t="s">
        <v>560</v>
      </c>
      <c r="M113" s="34">
        <v>2358</v>
      </c>
      <c r="O113" s="312" t="s">
        <v>561</v>
      </c>
    </row>
    <row r="114" spans="1:16" s="312" customFormat="1" ht="15.75" customHeight="1" thickBot="1">
      <c r="B114" s="520"/>
      <c r="C114" s="490" t="s">
        <v>562</v>
      </c>
      <c r="D114" s="495"/>
      <c r="E114" s="15"/>
      <c r="F114" s="349">
        <f>+(G114+J114+M114)/3</f>
        <v>1601.8533333333332</v>
      </c>
      <c r="G114" s="319">
        <v>1000</v>
      </c>
      <c r="H114" s="359" t="s">
        <v>509</v>
      </c>
      <c r="I114" s="356" t="s">
        <v>565</v>
      </c>
      <c r="J114" s="34">
        <v>2946</v>
      </c>
      <c r="K114" s="359" t="s">
        <v>563</v>
      </c>
      <c r="L114" s="312" t="s">
        <v>564</v>
      </c>
      <c r="M114" s="34">
        <f>42978/50</f>
        <v>859.56</v>
      </c>
      <c r="O114" s="312" t="s">
        <v>566</v>
      </c>
    </row>
    <row r="115" spans="1:16" ht="15.75" thickBot="1">
      <c r="B115" s="171"/>
      <c r="C115" s="172"/>
      <c r="D115" s="173"/>
      <c r="E115" s="15"/>
      <c r="F115" s="174"/>
      <c r="G115" s="610"/>
      <c r="H115" s="610"/>
      <c r="I115" s="610"/>
      <c r="J115" s="610"/>
      <c r="K115" s="610"/>
      <c r="L115" s="610"/>
      <c r="M115" s="610"/>
      <c r="N115" s="610"/>
      <c r="O115" s="610"/>
      <c r="P115" s="610"/>
    </row>
    <row r="116" spans="1:16" ht="15.75" thickBot="1">
      <c r="A116" t="s">
        <v>222</v>
      </c>
      <c r="B116" s="500">
        <v>321600081</v>
      </c>
      <c r="C116" s="496" t="s">
        <v>223</v>
      </c>
      <c r="D116" s="501" t="s">
        <v>62</v>
      </c>
      <c r="E116" s="15"/>
      <c r="F116" s="78">
        <f>(G116+J116)/2</f>
        <v>551</v>
      </c>
      <c r="G116" s="27">
        <f>35000/50</f>
        <v>700</v>
      </c>
      <c r="H116" s="282"/>
      <c r="I116" s="228" t="s">
        <v>781</v>
      </c>
      <c r="J116" s="34">
        <v>402</v>
      </c>
      <c r="K116" s="175"/>
      <c r="L116" s="635" t="s">
        <v>782</v>
      </c>
      <c r="M116" s="636"/>
      <c r="N116" s="636"/>
      <c r="O116" s="636"/>
      <c r="P116" s="637"/>
    </row>
    <row r="117" spans="1:16" ht="15.75" thickBot="1">
      <c r="B117" s="47"/>
      <c r="C117" s="607" t="s">
        <v>215</v>
      </c>
      <c r="D117" s="608"/>
      <c r="E117" s="15"/>
      <c r="F117" s="66"/>
      <c r="G117" s="610"/>
      <c r="H117" s="610"/>
      <c r="I117" s="610"/>
      <c r="J117" s="610"/>
      <c r="K117" s="610"/>
      <c r="L117" s="610"/>
      <c r="M117" s="610"/>
      <c r="N117" s="610"/>
      <c r="O117" s="610"/>
      <c r="P117" s="610"/>
    </row>
    <row r="118" spans="1:16" ht="15">
      <c r="A118" t="s">
        <v>224</v>
      </c>
      <c r="B118" s="500">
        <v>32030001</v>
      </c>
      <c r="C118" s="492" t="s">
        <v>225</v>
      </c>
      <c r="D118" s="495" t="s">
        <v>62</v>
      </c>
      <c r="E118" s="15"/>
      <c r="F118" s="36">
        <f>(G118+J118+M118)/3</f>
        <v>298.31</v>
      </c>
      <c r="G118" s="176">
        <v>213.15</v>
      </c>
      <c r="H118" s="263" t="s">
        <v>327</v>
      </c>
      <c r="I118" s="238" t="s">
        <v>226</v>
      </c>
      <c r="J118" s="34">
        <v>241.78</v>
      </c>
      <c r="K118" s="263" t="s">
        <v>414</v>
      </c>
      <c r="L118" s="239" t="s">
        <v>474</v>
      </c>
      <c r="M118" s="34">
        <v>440</v>
      </c>
      <c r="N118" s="331" t="s">
        <v>505</v>
      </c>
      <c r="O118" s="40" t="s">
        <v>506</v>
      </c>
    </row>
    <row r="119" spans="1:16" s="308" customFormat="1" ht="15">
      <c r="B119" s="521"/>
      <c r="C119" s="490" t="s">
        <v>504</v>
      </c>
      <c r="D119" s="495" t="s">
        <v>62</v>
      </c>
      <c r="E119" s="15"/>
      <c r="F119" s="36">
        <f>(G119+J119+M119)/3</f>
        <v>298.31</v>
      </c>
      <c r="G119" s="328">
        <v>213.15</v>
      </c>
      <c r="H119" s="263" t="s">
        <v>327</v>
      </c>
      <c r="I119" s="329" t="s">
        <v>226</v>
      </c>
      <c r="J119" s="34">
        <v>241.78</v>
      </c>
      <c r="K119" s="263" t="s">
        <v>414</v>
      </c>
      <c r="L119" s="239" t="s">
        <v>474</v>
      </c>
      <c r="M119" s="34">
        <v>440</v>
      </c>
      <c r="N119" s="331" t="s">
        <v>505</v>
      </c>
      <c r="O119" s="40" t="s">
        <v>506</v>
      </c>
    </row>
    <row r="120" spans="1:16" s="308" customFormat="1" ht="15.75" thickBot="1">
      <c r="B120" s="326"/>
      <c r="C120" s="316"/>
      <c r="D120" s="317"/>
      <c r="E120" s="15"/>
      <c r="F120" s="327"/>
      <c r="G120" s="328"/>
      <c r="H120" s="320"/>
      <c r="I120" s="329"/>
      <c r="J120" s="319"/>
      <c r="K120" s="320"/>
      <c r="L120" s="330"/>
      <c r="M120" s="323"/>
      <c r="N120" s="323"/>
      <c r="O120" s="324"/>
    </row>
    <row r="121" spans="1:16" ht="15.75" thickBot="1">
      <c r="B121" s="325"/>
      <c r="C121" s="607" t="s">
        <v>227</v>
      </c>
      <c r="D121" s="608"/>
      <c r="E121" s="15"/>
      <c r="F121" s="66"/>
      <c r="G121" s="610"/>
      <c r="H121" s="610"/>
      <c r="I121" s="610"/>
      <c r="J121" s="610"/>
      <c r="K121" s="610"/>
      <c r="L121" s="610"/>
      <c r="M121" s="610"/>
      <c r="N121" s="610"/>
      <c r="O121" s="610"/>
      <c r="P121" s="610"/>
    </row>
    <row r="122" spans="1:16" ht="15.75" thickBot="1">
      <c r="A122" t="s">
        <v>228</v>
      </c>
      <c r="B122" s="643">
        <v>32070007</v>
      </c>
      <c r="C122" s="527" t="s">
        <v>229</v>
      </c>
      <c r="D122" s="489" t="s">
        <v>62</v>
      </c>
      <c r="E122" s="15"/>
      <c r="F122" s="349">
        <f>(G122+J122+M122)/3</f>
        <v>71.666666666666671</v>
      </c>
      <c r="G122" s="522">
        <f>6400/100</f>
        <v>64</v>
      </c>
      <c r="H122" s="261" t="s">
        <v>27</v>
      </c>
      <c r="I122" s="526" t="s">
        <v>475</v>
      </c>
      <c r="J122" s="52">
        <v>61</v>
      </c>
      <c r="K122" s="21" t="s">
        <v>230</v>
      </c>
      <c r="L122" s="178" t="s">
        <v>231</v>
      </c>
      <c r="M122" s="179">
        <v>90</v>
      </c>
      <c r="N122" s="180" t="s">
        <v>230</v>
      </c>
      <c r="O122" s="181" t="s">
        <v>232</v>
      </c>
    </row>
    <row r="123" spans="1:16" ht="15.75" thickBot="1">
      <c r="A123" t="s">
        <v>233</v>
      </c>
      <c r="B123" s="644"/>
      <c r="C123" s="527" t="s">
        <v>234</v>
      </c>
      <c r="D123" s="489" t="s">
        <v>62</v>
      </c>
      <c r="E123" s="15"/>
      <c r="F123" s="340">
        <f t="shared" ref="F123:F124" si="9">(G123+J123)/2</f>
        <v>100.5</v>
      </c>
      <c r="G123" s="523">
        <v>91</v>
      </c>
      <c r="H123" s="260" t="s">
        <v>230</v>
      </c>
      <c r="I123" s="238" t="s">
        <v>415</v>
      </c>
      <c r="J123" s="83">
        <v>110</v>
      </c>
      <c r="K123" s="112" t="s">
        <v>230</v>
      </c>
      <c r="L123" s="182" t="s">
        <v>235</v>
      </c>
      <c r="M123" s="72"/>
      <c r="N123" s="72"/>
      <c r="O123" s="183"/>
    </row>
    <row r="124" spans="1:16" ht="15.75" thickBot="1">
      <c r="A124" t="s">
        <v>236</v>
      </c>
      <c r="B124" s="644"/>
      <c r="C124" s="527" t="s">
        <v>237</v>
      </c>
      <c r="D124" s="489" t="s">
        <v>62</v>
      </c>
      <c r="E124" s="15"/>
      <c r="F124" s="340">
        <f t="shared" si="9"/>
        <v>190</v>
      </c>
      <c r="G124" s="523">
        <v>160</v>
      </c>
      <c r="H124" s="260" t="s">
        <v>230</v>
      </c>
      <c r="I124" s="238" t="s">
        <v>416</v>
      </c>
      <c r="J124" s="34">
        <f>11000/50</f>
        <v>220</v>
      </c>
      <c r="K124" s="184" t="s">
        <v>230</v>
      </c>
      <c r="L124" s="185" t="s">
        <v>238</v>
      </c>
      <c r="M124" s="186"/>
      <c r="N124" s="186"/>
      <c r="O124" s="187"/>
    </row>
    <row r="125" spans="1:16" s="312" customFormat="1" ht="15.75" thickBot="1">
      <c r="B125" s="644"/>
      <c r="C125" s="527" t="s">
        <v>567</v>
      </c>
      <c r="D125" s="489" t="s">
        <v>62</v>
      </c>
      <c r="E125" s="15"/>
      <c r="F125" s="340">
        <f>+(G125+J125+M125)/3</f>
        <v>534.80666666666673</v>
      </c>
      <c r="G125" s="523">
        <v>393.56</v>
      </c>
      <c r="H125" s="260" t="s">
        <v>509</v>
      </c>
      <c r="I125" s="283" t="s">
        <v>568</v>
      </c>
      <c r="J125" s="34">
        <f>7551/50</f>
        <v>151.02000000000001</v>
      </c>
      <c r="K125" s="361" t="s">
        <v>36</v>
      </c>
      <c r="L125" s="360" t="s">
        <v>569</v>
      </c>
      <c r="M125" s="179">
        <f>52992/50</f>
        <v>1059.8399999999999</v>
      </c>
      <c r="N125" s="260" t="s">
        <v>392</v>
      </c>
      <c r="O125" s="187" t="s">
        <v>570</v>
      </c>
    </row>
    <row r="126" spans="1:16" ht="15.75" thickBot="1">
      <c r="A126" t="s">
        <v>239</v>
      </c>
      <c r="B126" s="644"/>
      <c r="C126" s="527" t="s">
        <v>240</v>
      </c>
      <c r="D126" s="489" t="s">
        <v>62</v>
      </c>
      <c r="E126" s="15"/>
      <c r="F126" s="340">
        <f>(G126+J126)/2</f>
        <v>386</v>
      </c>
      <c r="G126" s="523">
        <v>400</v>
      </c>
      <c r="H126" s="260" t="s">
        <v>418</v>
      </c>
      <c r="I126" s="238" t="s">
        <v>935</v>
      </c>
      <c r="J126" s="34">
        <f>9300/25</f>
        <v>372</v>
      </c>
      <c r="K126" s="270" t="s">
        <v>418</v>
      </c>
      <c r="L126" s="284" t="s">
        <v>417</v>
      </c>
      <c r="M126" s="188"/>
    </row>
    <row r="127" spans="1:16" ht="15.75" thickBot="1">
      <c r="A127" t="s">
        <v>241</v>
      </c>
      <c r="B127" s="644"/>
      <c r="C127" s="527" t="s">
        <v>242</v>
      </c>
      <c r="D127" s="489" t="s">
        <v>62</v>
      </c>
      <c r="E127" s="15"/>
      <c r="F127" s="362">
        <f>+(G127+J127+M127)/3</f>
        <v>83.62</v>
      </c>
      <c r="G127" s="524">
        <v>88.95</v>
      </c>
      <c r="H127" s="260" t="s">
        <v>509</v>
      </c>
      <c r="I127" s="330" t="s">
        <v>575</v>
      </c>
      <c r="J127" s="319">
        <v>56.32</v>
      </c>
      <c r="K127" s="341"/>
      <c r="L127" s="333" t="s">
        <v>576</v>
      </c>
      <c r="M127" s="363">
        <f>10559/100</f>
        <v>105.59</v>
      </c>
      <c r="N127" s="270" t="s">
        <v>418</v>
      </c>
      <c r="O127" s="187" t="s">
        <v>577</v>
      </c>
    </row>
    <row r="128" spans="1:16" s="312" customFormat="1" ht="15.75" thickBot="1">
      <c r="B128" s="644"/>
      <c r="C128" s="528" t="s">
        <v>571</v>
      </c>
      <c r="D128" s="489" t="s">
        <v>62</v>
      </c>
      <c r="E128" s="15"/>
      <c r="F128" s="362">
        <f>+(G128+J128+M128)/3</f>
        <v>57.323333333333331</v>
      </c>
      <c r="G128" s="524">
        <v>69.989999999999995</v>
      </c>
      <c r="H128" s="260" t="s">
        <v>36</v>
      </c>
      <c r="I128" s="330" t="s">
        <v>572</v>
      </c>
      <c r="J128" s="34">
        <f>5000/100</f>
        <v>50</v>
      </c>
      <c r="K128" s="270" t="s">
        <v>418</v>
      </c>
      <c r="L128" s="333" t="s">
        <v>573</v>
      </c>
      <c r="M128" s="179">
        <v>51.98</v>
      </c>
      <c r="N128" s="270" t="s">
        <v>418</v>
      </c>
      <c r="O128" s="187" t="s">
        <v>574</v>
      </c>
    </row>
    <row r="129" spans="1:17" s="312" customFormat="1" ht="15.75" thickBot="1">
      <c r="B129" s="645"/>
      <c r="C129" s="528" t="s">
        <v>578</v>
      </c>
      <c r="D129" s="489" t="s">
        <v>62</v>
      </c>
      <c r="E129" s="15"/>
      <c r="F129" s="362">
        <f>+(G129+J129)/2</f>
        <v>280.45</v>
      </c>
      <c r="G129" s="525">
        <v>54.55</v>
      </c>
      <c r="H129" s="260" t="s">
        <v>553</v>
      </c>
      <c r="I129" s="238" t="s">
        <v>579</v>
      </c>
      <c r="J129" s="319">
        <f>50635/100</f>
        <v>506.35</v>
      </c>
      <c r="K129" s="341" t="s">
        <v>543</v>
      </c>
      <c r="L129" s="312" t="s">
        <v>580</v>
      </c>
    </row>
    <row r="130" spans="1:17" ht="15.75" thickBot="1">
      <c r="B130" s="339"/>
      <c r="C130" s="607"/>
      <c r="D130" s="608"/>
      <c r="E130" s="15"/>
      <c r="F130" s="66"/>
      <c r="G130" s="610"/>
      <c r="H130" s="610"/>
      <c r="I130" s="610"/>
      <c r="J130" s="610"/>
      <c r="K130" s="610"/>
      <c r="L130" s="610"/>
      <c r="M130" s="610"/>
      <c r="N130" s="610"/>
      <c r="O130" s="610"/>
      <c r="P130" s="610"/>
    </row>
    <row r="131" spans="1:17" ht="15.75" customHeight="1" thickBot="1">
      <c r="A131" t="s">
        <v>243</v>
      </c>
      <c r="B131" s="498">
        <v>321100011</v>
      </c>
      <c r="C131" s="492" t="s">
        <v>244</v>
      </c>
      <c r="D131" s="495" t="s">
        <v>62</v>
      </c>
      <c r="E131" s="15"/>
      <c r="F131" s="42">
        <f>(G131+J131)/2</f>
        <v>336</v>
      </c>
      <c r="G131" s="27">
        <v>232</v>
      </c>
      <c r="H131" s="105"/>
      <c r="I131" s="238" t="s">
        <v>245</v>
      </c>
      <c r="J131" s="34">
        <v>440</v>
      </c>
      <c r="K131" s="263" t="s">
        <v>419</v>
      </c>
      <c r="L131" s="640" t="s">
        <v>420</v>
      </c>
      <c r="M131" s="636"/>
      <c r="N131" s="636"/>
      <c r="O131" s="636"/>
      <c r="P131" s="637"/>
    </row>
    <row r="132" spans="1:17" ht="15.75" customHeight="1" thickBot="1">
      <c r="B132" s="529"/>
      <c r="C132" s="641" t="s">
        <v>246</v>
      </c>
      <c r="D132" s="642"/>
      <c r="E132" s="15"/>
      <c r="F132" s="66"/>
      <c r="G132" s="610"/>
      <c r="H132" s="610"/>
      <c r="I132" s="610"/>
      <c r="J132" s="610"/>
      <c r="K132" s="610"/>
      <c r="L132" s="610"/>
      <c r="M132" s="610"/>
      <c r="N132" s="610"/>
      <c r="O132" s="610"/>
      <c r="P132" s="610"/>
    </row>
    <row r="133" spans="1:17" ht="15.75" customHeight="1" thickBot="1">
      <c r="A133" t="s">
        <v>247</v>
      </c>
      <c r="B133" s="632">
        <v>32090019</v>
      </c>
      <c r="C133" s="492" t="s">
        <v>248</v>
      </c>
      <c r="D133" s="495" t="s">
        <v>17</v>
      </c>
      <c r="E133" s="15"/>
      <c r="F133" s="78">
        <f t="shared" ref="F133:F135" si="10">(G133)</f>
        <v>6925</v>
      </c>
      <c r="G133" s="50">
        <v>6925</v>
      </c>
      <c r="H133" s="261" t="s">
        <v>249</v>
      </c>
      <c r="I133" s="238" t="s">
        <v>476</v>
      </c>
      <c r="J133" s="189"/>
      <c r="K133" s="19"/>
      <c r="L133" s="23"/>
      <c r="M133" s="22"/>
      <c r="N133" s="22"/>
      <c r="O133" s="190"/>
      <c r="P133" s="191"/>
    </row>
    <row r="134" spans="1:17" ht="15.75" customHeight="1" thickBot="1">
      <c r="A134" t="s">
        <v>250</v>
      </c>
      <c r="B134" s="630"/>
      <c r="C134" s="492" t="s">
        <v>251</v>
      </c>
      <c r="D134" s="495" t="s">
        <v>17</v>
      </c>
      <c r="E134" s="15"/>
      <c r="F134" s="78">
        <f t="shared" si="10"/>
        <v>6925</v>
      </c>
      <c r="G134" s="50">
        <v>6925</v>
      </c>
      <c r="H134" s="261" t="s">
        <v>249</v>
      </c>
      <c r="I134" s="487" t="s">
        <v>476</v>
      </c>
      <c r="J134" s="192"/>
      <c r="K134" s="133"/>
      <c r="L134" s="193"/>
      <c r="M134" s="194"/>
      <c r="N134" s="194"/>
      <c r="O134" s="195"/>
      <c r="P134" s="196"/>
    </row>
    <row r="135" spans="1:17" ht="15.75" customHeight="1" thickBot="1">
      <c r="A135" t="s">
        <v>252</v>
      </c>
      <c r="B135" s="631"/>
      <c r="C135" s="492" t="s">
        <v>253</v>
      </c>
      <c r="D135" s="495" t="s">
        <v>17</v>
      </c>
      <c r="E135" s="15"/>
      <c r="F135" s="78">
        <f t="shared" si="10"/>
        <v>6925</v>
      </c>
      <c r="G135" s="50">
        <v>6925</v>
      </c>
      <c r="H135" s="261" t="s">
        <v>249</v>
      </c>
      <c r="I135" s="487" t="s">
        <v>476</v>
      </c>
      <c r="J135" s="192"/>
      <c r="K135" s="133"/>
      <c r="L135" s="193"/>
      <c r="M135" s="194"/>
      <c r="N135" s="194"/>
      <c r="O135" s="195"/>
      <c r="P135" s="197"/>
    </row>
    <row r="136" spans="1:17" ht="15.75" customHeight="1" thickBot="1">
      <c r="A136" t="s">
        <v>254</v>
      </c>
      <c r="B136" s="632">
        <v>32120004</v>
      </c>
      <c r="C136" s="492" t="s">
        <v>255</v>
      </c>
      <c r="D136" s="495" t="s">
        <v>62</v>
      </c>
      <c r="E136" s="15"/>
      <c r="F136" s="78">
        <f>G136</f>
        <v>645</v>
      </c>
      <c r="G136" s="83">
        <v>645</v>
      </c>
      <c r="H136" s="260" t="s">
        <v>218</v>
      </c>
      <c r="I136" s="238" t="s">
        <v>256</v>
      </c>
      <c r="J136" s="25"/>
      <c r="K136" s="25"/>
      <c r="L136" s="98"/>
      <c r="M136" s="259"/>
    </row>
    <row r="137" spans="1:17" s="365" customFormat="1" ht="15.75" customHeight="1" thickBot="1">
      <c r="B137" s="630"/>
      <c r="C137" s="492" t="s">
        <v>640</v>
      </c>
      <c r="D137" s="495"/>
      <c r="E137" s="15"/>
      <c r="F137" s="78">
        <f>+(G137+J137)/2</f>
        <v>2845</v>
      </c>
      <c r="G137" s="80">
        <v>2690</v>
      </c>
      <c r="H137" s="260"/>
      <c r="I137" s="274" t="s">
        <v>641</v>
      </c>
      <c r="J137" s="34">
        <v>3000</v>
      </c>
      <c r="K137" s="25" t="s">
        <v>642</v>
      </c>
      <c r="L137" s="98"/>
      <c r="M137" s="375"/>
    </row>
    <row r="138" spans="1:17" ht="15.75" customHeight="1" thickBot="1">
      <c r="A138" t="s">
        <v>257</v>
      </c>
      <c r="B138" s="631"/>
      <c r="C138" s="492" t="s">
        <v>258</v>
      </c>
      <c r="D138" s="495" t="s">
        <v>62</v>
      </c>
      <c r="E138" s="15"/>
      <c r="F138" s="78">
        <f>+G138</f>
        <v>819</v>
      </c>
      <c r="G138" s="80">
        <v>819</v>
      </c>
      <c r="H138" s="260" t="s">
        <v>218</v>
      </c>
      <c r="I138" s="487" t="s">
        <v>259</v>
      </c>
      <c r="J138" s="285"/>
      <c r="K138" s="140"/>
      <c r="L138" s="141"/>
      <c r="M138" s="25"/>
      <c r="N138" s="25"/>
      <c r="O138" s="98"/>
    </row>
    <row r="139" spans="1:17" ht="15.75" customHeight="1" thickBot="1">
      <c r="A139" s="4" t="s">
        <v>260</v>
      </c>
      <c r="B139" s="628">
        <v>32120005</v>
      </c>
      <c r="C139" s="530" t="s">
        <v>261</v>
      </c>
      <c r="D139" s="531" t="s">
        <v>62</v>
      </c>
      <c r="E139" s="4"/>
      <c r="F139" s="78">
        <f>(G139+J139)/2</f>
        <v>3201</v>
      </c>
      <c r="G139" s="80">
        <v>2392</v>
      </c>
      <c r="H139" s="260" t="s">
        <v>477</v>
      </c>
      <c r="I139" s="238" t="s">
        <v>262</v>
      </c>
      <c r="J139" s="83">
        <v>4010</v>
      </c>
      <c r="K139" s="260" t="s">
        <v>477</v>
      </c>
      <c r="L139" s="141" t="s">
        <v>263</v>
      </c>
      <c r="M139" s="25"/>
      <c r="N139" s="25"/>
      <c r="O139" s="142"/>
      <c r="P139" s="114"/>
      <c r="Q139" s="4"/>
    </row>
    <row r="140" spans="1:17" ht="15.75" customHeight="1" thickBot="1">
      <c r="A140" t="s">
        <v>264</v>
      </c>
      <c r="B140" s="630"/>
      <c r="C140" s="532" t="s">
        <v>265</v>
      </c>
      <c r="D140" s="489" t="s">
        <v>266</v>
      </c>
      <c r="E140" s="15"/>
      <c r="F140" s="78">
        <f>G140</f>
        <v>2447</v>
      </c>
      <c r="G140" s="83">
        <v>2447</v>
      </c>
      <c r="H140" s="260" t="s">
        <v>477</v>
      </c>
      <c r="I140" s="238" t="s">
        <v>267</v>
      </c>
      <c r="J140" s="25"/>
      <c r="K140" s="25"/>
      <c r="L140" s="98"/>
      <c r="M140" s="259"/>
      <c r="P140" s="77" t="s">
        <v>421</v>
      </c>
    </row>
    <row r="141" spans="1:17" ht="15.75" customHeight="1" thickBot="1">
      <c r="A141" t="s">
        <v>268</v>
      </c>
      <c r="B141" s="630"/>
      <c r="C141" s="488" t="s">
        <v>269</v>
      </c>
      <c r="D141" s="489" t="s">
        <v>266</v>
      </c>
      <c r="E141" s="15"/>
      <c r="F141" s="78">
        <f t="shared" ref="F141:F142" si="11">+(G141+J141)/2</f>
        <v>3771</v>
      </c>
      <c r="G141" s="80">
        <v>5150</v>
      </c>
      <c r="H141" s="260" t="s">
        <v>477</v>
      </c>
      <c r="I141" s="238" t="s">
        <v>270</v>
      </c>
      <c r="J141" s="83">
        <v>2392</v>
      </c>
      <c r="K141" s="260" t="s">
        <v>477</v>
      </c>
      <c r="L141" s="141" t="s">
        <v>262</v>
      </c>
      <c r="M141" s="25"/>
      <c r="N141" s="25"/>
      <c r="O141" s="142"/>
      <c r="P141" s="77" t="s">
        <v>421</v>
      </c>
    </row>
    <row r="142" spans="1:17" s="365" customFormat="1" ht="15.75" customHeight="1" thickBot="1">
      <c r="B142" s="630"/>
      <c r="C142" s="488" t="s">
        <v>643</v>
      </c>
      <c r="D142" s="489"/>
      <c r="E142" s="15"/>
      <c r="F142" s="78">
        <f t="shared" si="11"/>
        <v>1884.5</v>
      </c>
      <c r="G142" s="58">
        <v>2241</v>
      </c>
      <c r="H142" s="260"/>
      <c r="I142" s="74" t="s">
        <v>644</v>
      </c>
      <c r="J142" s="61">
        <v>1528</v>
      </c>
      <c r="L142" s="262" t="s">
        <v>645</v>
      </c>
      <c r="M142" s="376"/>
      <c r="N142" s="323"/>
      <c r="O142" s="324"/>
      <c r="P142" s="377"/>
    </row>
    <row r="143" spans="1:17" ht="15.75" customHeight="1" thickBot="1">
      <c r="A143" t="s">
        <v>271</v>
      </c>
      <c r="B143" s="631"/>
      <c r="C143" s="488" t="s">
        <v>272</v>
      </c>
      <c r="D143" s="489" t="s">
        <v>62</v>
      </c>
      <c r="E143" s="15"/>
      <c r="F143" s="78">
        <f>G143</f>
        <v>4650</v>
      </c>
      <c r="G143" s="61">
        <v>4650</v>
      </c>
      <c r="H143" s="260" t="s">
        <v>477</v>
      </c>
      <c r="I143" s="238" t="s">
        <v>263</v>
      </c>
      <c r="J143" s="63"/>
      <c r="K143" s="63"/>
      <c r="L143" s="139"/>
      <c r="M143" s="168"/>
    </row>
    <row r="144" spans="1:17" ht="15.75" customHeight="1" thickBot="1">
      <c r="B144" s="47"/>
      <c r="C144" s="607" t="s">
        <v>273</v>
      </c>
      <c r="D144" s="608"/>
      <c r="E144" s="15"/>
      <c r="F144" s="66"/>
      <c r="G144" s="610"/>
      <c r="H144" s="610"/>
      <c r="I144" s="610"/>
      <c r="J144" s="610"/>
      <c r="K144" s="610"/>
      <c r="L144" s="610"/>
      <c r="M144" s="610"/>
      <c r="N144" s="610"/>
      <c r="O144" s="610"/>
      <c r="P144" s="610"/>
    </row>
    <row r="145" spans="1:16" s="383" customFormat="1" ht="15.75" customHeight="1" thickBot="1">
      <c r="A145" s="383" t="s">
        <v>274</v>
      </c>
      <c r="B145" s="648">
        <v>32080004</v>
      </c>
      <c r="C145" s="533" t="s">
        <v>275</v>
      </c>
      <c r="D145" s="534" t="s">
        <v>62</v>
      </c>
      <c r="E145" s="384"/>
      <c r="F145" s="385">
        <f t="shared" ref="F145:F152" si="12">+(G145+J145)/2</f>
        <v>2684</v>
      </c>
      <c r="G145" s="386">
        <v>2518</v>
      </c>
      <c r="H145" s="261" t="s">
        <v>276</v>
      </c>
      <c r="I145" s="238" t="s">
        <v>277</v>
      </c>
      <c r="J145" s="388">
        <v>2850</v>
      </c>
      <c r="K145" s="260" t="s">
        <v>792</v>
      </c>
      <c r="L145" s="274" t="s">
        <v>793</v>
      </c>
      <c r="M145" s="389"/>
      <c r="N145" s="390"/>
      <c r="O145" s="391"/>
      <c r="P145" s="392"/>
    </row>
    <row r="146" spans="1:16" s="383" customFormat="1" ht="15.75" customHeight="1" thickBot="1">
      <c r="B146" s="649"/>
      <c r="C146" s="533" t="s">
        <v>794</v>
      </c>
      <c r="D146" s="534" t="s">
        <v>17</v>
      </c>
      <c r="E146" s="384"/>
      <c r="F146" s="385">
        <f t="shared" si="12"/>
        <v>2684</v>
      </c>
      <c r="G146" s="386">
        <v>2518</v>
      </c>
      <c r="H146" s="261" t="s">
        <v>276</v>
      </c>
      <c r="I146" s="238" t="s">
        <v>277</v>
      </c>
      <c r="J146" s="388">
        <v>2850</v>
      </c>
      <c r="K146" s="260" t="s">
        <v>792</v>
      </c>
      <c r="L146" s="274" t="s">
        <v>793</v>
      </c>
      <c r="M146" s="389"/>
      <c r="N146" s="390"/>
      <c r="O146" s="391"/>
      <c r="P146" s="392"/>
    </row>
    <row r="147" spans="1:16" s="383" customFormat="1" ht="15.75" customHeight="1" thickBot="1">
      <c r="A147" s="383" t="s">
        <v>278</v>
      </c>
      <c r="B147" s="649"/>
      <c r="C147" s="535" t="s">
        <v>279</v>
      </c>
      <c r="D147" s="536" t="s">
        <v>62</v>
      </c>
      <c r="E147" s="384"/>
      <c r="F147" s="385">
        <f t="shared" si="12"/>
        <v>2959</v>
      </c>
      <c r="G147" s="386">
        <v>2518</v>
      </c>
      <c r="H147" s="261" t="s">
        <v>276</v>
      </c>
      <c r="I147" s="238" t="s">
        <v>277</v>
      </c>
      <c r="J147" s="388">
        <v>3400</v>
      </c>
      <c r="K147" s="260" t="s">
        <v>792</v>
      </c>
      <c r="L147" s="274" t="s">
        <v>793</v>
      </c>
      <c r="M147" s="394"/>
      <c r="N147" s="393"/>
      <c r="O147" s="395"/>
      <c r="P147" s="396"/>
    </row>
    <row r="148" spans="1:16" s="383" customFormat="1" ht="15.75" thickBot="1">
      <c r="A148" s="383" t="s">
        <v>280</v>
      </c>
      <c r="B148" s="649"/>
      <c r="C148" s="535" t="s">
        <v>281</v>
      </c>
      <c r="D148" s="536" t="s">
        <v>62</v>
      </c>
      <c r="E148" s="384"/>
      <c r="F148" s="385">
        <f t="shared" si="12"/>
        <v>2684</v>
      </c>
      <c r="G148" s="386">
        <v>2518</v>
      </c>
      <c r="H148" s="261" t="s">
        <v>276</v>
      </c>
      <c r="I148" s="238" t="s">
        <v>277</v>
      </c>
      <c r="J148" s="388">
        <v>2850</v>
      </c>
      <c r="K148" s="260" t="s">
        <v>792</v>
      </c>
      <c r="L148" s="274" t="s">
        <v>793</v>
      </c>
      <c r="M148" s="394"/>
      <c r="N148" s="393"/>
      <c r="O148" s="395"/>
      <c r="P148" s="396"/>
    </row>
    <row r="149" spans="1:16" s="383" customFormat="1" ht="15.75" thickBot="1">
      <c r="B149" s="649"/>
      <c r="C149" s="535" t="s">
        <v>795</v>
      </c>
      <c r="D149" s="536" t="s">
        <v>17</v>
      </c>
      <c r="E149" s="384"/>
      <c r="F149" s="385">
        <f t="shared" si="12"/>
        <v>2909</v>
      </c>
      <c r="G149" s="386">
        <v>2518</v>
      </c>
      <c r="H149" s="261" t="s">
        <v>276</v>
      </c>
      <c r="I149" s="238" t="s">
        <v>277</v>
      </c>
      <c r="J149" s="388">
        <v>3300</v>
      </c>
      <c r="K149" s="260" t="s">
        <v>792</v>
      </c>
      <c r="L149" s="274" t="s">
        <v>793</v>
      </c>
      <c r="M149" s="397"/>
      <c r="N149" s="398"/>
      <c r="O149" s="399"/>
      <c r="P149" s="400"/>
    </row>
    <row r="150" spans="1:16" s="383" customFormat="1" ht="15.75" thickBot="1">
      <c r="B150" s="649"/>
      <c r="C150" s="535" t="s">
        <v>796</v>
      </c>
      <c r="D150" s="536" t="s">
        <v>17</v>
      </c>
      <c r="E150" s="384"/>
      <c r="F150" s="385">
        <f>+G150</f>
        <v>2518</v>
      </c>
      <c r="G150" s="386">
        <v>2518</v>
      </c>
      <c r="H150" s="261" t="s">
        <v>276</v>
      </c>
      <c r="I150" s="487" t="s">
        <v>277</v>
      </c>
      <c r="J150" s="388"/>
      <c r="K150" s="260"/>
      <c r="L150" s="274"/>
      <c r="M150" s="397"/>
      <c r="N150" s="398"/>
      <c r="O150" s="399"/>
      <c r="P150" s="400"/>
    </row>
    <row r="151" spans="1:16" s="383" customFormat="1" ht="15.75" thickBot="1">
      <c r="B151" s="649"/>
      <c r="C151" s="535" t="s">
        <v>797</v>
      </c>
      <c r="D151" s="536" t="s">
        <v>17</v>
      </c>
      <c r="E151" s="384"/>
      <c r="F151" s="385">
        <f>+G151</f>
        <v>2518</v>
      </c>
      <c r="G151" s="386">
        <v>2518</v>
      </c>
      <c r="H151" s="261" t="s">
        <v>276</v>
      </c>
      <c r="I151" s="487" t="s">
        <v>277</v>
      </c>
      <c r="J151" s="388"/>
      <c r="K151" s="260"/>
      <c r="L151" s="274"/>
      <c r="M151" s="397"/>
      <c r="N151" s="398"/>
      <c r="O151" s="399"/>
      <c r="P151" s="400"/>
    </row>
    <row r="152" spans="1:16" s="383" customFormat="1" ht="15.75" thickBot="1">
      <c r="B152" s="650"/>
      <c r="C152" s="535" t="s">
        <v>798</v>
      </c>
      <c r="D152" s="536" t="s">
        <v>17</v>
      </c>
      <c r="E152" s="384"/>
      <c r="F152" s="385">
        <f t="shared" si="12"/>
        <v>2684</v>
      </c>
      <c r="G152" s="386">
        <v>2518</v>
      </c>
      <c r="H152" s="261" t="s">
        <v>276</v>
      </c>
      <c r="I152" s="487" t="s">
        <v>277</v>
      </c>
      <c r="J152" s="388">
        <v>2850</v>
      </c>
      <c r="K152" s="260" t="s">
        <v>792</v>
      </c>
      <c r="L152" s="274" t="s">
        <v>793</v>
      </c>
      <c r="M152" s="397"/>
      <c r="N152" s="398"/>
      <c r="O152" s="399"/>
      <c r="P152" s="400"/>
    </row>
    <row r="153" spans="1:16" s="383" customFormat="1" ht="15.75" thickBot="1">
      <c r="A153" s="383" t="s">
        <v>282</v>
      </c>
      <c r="B153" s="537">
        <v>320800057</v>
      </c>
      <c r="C153" s="538" t="s">
        <v>283</v>
      </c>
      <c r="D153" s="539" t="s">
        <v>62</v>
      </c>
      <c r="E153" s="384"/>
      <c r="F153" s="402">
        <f t="shared" ref="F153" si="13">(G153)</f>
        <v>4534</v>
      </c>
      <c r="G153" s="403">
        <v>4534</v>
      </c>
      <c r="H153" s="261" t="s">
        <v>276</v>
      </c>
      <c r="I153" s="238" t="s">
        <v>284</v>
      </c>
      <c r="J153" s="388"/>
      <c r="K153" s="260"/>
      <c r="L153" s="274"/>
      <c r="M153" s="404"/>
      <c r="N153" s="405"/>
      <c r="O153" s="406"/>
      <c r="P153" s="407"/>
    </row>
    <row r="154" spans="1:16" s="383" customFormat="1" ht="15.75" thickBot="1">
      <c r="B154" s="537">
        <v>320800059</v>
      </c>
      <c r="C154" s="538" t="s">
        <v>799</v>
      </c>
      <c r="D154" s="539" t="s">
        <v>17</v>
      </c>
      <c r="E154" s="384"/>
      <c r="F154" s="385">
        <f t="shared" ref="F154:F161" si="14">+(G154+J154)/2</f>
        <v>4272.958333333333</v>
      </c>
      <c r="G154" s="403">
        <v>4534</v>
      </c>
      <c r="H154" s="261" t="s">
        <v>276</v>
      </c>
      <c r="I154" s="238" t="s">
        <v>284</v>
      </c>
      <c r="J154" s="388">
        <f>48143/12</f>
        <v>4011.9166666666665</v>
      </c>
      <c r="K154" s="260" t="s">
        <v>800</v>
      </c>
      <c r="L154" s="274" t="s">
        <v>801</v>
      </c>
      <c r="M154" s="404"/>
      <c r="N154" s="405"/>
      <c r="O154" s="406"/>
      <c r="P154" s="407"/>
    </row>
    <row r="155" spans="1:16" s="383" customFormat="1" ht="15.75" thickBot="1">
      <c r="B155" s="537">
        <v>320800058</v>
      </c>
      <c r="C155" s="538" t="s">
        <v>802</v>
      </c>
      <c r="D155" s="539" t="s">
        <v>17</v>
      </c>
      <c r="E155" s="384"/>
      <c r="F155" s="385">
        <f t="shared" si="14"/>
        <v>4272.958333333333</v>
      </c>
      <c r="G155" s="403">
        <v>4534</v>
      </c>
      <c r="H155" s="261" t="s">
        <v>276</v>
      </c>
      <c r="I155" s="238" t="s">
        <v>284</v>
      </c>
      <c r="J155" s="388">
        <f>48143/12</f>
        <v>4011.9166666666665</v>
      </c>
      <c r="K155" s="260" t="s">
        <v>800</v>
      </c>
      <c r="L155" s="274" t="s">
        <v>801</v>
      </c>
      <c r="M155" s="404"/>
      <c r="N155" s="405"/>
      <c r="O155" s="406"/>
      <c r="P155" s="407"/>
    </row>
    <row r="156" spans="1:16" s="383" customFormat="1" ht="15.75" thickBot="1">
      <c r="B156" s="537">
        <v>320800057</v>
      </c>
      <c r="C156" s="538" t="s">
        <v>803</v>
      </c>
      <c r="D156" s="539" t="s">
        <v>17</v>
      </c>
      <c r="E156" s="384"/>
      <c r="F156" s="385">
        <f t="shared" si="14"/>
        <v>4367</v>
      </c>
      <c r="G156" s="403">
        <v>4534</v>
      </c>
      <c r="H156" s="261" t="s">
        <v>276</v>
      </c>
      <c r="I156" s="487" t="s">
        <v>284</v>
      </c>
      <c r="J156" s="388">
        <v>4200</v>
      </c>
      <c r="K156" s="260" t="s">
        <v>804</v>
      </c>
      <c r="L156" s="274" t="s">
        <v>805</v>
      </c>
      <c r="M156" s="404"/>
      <c r="N156" s="405"/>
      <c r="O156" s="406"/>
      <c r="P156" s="407"/>
    </row>
    <row r="157" spans="1:16" s="383" customFormat="1" ht="15.75" thickBot="1">
      <c r="B157" s="537">
        <v>320800055</v>
      </c>
      <c r="C157" s="538" t="s">
        <v>806</v>
      </c>
      <c r="D157" s="539" t="s">
        <v>17</v>
      </c>
      <c r="E157" s="384"/>
      <c r="F157" s="385">
        <f t="shared" si="14"/>
        <v>4272.958333333333</v>
      </c>
      <c r="G157" s="403">
        <v>4534</v>
      </c>
      <c r="H157" s="261" t="s">
        <v>276</v>
      </c>
      <c r="I157" s="487" t="s">
        <v>284</v>
      </c>
      <c r="J157" s="388">
        <f>48143/12</f>
        <v>4011.9166666666665</v>
      </c>
      <c r="K157" s="260" t="s">
        <v>800</v>
      </c>
      <c r="L157" s="274" t="s">
        <v>807</v>
      </c>
      <c r="M157" s="404"/>
      <c r="N157" s="405"/>
      <c r="O157" s="406"/>
      <c r="P157" s="407"/>
    </row>
    <row r="158" spans="1:16" s="383" customFormat="1" ht="15.75" thickBot="1">
      <c r="B158" s="537">
        <v>320800054</v>
      </c>
      <c r="C158" s="538" t="s">
        <v>808</v>
      </c>
      <c r="D158" s="539" t="s">
        <v>17</v>
      </c>
      <c r="E158" s="384"/>
      <c r="F158" s="385">
        <f t="shared" si="14"/>
        <v>4272.958333333333</v>
      </c>
      <c r="G158" s="403">
        <v>4534</v>
      </c>
      <c r="H158" s="261" t="s">
        <v>276</v>
      </c>
      <c r="I158" s="487" t="s">
        <v>284</v>
      </c>
      <c r="J158" s="388">
        <f>48143/12</f>
        <v>4011.9166666666665</v>
      </c>
      <c r="K158" s="260" t="s">
        <v>800</v>
      </c>
      <c r="L158" s="274" t="s">
        <v>807</v>
      </c>
      <c r="M158" s="404"/>
      <c r="N158" s="405"/>
      <c r="O158" s="406"/>
      <c r="P158" s="407"/>
    </row>
    <row r="159" spans="1:16" s="383" customFormat="1" ht="15.75" thickBot="1">
      <c r="B159" s="537">
        <v>320800053</v>
      </c>
      <c r="C159" s="538" t="s">
        <v>809</v>
      </c>
      <c r="D159" s="539" t="s">
        <v>17</v>
      </c>
      <c r="E159" s="384"/>
      <c r="F159" s="385">
        <f t="shared" si="14"/>
        <v>4367</v>
      </c>
      <c r="G159" s="403">
        <v>4534</v>
      </c>
      <c r="H159" s="261" t="s">
        <v>276</v>
      </c>
      <c r="I159" s="487" t="s">
        <v>284</v>
      </c>
      <c r="J159" s="388">
        <v>4200</v>
      </c>
      <c r="K159" s="260" t="s">
        <v>804</v>
      </c>
      <c r="L159" s="274" t="s">
        <v>805</v>
      </c>
      <c r="M159" s="404"/>
      <c r="N159" s="405"/>
      <c r="O159" s="406"/>
      <c r="P159" s="407"/>
    </row>
    <row r="160" spans="1:16" s="383" customFormat="1" ht="15.75" thickBot="1">
      <c r="B160" s="537">
        <v>3208000514</v>
      </c>
      <c r="C160" s="538" t="s">
        <v>810</v>
      </c>
      <c r="D160" s="539" t="s">
        <v>17</v>
      </c>
      <c r="E160" s="384"/>
      <c r="F160" s="385">
        <f t="shared" si="14"/>
        <v>4467</v>
      </c>
      <c r="G160" s="403">
        <v>4534</v>
      </c>
      <c r="H160" s="261" t="s">
        <v>276</v>
      </c>
      <c r="I160" s="487" t="s">
        <v>284</v>
      </c>
      <c r="J160" s="388">
        <v>4400</v>
      </c>
      <c r="K160" s="260" t="s">
        <v>804</v>
      </c>
      <c r="L160" s="274" t="s">
        <v>805</v>
      </c>
      <c r="M160" s="404"/>
      <c r="N160" s="405"/>
      <c r="O160" s="406"/>
      <c r="P160" s="407"/>
    </row>
    <row r="161" spans="1:16" s="383" customFormat="1" ht="15.75" thickBot="1">
      <c r="B161" s="537">
        <v>3208000547</v>
      </c>
      <c r="C161" s="538" t="s">
        <v>811</v>
      </c>
      <c r="D161" s="539" t="s">
        <v>17</v>
      </c>
      <c r="E161" s="384"/>
      <c r="F161" s="385">
        <f t="shared" si="14"/>
        <v>4467</v>
      </c>
      <c r="G161" s="403">
        <v>4534</v>
      </c>
      <c r="H161" s="261" t="s">
        <v>276</v>
      </c>
      <c r="I161" s="487" t="s">
        <v>284</v>
      </c>
      <c r="J161" s="388">
        <v>4400</v>
      </c>
      <c r="K161" s="260" t="s">
        <v>804</v>
      </c>
      <c r="L161" s="274" t="s">
        <v>805</v>
      </c>
      <c r="M161" s="404"/>
      <c r="N161" s="405"/>
      <c r="O161" s="406"/>
      <c r="P161" s="407"/>
    </row>
    <row r="162" spans="1:16" ht="15.75" thickBot="1">
      <c r="B162" s="47"/>
      <c r="C162" s="607"/>
      <c r="D162" s="608"/>
      <c r="E162" s="15"/>
      <c r="F162" s="66"/>
      <c r="G162" s="610"/>
      <c r="H162" s="610"/>
      <c r="I162" s="610"/>
      <c r="J162" s="610"/>
      <c r="K162" s="610"/>
      <c r="L162" s="610"/>
      <c r="M162" s="610"/>
      <c r="N162" s="610"/>
      <c r="O162" s="610"/>
      <c r="P162" s="610"/>
    </row>
    <row r="163" spans="1:16" ht="15.75" thickBot="1">
      <c r="A163" t="s">
        <v>285</v>
      </c>
      <c r="B163" s="498">
        <v>320900102</v>
      </c>
      <c r="C163" s="492" t="s">
        <v>286</v>
      </c>
      <c r="D163" s="495" t="s">
        <v>17</v>
      </c>
      <c r="E163" s="15"/>
      <c r="F163" s="78">
        <f>(G163)</f>
        <v>2453</v>
      </c>
      <c r="G163" s="27">
        <v>2453</v>
      </c>
      <c r="H163" s="105"/>
      <c r="I163" s="238" t="s">
        <v>287</v>
      </c>
      <c r="J163" s="108"/>
      <c r="K163" s="102"/>
      <c r="L163" s="102"/>
      <c r="M163" s="177"/>
      <c r="N163" s="177"/>
      <c r="O163" s="199"/>
      <c r="P163" s="114"/>
    </row>
    <row r="164" spans="1:16" ht="15.75" thickBot="1">
      <c r="B164" s="47"/>
      <c r="C164" s="607" t="s">
        <v>288</v>
      </c>
      <c r="D164" s="608"/>
      <c r="E164" s="15"/>
      <c r="F164" s="66"/>
      <c r="G164" s="610"/>
      <c r="H164" s="610"/>
      <c r="I164" s="610"/>
      <c r="J164" s="610"/>
      <c r="K164" s="610"/>
      <c r="L164" s="610"/>
      <c r="M164" s="610"/>
      <c r="N164" s="610"/>
      <c r="O164" s="610"/>
      <c r="P164" s="610"/>
    </row>
    <row r="165" spans="1:16" s="383" customFormat="1" ht="15.75" thickBot="1">
      <c r="A165" s="383" t="s">
        <v>289</v>
      </c>
      <c r="B165" s="498">
        <v>320900135</v>
      </c>
      <c r="C165" s="492" t="s">
        <v>290</v>
      </c>
      <c r="D165" s="495" t="s">
        <v>62</v>
      </c>
      <c r="E165" s="384"/>
      <c r="F165" s="408">
        <f>+(G165+J165)/2</f>
        <v>539.6875</v>
      </c>
      <c r="G165" s="386">
        <f>45550/80</f>
        <v>569.375</v>
      </c>
      <c r="H165" s="261" t="s">
        <v>291</v>
      </c>
      <c r="I165" s="238" t="s">
        <v>292</v>
      </c>
      <c r="J165" s="401">
        <f>25500/50</f>
        <v>510</v>
      </c>
      <c r="K165" s="261" t="s">
        <v>291</v>
      </c>
      <c r="L165" s="387" t="s">
        <v>478</v>
      </c>
      <c r="M165" s="389"/>
      <c r="N165" s="390"/>
      <c r="O165" s="409"/>
      <c r="P165" s="410"/>
    </row>
    <row r="166" spans="1:16" s="383" customFormat="1" ht="15.75" thickBot="1">
      <c r="A166" s="383" t="s">
        <v>293</v>
      </c>
      <c r="B166" s="545">
        <v>320900131</v>
      </c>
      <c r="C166" s="535" t="s">
        <v>294</v>
      </c>
      <c r="D166" s="536" t="s">
        <v>62</v>
      </c>
      <c r="E166" s="384"/>
      <c r="F166" s="408">
        <f>+(G166+J166)/2</f>
        <v>494.9</v>
      </c>
      <c r="G166" s="403">
        <v>457</v>
      </c>
      <c r="H166" s="262" t="s">
        <v>291</v>
      </c>
      <c r="I166" s="238" t="s">
        <v>937</v>
      </c>
      <c r="J166" s="401">
        <f>26640/50</f>
        <v>532.79999999999995</v>
      </c>
      <c r="K166" s="261" t="s">
        <v>291</v>
      </c>
      <c r="L166" s="286" t="s">
        <v>479</v>
      </c>
      <c r="M166" s="397"/>
      <c r="N166" s="398"/>
      <c r="O166" s="411"/>
      <c r="P166" s="410"/>
    </row>
    <row r="167" spans="1:16" s="383" customFormat="1" ht="15.75" thickBot="1">
      <c r="B167" s="546">
        <v>3209001311</v>
      </c>
      <c r="C167" s="547" t="s">
        <v>812</v>
      </c>
      <c r="D167" s="548" t="s">
        <v>62</v>
      </c>
      <c r="E167" s="384"/>
      <c r="F167" s="408">
        <f>+(G167+J167)/2</f>
        <v>729.6875</v>
      </c>
      <c r="G167" s="412">
        <f>5999/8</f>
        <v>749.875</v>
      </c>
      <c r="H167" s="413" t="s">
        <v>291</v>
      </c>
      <c r="I167" s="238" t="s">
        <v>813</v>
      </c>
      <c r="J167" s="414">
        <v>709.5</v>
      </c>
      <c r="K167" s="261" t="s">
        <v>814</v>
      </c>
      <c r="L167" s="367" t="s">
        <v>815</v>
      </c>
      <c r="M167" s="415"/>
      <c r="N167" s="416"/>
      <c r="O167" s="417"/>
      <c r="P167" s="416"/>
    </row>
    <row r="168" spans="1:16" s="383" customFormat="1" ht="15.75" thickBot="1">
      <c r="B168" s="546">
        <v>320900134</v>
      </c>
      <c r="C168" s="549" t="s">
        <v>816</v>
      </c>
      <c r="D168" s="548" t="s">
        <v>62</v>
      </c>
      <c r="E168" s="384"/>
      <c r="F168" s="408">
        <f t="shared" ref="F168:F173" si="15">+(G168+J168)/2</f>
        <v>389.05729166666663</v>
      </c>
      <c r="G168" s="418">
        <f>53590/192</f>
        <v>279.11458333333331</v>
      </c>
      <c r="H168" s="419" t="s">
        <v>817</v>
      </c>
      <c r="I168" s="238" t="s">
        <v>818</v>
      </c>
      <c r="J168" s="420">
        <v>499</v>
      </c>
      <c r="K168" s="261" t="s">
        <v>819</v>
      </c>
      <c r="L168" s="367" t="s">
        <v>820</v>
      </c>
      <c r="M168" s="415"/>
      <c r="N168" s="416"/>
      <c r="O168" s="417"/>
      <c r="P168" s="416"/>
    </row>
    <row r="169" spans="1:16" s="383" customFormat="1" ht="15.75" thickBot="1">
      <c r="A169" s="550"/>
      <c r="B169" s="546">
        <v>320900133</v>
      </c>
      <c r="C169" s="547" t="s">
        <v>821</v>
      </c>
      <c r="D169" s="548" t="s">
        <v>62</v>
      </c>
      <c r="E169" s="384"/>
      <c r="F169" s="408">
        <f t="shared" si="15"/>
        <v>293.05694444444447</v>
      </c>
      <c r="G169" s="386">
        <f>60505/180</f>
        <v>336.13888888888891</v>
      </c>
      <c r="H169" s="261" t="s">
        <v>817</v>
      </c>
      <c r="I169" s="238" t="s">
        <v>822</v>
      </c>
      <c r="J169" s="386">
        <f>9999/40</f>
        <v>249.97499999999999</v>
      </c>
      <c r="K169" s="261" t="s">
        <v>823</v>
      </c>
      <c r="L169" s="367" t="s">
        <v>949</v>
      </c>
      <c r="M169" s="415"/>
      <c r="N169" s="416"/>
      <c r="O169" s="417"/>
      <c r="P169" s="416"/>
    </row>
    <row r="170" spans="1:16" s="383" customFormat="1" ht="15.75" thickBot="1">
      <c r="A170" s="550"/>
      <c r="B170" s="546">
        <v>3209001310</v>
      </c>
      <c r="C170" s="547" t="s">
        <v>824</v>
      </c>
      <c r="D170" s="548" t="s">
        <v>62</v>
      </c>
      <c r="E170" s="384"/>
      <c r="F170" s="408">
        <f t="shared" si="15"/>
        <v>364.70000000000005</v>
      </c>
      <c r="G170" s="386">
        <v>396.1</v>
      </c>
      <c r="H170" s="261" t="s">
        <v>825</v>
      </c>
      <c r="I170" s="238" t="s">
        <v>826</v>
      </c>
      <c r="J170" s="386">
        <v>333.3</v>
      </c>
      <c r="K170" s="261" t="s">
        <v>817</v>
      </c>
      <c r="L170" s="367" t="s">
        <v>950</v>
      </c>
      <c r="M170" s="415"/>
      <c r="N170" s="416"/>
      <c r="O170" s="417"/>
      <c r="P170" s="416"/>
    </row>
    <row r="171" spans="1:16" s="383" customFormat="1" ht="15.75" thickBot="1">
      <c r="A171" s="550"/>
      <c r="B171" s="546">
        <v>320900132</v>
      </c>
      <c r="C171" s="547" t="s">
        <v>827</v>
      </c>
      <c r="D171" s="548" t="s">
        <v>62</v>
      </c>
      <c r="E171" s="384"/>
      <c r="F171" s="408">
        <f t="shared" si="15"/>
        <v>334.95249999999999</v>
      </c>
      <c r="G171" s="386">
        <v>320.02999999999997</v>
      </c>
      <c r="H171" s="261" t="s">
        <v>825</v>
      </c>
      <c r="I171" s="238" t="s">
        <v>828</v>
      </c>
      <c r="J171" s="386">
        <f>2799/8</f>
        <v>349.875</v>
      </c>
      <c r="K171" s="261" t="s">
        <v>817</v>
      </c>
      <c r="L171" s="367" t="s">
        <v>951</v>
      </c>
      <c r="M171" s="415"/>
      <c r="N171" s="416"/>
      <c r="O171" s="417"/>
      <c r="P171" s="416"/>
    </row>
    <row r="172" spans="1:16" s="383" customFormat="1" ht="15.75" thickBot="1">
      <c r="A172" s="550"/>
      <c r="B172" s="546">
        <v>320900138</v>
      </c>
      <c r="C172" s="549" t="s">
        <v>829</v>
      </c>
      <c r="D172" s="548" t="s">
        <v>62</v>
      </c>
      <c r="E172" s="384"/>
      <c r="F172" s="408">
        <f t="shared" si="15"/>
        <v>649.85</v>
      </c>
      <c r="G172" s="386">
        <f>64520/64</f>
        <v>1008.125</v>
      </c>
      <c r="H172" s="261" t="s">
        <v>830</v>
      </c>
      <c r="I172" s="238" t="s">
        <v>831</v>
      </c>
      <c r="J172" s="386">
        <f>5831.5/20</f>
        <v>291.57499999999999</v>
      </c>
      <c r="K172" s="261" t="s">
        <v>291</v>
      </c>
      <c r="L172" s="367" t="s">
        <v>832</v>
      </c>
      <c r="M172" s="415"/>
      <c r="N172" s="416"/>
      <c r="O172" s="417"/>
      <c r="P172" s="416"/>
    </row>
    <row r="173" spans="1:16" s="383" customFormat="1" ht="15.75" thickBot="1">
      <c r="A173" s="550"/>
      <c r="B173" s="546">
        <v>3209001317</v>
      </c>
      <c r="C173" s="549" t="s">
        <v>833</v>
      </c>
      <c r="D173" s="548" t="s">
        <v>62</v>
      </c>
      <c r="E173" s="384"/>
      <c r="F173" s="408">
        <f t="shared" si="15"/>
        <v>1082.296875</v>
      </c>
      <c r="G173" s="386">
        <f>59230/80</f>
        <v>740.375</v>
      </c>
      <c r="H173" s="261" t="s">
        <v>814</v>
      </c>
      <c r="I173" s="238" t="s">
        <v>834</v>
      </c>
      <c r="J173" s="386">
        <f>91150/64</f>
        <v>1424.21875</v>
      </c>
      <c r="K173" s="261" t="s">
        <v>830</v>
      </c>
      <c r="L173" s="367" t="s">
        <v>835</v>
      </c>
      <c r="M173" s="415"/>
      <c r="N173" s="416"/>
      <c r="O173" s="417"/>
      <c r="P173" s="416"/>
    </row>
    <row r="174" spans="1:16" s="383" customFormat="1" ht="15.75" thickBot="1">
      <c r="A174" s="550"/>
      <c r="B174" s="546">
        <v>320900139</v>
      </c>
      <c r="C174" s="549" t="s">
        <v>836</v>
      </c>
      <c r="D174" s="548" t="s">
        <v>62</v>
      </c>
      <c r="E174" s="384"/>
      <c r="F174" s="408">
        <f>+G174</f>
        <v>612.79999999999995</v>
      </c>
      <c r="G174" s="386">
        <v>612.79999999999995</v>
      </c>
      <c r="H174" s="261" t="s">
        <v>837</v>
      </c>
      <c r="I174" s="238" t="s">
        <v>838</v>
      </c>
      <c r="J174" s="386"/>
      <c r="K174" s="261"/>
      <c r="L174" s="421"/>
      <c r="M174" s="415"/>
      <c r="N174" s="416"/>
      <c r="O174" s="417"/>
      <c r="P174" s="416"/>
    </row>
    <row r="175" spans="1:16" ht="15.75" thickBot="1">
      <c r="B175" s="47"/>
      <c r="C175" s="607"/>
      <c r="D175" s="608"/>
      <c r="E175" s="15"/>
      <c r="F175" s="66"/>
      <c r="G175" s="610"/>
      <c r="H175" s="610"/>
      <c r="I175" s="610"/>
      <c r="J175" s="610"/>
      <c r="K175" s="610"/>
      <c r="L175" s="610"/>
      <c r="M175" s="610"/>
      <c r="N175" s="610"/>
      <c r="O175" s="610"/>
      <c r="P175" s="610"/>
    </row>
    <row r="176" spans="1:16" ht="15.75" thickBot="1">
      <c r="A176" t="s">
        <v>295</v>
      </c>
      <c r="B176" s="498">
        <v>320900212</v>
      </c>
      <c r="C176" s="492" t="s">
        <v>296</v>
      </c>
      <c r="D176" s="495" t="s">
        <v>17</v>
      </c>
      <c r="E176" s="15"/>
      <c r="F176" s="36">
        <f>+(G176+J176)/2</f>
        <v>340.25</v>
      </c>
      <c r="G176" s="27">
        <v>315.5</v>
      </c>
      <c r="H176" s="201" t="s">
        <v>297</v>
      </c>
      <c r="I176" s="238" t="s">
        <v>298</v>
      </c>
      <c r="J176" s="61">
        <v>365</v>
      </c>
      <c r="K176" s="201" t="s">
        <v>297</v>
      </c>
      <c r="L176" s="203" t="s">
        <v>480</v>
      </c>
      <c r="M176" s="204"/>
      <c r="N176" s="204"/>
      <c r="O176" s="204"/>
      <c r="P176" s="44"/>
    </row>
    <row r="177" spans="1:16" ht="15.75" thickBot="1">
      <c r="B177" s="47"/>
      <c r="C177" s="607"/>
      <c r="D177" s="608"/>
      <c r="E177" s="15"/>
      <c r="F177" s="66"/>
      <c r="G177" s="610"/>
      <c r="H177" s="610"/>
      <c r="I177" s="610"/>
      <c r="J177" s="610"/>
      <c r="K177" s="610"/>
      <c r="L177" s="610"/>
      <c r="M177" s="610"/>
      <c r="N177" s="610"/>
      <c r="O177" s="610"/>
      <c r="P177" s="610"/>
    </row>
    <row r="178" spans="1:16" ht="15.75" thickBot="1">
      <c r="A178" t="s">
        <v>299</v>
      </c>
      <c r="B178" s="551" t="s">
        <v>525</v>
      </c>
      <c r="C178" s="492" t="s">
        <v>300</v>
      </c>
      <c r="D178" s="495" t="s">
        <v>138</v>
      </c>
      <c r="E178" s="15"/>
      <c r="F178" s="36">
        <f>+(G178+J178)/2</f>
        <v>1691</v>
      </c>
      <c r="G178" s="52">
        <v>1585</v>
      </c>
      <c r="H178" s="261" t="s">
        <v>301</v>
      </c>
      <c r="I178" s="238" t="s">
        <v>302</v>
      </c>
      <c r="J178" s="52">
        <v>1797</v>
      </c>
      <c r="K178" s="201" t="s">
        <v>952</v>
      </c>
      <c r="L178" s="202" t="s">
        <v>528</v>
      </c>
      <c r="M178" s="55"/>
      <c r="N178" s="55"/>
      <c r="O178" s="56"/>
      <c r="P178" s="145" t="s">
        <v>303</v>
      </c>
    </row>
    <row r="179" spans="1:16" s="312" customFormat="1" ht="15.75" thickBot="1">
      <c r="B179" s="551" t="s">
        <v>524</v>
      </c>
      <c r="C179" s="490" t="s">
        <v>526</v>
      </c>
      <c r="D179" s="495" t="s">
        <v>138</v>
      </c>
      <c r="E179" s="15"/>
      <c r="F179" s="36">
        <f>+(G179+J179)/2</f>
        <v>2639.166666666667</v>
      </c>
      <c r="G179" s="27">
        <f>14900/6</f>
        <v>2483.3333333333335</v>
      </c>
      <c r="H179" s="261" t="s">
        <v>301</v>
      </c>
      <c r="I179" s="202" t="s">
        <v>527</v>
      </c>
      <c r="J179" s="34">
        <v>2795</v>
      </c>
      <c r="K179" s="261" t="s">
        <v>529</v>
      </c>
      <c r="L179" s="202" t="s">
        <v>528</v>
      </c>
      <c r="M179" s="177"/>
      <c r="N179" s="177"/>
      <c r="O179" s="40"/>
      <c r="P179" s="314"/>
    </row>
    <row r="180" spans="1:16" ht="15.75" thickBot="1">
      <c r="A180" t="s">
        <v>304</v>
      </c>
      <c r="B180" s="498">
        <v>320500031</v>
      </c>
      <c r="C180" s="492" t="s">
        <v>305</v>
      </c>
      <c r="D180" s="495" t="s">
        <v>138</v>
      </c>
      <c r="E180" s="15"/>
      <c r="F180" s="42">
        <f>(G180+J180)/2</f>
        <v>33634</v>
      </c>
      <c r="G180" s="58">
        <v>23000</v>
      </c>
      <c r="H180" s="262" t="s">
        <v>306</v>
      </c>
      <c r="I180" s="238" t="s">
        <v>307</v>
      </c>
      <c r="J180" s="61">
        <v>44268</v>
      </c>
      <c r="K180" s="262" t="s">
        <v>308</v>
      </c>
      <c r="L180" s="202" t="s">
        <v>309</v>
      </c>
      <c r="M180" s="205"/>
      <c r="N180" s="205"/>
      <c r="O180" s="137"/>
      <c r="P180" s="206"/>
    </row>
    <row r="181" spans="1:16" ht="15.75" thickBot="1">
      <c r="A181" t="s">
        <v>310</v>
      </c>
      <c r="B181" s="500">
        <v>321500066</v>
      </c>
      <c r="C181" s="488" t="s">
        <v>311</v>
      </c>
      <c r="D181" s="489" t="s">
        <v>312</v>
      </c>
      <c r="E181" s="15"/>
      <c r="F181" s="42">
        <f>(G181)</f>
        <v>20183.333333333332</v>
      </c>
      <c r="G181" s="50">
        <f>242200/12</f>
        <v>20183.333333333332</v>
      </c>
      <c r="H181" s="262" t="s">
        <v>422</v>
      </c>
      <c r="I181" s="202" t="s">
        <v>313</v>
      </c>
      <c r="J181" s="207"/>
      <c r="K181" s="88"/>
      <c r="L181" s="202"/>
      <c r="M181" s="88"/>
      <c r="N181" s="88"/>
      <c r="O181" s="208"/>
      <c r="P181" s="209" t="s">
        <v>314</v>
      </c>
    </row>
    <row r="182" spans="1:16" ht="15.75" thickBot="1">
      <c r="B182" s="47"/>
      <c r="C182" s="607"/>
      <c r="D182" s="608"/>
      <c r="E182" s="15"/>
      <c r="F182" s="210"/>
      <c r="G182" s="610"/>
      <c r="H182" s="610"/>
      <c r="I182" s="610"/>
      <c r="J182" s="610"/>
      <c r="K182" s="610"/>
      <c r="L182" s="610"/>
      <c r="M182" s="610"/>
      <c r="N182" s="610"/>
      <c r="O182" s="610"/>
      <c r="P182" s="610"/>
    </row>
    <row r="183" spans="1:16" ht="15.75" thickBot="1">
      <c r="A183" t="s">
        <v>315</v>
      </c>
      <c r="B183" s="498">
        <v>321600051</v>
      </c>
      <c r="C183" s="492" t="s">
        <v>316</v>
      </c>
      <c r="D183" s="495" t="s">
        <v>62</v>
      </c>
      <c r="E183" s="15"/>
      <c r="F183" s="18">
        <f>(G183+J183)/2</f>
        <v>672</v>
      </c>
      <c r="G183" s="50">
        <v>454</v>
      </c>
      <c r="H183" s="261" t="s">
        <v>171</v>
      </c>
      <c r="I183" s="238" t="s">
        <v>317</v>
      </c>
      <c r="J183" s="100">
        <f>4450/5</f>
        <v>890</v>
      </c>
      <c r="K183" s="79" t="s">
        <v>318</v>
      </c>
      <c r="L183" s="202" t="s">
        <v>319</v>
      </c>
      <c r="M183" s="287"/>
    </row>
    <row r="184" spans="1:16" ht="15.75" thickBot="1">
      <c r="A184" t="s">
        <v>320</v>
      </c>
      <c r="B184" s="498">
        <v>320900041</v>
      </c>
      <c r="C184" s="490" t="s">
        <v>321</v>
      </c>
      <c r="D184" s="495" t="s">
        <v>17</v>
      </c>
      <c r="E184" s="15"/>
      <c r="F184" s="26">
        <f>+(G184+J184)/2</f>
        <v>432.80500000000001</v>
      </c>
      <c r="G184" s="58">
        <v>565.61</v>
      </c>
      <c r="H184" s="262" t="s">
        <v>322</v>
      </c>
      <c r="I184" s="202" t="s">
        <v>914</v>
      </c>
      <c r="J184" s="100">
        <v>300</v>
      </c>
      <c r="K184" s="59"/>
      <c r="L184" s="202" t="s">
        <v>592</v>
      </c>
      <c r="M184" s="205"/>
      <c r="N184" s="205"/>
      <c r="O184" s="137"/>
      <c r="P184" s="211"/>
    </row>
    <row r="185" spans="1:16" ht="15.75" thickBot="1">
      <c r="B185" s="47"/>
      <c r="C185" s="607"/>
      <c r="D185" s="608"/>
      <c r="E185" s="15"/>
      <c r="F185" s="210"/>
      <c r="G185" s="610"/>
      <c r="H185" s="610"/>
      <c r="I185" s="610"/>
      <c r="J185" s="610"/>
      <c r="K185" s="610"/>
      <c r="L185" s="610"/>
      <c r="M185" s="610"/>
      <c r="N185" s="610"/>
      <c r="O185" s="610"/>
      <c r="P185" s="610"/>
    </row>
    <row r="186" spans="1:16" ht="15.75" thickBot="1">
      <c r="A186" t="s">
        <v>323</v>
      </c>
      <c r="B186" s="500">
        <v>321500062</v>
      </c>
      <c r="C186" s="496" t="s">
        <v>324</v>
      </c>
      <c r="D186" s="501" t="s">
        <v>138</v>
      </c>
      <c r="E186" s="15"/>
      <c r="F186" s="36">
        <f>(G186)</f>
        <v>33963</v>
      </c>
      <c r="G186" s="27">
        <v>33963</v>
      </c>
      <c r="H186" s="485" t="s">
        <v>915</v>
      </c>
      <c r="I186" s="202" t="s">
        <v>423</v>
      </c>
      <c r="J186" s="100">
        <v>46500</v>
      </c>
      <c r="K186" s="309" t="s">
        <v>482</v>
      </c>
      <c r="L186" s="202" t="s">
        <v>481</v>
      </c>
      <c r="M186" s="309"/>
      <c r="N186" s="309"/>
      <c r="O186" s="309"/>
      <c r="P186" s="310"/>
    </row>
    <row r="187" spans="1:16" ht="15.75" thickBot="1">
      <c r="B187" s="47"/>
      <c r="C187" s="607" t="s">
        <v>325</v>
      </c>
      <c r="D187" s="608"/>
      <c r="E187" s="15"/>
      <c r="F187" s="210"/>
      <c r="G187" s="610"/>
      <c r="H187" s="610"/>
      <c r="I187" s="610"/>
      <c r="J187" s="610"/>
      <c r="K187" s="610"/>
      <c r="L187" s="610"/>
      <c r="M187" s="610"/>
      <c r="N187" s="610"/>
      <c r="O187" s="610"/>
      <c r="P187" s="610"/>
    </row>
    <row r="188" spans="1:16" ht="15.75" thickBot="1">
      <c r="B188" s="511">
        <v>3211000212</v>
      </c>
      <c r="C188" s="492" t="s">
        <v>326</v>
      </c>
      <c r="D188" s="495" t="s">
        <v>17</v>
      </c>
      <c r="E188" s="15"/>
      <c r="F188" s="36">
        <f>+(G188+J188)/2</f>
        <v>451.5</v>
      </c>
      <c r="G188" s="27">
        <v>700</v>
      </c>
      <c r="H188" s="33" t="s">
        <v>327</v>
      </c>
      <c r="I188" s="552" t="s">
        <v>916</v>
      </c>
      <c r="J188" s="46">
        <v>203</v>
      </c>
      <c r="K188" s="1"/>
      <c r="L188" s="45" t="s">
        <v>245</v>
      </c>
      <c r="M188" s="1"/>
      <c r="N188" s="1"/>
      <c r="O188" s="1"/>
      <c r="P188" s="2"/>
    </row>
    <row r="189" spans="1:16" ht="15.75" thickBot="1">
      <c r="B189" s="47"/>
      <c r="C189" s="607" t="s">
        <v>328</v>
      </c>
      <c r="D189" s="608"/>
      <c r="E189" s="15"/>
      <c r="F189" s="210"/>
      <c r="G189" s="610"/>
      <c r="H189" s="610"/>
      <c r="I189" s="610"/>
      <c r="J189" s="610"/>
      <c r="K189" s="610"/>
      <c r="L189" s="610"/>
      <c r="M189" s="610"/>
      <c r="N189" s="610"/>
      <c r="O189" s="610"/>
      <c r="P189" s="610"/>
    </row>
    <row r="190" spans="1:16" ht="15.75" thickBot="1">
      <c r="A190" t="s">
        <v>329</v>
      </c>
      <c r="B190" s="646">
        <v>32130006</v>
      </c>
      <c r="C190" s="492" t="s">
        <v>330</v>
      </c>
      <c r="D190" s="501" t="s">
        <v>17</v>
      </c>
      <c r="E190" s="15"/>
      <c r="F190" s="169">
        <f>G190</f>
        <v>313</v>
      </c>
      <c r="G190" s="170">
        <v>313</v>
      </c>
      <c r="H190" s="292"/>
      <c r="I190" s="553" t="s">
        <v>331</v>
      </c>
      <c r="J190" s="213"/>
      <c r="K190" s="214"/>
      <c r="L190" s="214"/>
      <c r="M190" s="161"/>
      <c r="N190" s="161"/>
      <c r="O190" s="162"/>
      <c r="P190" s="167"/>
    </row>
    <row r="191" spans="1:16" s="365" customFormat="1" ht="15.75" thickBot="1">
      <c r="B191" s="647"/>
      <c r="C191" s="554" t="s">
        <v>714</v>
      </c>
      <c r="D191" s="501"/>
      <c r="E191" s="15"/>
      <c r="F191" s="169">
        <f>+G191</f>
        <v>1200</v>
      </c>
      <c r="G191" s="170">
        <v>1200</v>
      </c>
      <c r="H191" s="364"/>
      <c r="I191" s="553" t="s">
        <v>712</v>
      </c>
      <c r="J191" s="46">
        <v>480</v>
      </c>
      <c r="K191" s="214"/>
      <c r="L191" s="214" t="s">
        <v>713</v>
      </c>
      <c r="M191" s="161"/>
      <c r="N191" s="161"/>
      <c r="O191" s="162"/>
      <c r="P191" s="167"/>
    </row>
    <row r="192" spans="1:16" s="365" customFormat="1" ht="15.75" thickBot="1">
      <c r="B192" s="647"/>
      <c r="C192" s="554" t="s">
        <v>711</v>
      </c>
      <c r="D192" s="501"/>
      <c r="E192" s="15"/>
      <c r="F192" s="169">
        <f>+G192</f>
        <v>899.9</v>
      </c>
      <c r="G192" s="170">
        <v>899.9</v>
      </c>
      <c r="H192" s="364"/>
      <c r="I192" s="553" t="s">
        <v>962</v>
      </c>
      <c r="J192" s="46">
        <v>773</v>
      </c>
      <c r="K192" s="214"/>
      <c r="L192" s="214" t="s">
        <v>963</v>
      </c>
      <c r="M192" s="161"/>
      <c r="N192" s="161"/>
      <c r="O192" s="162"/>
      <c r="P192" s="167"/>
    </row>
    <row r="193" spans="1:16" s="365" customFormat="1" ht="15.75" thickBot="1">
      <c r="B193" s="647"/>
      <c r="C193" s="554" t="s">
        <v>715</v>
      </c>
      <c r="D193" s="501"/>
      <c r="E193" s="15"/>
      <c r="F193" s="169">
        <f>+G193</f>
        <v>899.9</v>
      </c>
      <c r="G193" s="170">
        <v>899.9</v>
      </c>
      <c r="H193" s="364"/>
      <c r="I193" s="553" t="s">
        <v>716</v>
      </c>
      <c r="J193" s="229"/>
      <c r="K193" s="214"/>
      <c r="L193" s="214"/>
      <c r="M193" s="161"/>
      <c r="N193" s="161"/>
      <c r="O193" s="162"/>
      <c r="P193" s="167"/>
    </row>
    <row r="194" spans="1:16" s="312" customFormat="1" ht="15.75" thickBot="1">
      <c r="B194" s="647"/>
      <c r="C194" s="554" t="s">
        <v>938</v>
      </c>
      <c r="D194" s="501" t="s">
        <v>17</v>
      </c>
      <c r="E194" s="15"/>
      <c r="F194" s="169">
        <f>+(G194+J194)/2</f>
        <v>456</v>
      </c>
      <c r="G194" s="170">
        <v>313</v>
      </c>
      <c r="H194" s="364"/>
      <c r="I194" s="553" t="s">
        <v>331</v>
      </c>
      <c r="J194" s="46">
        <v>599</v>
      </c>
      <c r="K194" s="79" t="s">
        <v>582</v>
      </c>
      <c r="L194" s="214" t="s">
        <v>581</v>
      </c>
      <c r="M194" s="161"/>
      <c r="N194" s="161"/>
      <c r="O194" s="162"/>
      <c r="P194" s="167"/>
    </row>
    <row r="195" spans="1:16" s="312" customFormat="1" ht="15.75" thickBot="1">
      <c r="B195" s="647"/>
      <c r="C195" s="554" t="s">
        <v>583</v>
      </c>
      <c r="D195" s="501" t="s">
        <v>17</v>
      </c>
      <c r="E195" s="15"/>
      <c r="F195" s="169">
        <f>+(G195+J195)/2</f>
        <v>756.5</v>
      </c>
      <c r="G195" s="170">
        <v>313</v>
      </c>
      <c r="H195" s="364"/>
      <c r="I195" s="553" t="s">
        <v>331</v>
      </c>
      <c r="J195" s="34">
        <v>1200</v>
      </c>
      <c r="K195" s="79"/>
      <c r="L195" s="214" t="s">
        <v>584</v>
      </c>
      <c r="M195" s="161"/>
      <c r="N195" s="161"/>
      <c r="O195" s="162"/>
      <c r="P195" s="167"/>
    </row>
    <row r="196" spans="1:16" s="312" customFormat="1" ht="15.75" thickBot="1">
      <c r="B196" s="647"/>
      <c r="C196" s="554" t="s">
        <v>585</v>
      </c>
      <c r="D196" s="501" t="s">
        <v>17</v>
      </c>
      <c r="E196" s="15"/>
      <c r="F196" s="169">
        <f>+(G196+J196)/2</f>
        <v>756.5</v>
      </c>
      <c r="G196" s="170">
        <v>313</v>
      </c>
      <c r="H196" s="364"/>
      <c r="I196" s="212" t="s">
        <v>331</v>
      </c>
      <c r="J196" s="34">
        <v>1200</v>
      </c>
      <c r="K196" s="79"/>
      <c r="L196" s="214" t="s">
        <v>584</v>
      </c>
      <c r="M196" s="161"/>
      <c r="N196" s="161"/>
      <c r="O196" s="162"/>
      <c r="P196" s="167"/>
    </row>
    <row r="197" spans="1:16" s="365" customFormat="1" ht="15.75" thickBot="1">
      <c r="B197" s="647"/>
      <c r="C197" s="554" t="s">
        <v>646</v>
      </c>
      <c r="D197" s="555"/>
      <c r="E197" s="15"/>
      <c r="F197" s="169">
        <f>+(G197+J197)/2</f>
        <v>874.15</v>
      </c>
      <c r="G197" s="170">
        <v>1148.3</v>
      </c>
      <c r="H197" s="364"/>
      <c r="I197" s="553" t="s">
        <v>648</v>
      </c>
      <c r="J197" s="34">
        <v>600</v>
      </c>
      <c r="K197" s="79"/>
      <c r="L197" s="214" t="s">
        <v>647</v>
      </c>
      <c r="M197" s="161"/>
      <c r="N197" s="161"/>
      <c r="O197" s="162"/>
      <c r="P197" s="167"/>
    </row>
    <row r="198" spans="1:16" ht="15.75" thickBot="1">
      <c r="A198" t="s">
        <v>332</v>
      </c>
      <c r="B198" s="631"/>
      <c r="C198" s="556" t="s">
        <v>333</v>
      </c>
      <c r="D198" s="555" t="s">
        <v>62</v>
      </c>
      <c r="E198" s="15"/>
      <c r="F198" s="169">
        <f>(G198)</f>
        <v>313</v>
      </c>
      <c r="G198" s="170">
        <v>313</v>
      </c>
      <c r="H198" s="291"/>
      <c r="I198" s="553" t="s">
        <v>331</v>
      </c>
      <c r="J198" s="215"/>
      <c r="K198" s="216"/>
      <c r="L198" s="216"/>
      <c r="M198" s="217"/>
      <c r="N198" s="217"/>
      <c r="O198" s="218"/>
      <c r="P198" s="65"/>
    </row>
    <row r="199" spans="1:16" ht="15.75" thickBot="1">
      <c r="A199" t="s">
        <v>334</v>
      </c>
      <c r="B199" s="646">
        <v>322300033</v>
      </c>
      <c r="C199" s="496" t="s">
        <v>335</v>
      </c>
      <c r="D199" s="501" t="s">
        <v>17</v>
      </c>
      <c r="E199" s="15"/>
      <c r="F199" s="169">
        <f>+(G199+J199)/2</f>
        <v>2800</v>
      </c>
      <c r="G199" s="219">
        <v>3700</v>
      </c>
      <c r="H199" s="220" t="s">
        <v>336</v>
      </c>
      <c r="I199" s="293" t="s">
        <v>483</v>
      </c>
      <c r="J199" s="46">
        <v>1900</v>
      </c>
      <c r="K199" s="220" t="s">
        <v>425</v>
      </c>
      <c r="L199" s="293" t="s">
        <v>424</v>
      </c>
      <c r="M199" s="288"/>
    </row>
    <row r="200" spans="1:16" ht="15.75" thickBot="1">
      <c r="A200" t="s">
        <v>337</v>
      </c>
      <c r="B200" s="630"/>
      <c r="C200" s="557" t="s">
        <v>338</v>
      </c>
      <c r="D200" s="501" t="s">
        <v>17</v>
      </c>
      <c r="E200" s="15"/>
      <c r="F200" s="169">
        <f t="shared" ref="F200:F203" si="16">+(G200+J200)/2</f>
        <v>2800</v>
      </c>
      <c r="G200" s="219">
        <v>3700</v>
      </c>
      <c r="H200" s="220" t="s">
        <v>336</v>
      </c>
      <c r="I200" s="293" t="s">
        <v>483</v>
      </c>
      <c r="J200" s="46">
        <v>1900</v>
      </c>
      <c r="K200" s="220" t="s">
        <v>425</v>
      </c>
      <c r="L200" s="293" t="s">
        <v>424</v>
      </c>
      <c r="M200" s="289"/>
    </row>
    <row r="201" spans="1:16" ht="15.75" thickBot="1">
      <c r="A201" t="s">
        <v>339</v>
      </c>
      <c r="B201" s="630"/>
      <c r="C201" s="496" t="s">
        <v>340</v>
      </c>
      <c r="D201" s="501" t="s">
        <v>17</v>
      </c>
      <c r="E201" s="15"/>
      <c r="F201" s="169">
        <f t="shared" si="16"/>
        <v>2800</v>
      </c>
      <c r="G201" s="219">
        <v>3700</v>
      </c>
      <c r="H201" s="220" t="s">
        <v>336</v>
      </c>
      <c r="I201" s="293" t="s">
        <v>483</v>
      </c>
      <c r="J201" s="46">
        <v>1900</v>
      </c>
      <c r="K201" s="220" t="s">
        <v>425</v>
      </c>
      <c r="L201" s="293" t="s">
        <v>424</v>
      </c>
      <c r="M201" s="290"/>
    </row>
    <row r="202" spans="1:16" ht="15.75" thickBot="1">
      <c r="A202" t="s">
        <v>341</v>
      </c>
      <c r="B202" s="630"/>
      <c r="C202" s="558" t="s">
        <v>342</v>
      </c>
      <c r="D202" s="559" t="s">
        <v>17</v>
      </c>
      <c r="E202" s="15"/>
      <c r="F202" s="169">
        <f t="shared" si="16"/>
        <v>2800</v>
      </c>
      <c r="G202" s="219">
        <v>3700</v>
      </c>
      <c r="H202" s="221" t="s">
        <v>336</v>
      </c>
      <c r="I202" s="293" t="s">
        <v>483</v>
      </c>
      <c r="J202" s="46">
        <v>1900</v>
      </c>
      <c r="K202" s="220" t="s">
        <v>425</v>
      </c>
      <c r="L202" s="293" t="s">
        <v>424</v>
      </c>
      <c r="M202" s="223"/>
      <c r="N202" s="223"/>
      <c r="O202" s="198"/>
      <c r="P202" s="224"/>
    </row>
    <row r="203" spans="1:16" ht="15.75" thickBot="1">
      <c r="A203" t="s">
        <v>343</v>
      </c>
      <c r="B203" s="631"/>
      <c r="C203" s="496" t="s">
        <v>344</v>
      </c>
      <c r="D203" s="501" t="s">
        <v>17</v>
      </c>
      <c r="E203" s="15"/>
      <c r="F203" s="169">
        <f t="shared" si="16"/>
        <v>6740</v>
      </c>
      <c r="G203" s="58">
        <v>7980</v>
      </c>
      <c r="H203" s="221" t="s">
        <v>18</v>
      </c>
      <c r="I203" s="294" t="s">
        <v>484</v>
      </c>
      <c r="J203" s="46">
        <v>5500</v>
      </c>
      <c r="K203" s="222" t="s">
        <v>425</v>
      </c>
      <c r="L203" s="295" t="s">
        <v>426</v>
      </c>
      <c r="M203" s="223"/>
      <c r="N203" s="223"/>
      <c r="O203" s="198"/>
      <c r="P203" s="224"/>
    </row>
    <row r="204" spans="1:16" ht="15.75" thickBot="1">
      <c r="A204" t="s">
        <v>345</v>
      </c>
      <c r="B204" s="498">
        <v>322300054</v>
      </c>
      <c r="C204" s="492" t="s">
        <v>346</v>
      </c>
      <c r="D204" s="495" t="s">
        <v>62</v>
      </c>
      <c r="E204" s="15"/>
      <c r="F204" s="169">
        <f>+G204</f>
        <v>799</v>
      </c>
      <c r="G204" s="58">
        <f>39950/50</f>
        <v>799</v>
      </c>
      <c r="H204" s="262" t="s">
        <v>27</v>
      </c>
      <c r="I204" s="241" t="s">
        <v>485</v>
      </c>
      <c r="M204" s="205"/>
      <c r="N204" s="205"/>
      <c r="O204" s="137"/>
      <c r="P204" s="211"/>
    </row>
    <row r="205" spans="1:16" ht="15.75" thickBot="1">
      <c r="B205" s="325"/>
      <c r="C205" s="607" t="s">
        <v>347</v>
      </c>
      <c r="D205" s="608"/>
      <c r="E205" s="15"/>
      <c r="F205" s="225"/>
      <c r="G205" s="610"/>
      <c r="H205" s="610"/>
      <c r="I205" s="610"/>
      <c r="J205" s="610"/>
      <c r="K205" s="610"/>
      <c r="L205" s="610"/>
      <c r="M205" s="610"/>
      <c r="N205" s="610"/>
      <c r="O205" s="610"/>
      <c r="P205" s="610"/>
    </row>
    <row r="206" spans="1:16" ht="15.75" thickBot="1">
      <c r="A206" t="s">
        <v>348</v>
      </c>
      <c r="B206" s="652">
        <v>32020006</v>
      </c>
      <c r="C206" s="560" t="s">
        <v>349</v>
      </c>
      <c r="D206" s="495" t="s">
        <v>138</v>
      </c>
      <c r="E206" s="15"/>
      <c r="F206" s="89">
        <f t="shared" ref="F206:F209" si="17">+(G206+J206)/2</f>
        <v>4534.5</v>
      </c>
      <c r="G206" s="226">
        <f>11950/6</f>
        <v>1991.6666666666667</v>
      </c>
      <c r="H206" s="261" t="s">
        <v>36</v>
      </c>
      <c r="I206" s="387" t="s">
        <v>492</v>
      </c>
      <c r="J206" s="52">
        <f>42464/6</f>
        <v>7077.333333333333</v>
      </c>
      <c r="K206" s="21" t="s">
        <v>350</v>
      </c>
      <c r="L206" s="200" t="s">
        <v>494</v>
      </c>
      <c r="M206" s="55"/>
      <c r="N206" s="55"/>
      <c r="O206" s="56"/>
      <c r="P206" s="77" t="s">
        <v>427</v>
      </c>
    </row>
    <row r="207" spans="1:16" s="308" customFormat="1" ht="15.75" thickBot="1">
      <c r="B207" s="653"/>
      <c r="C207" s="561" t="s">
        <v>495</v>
      </c>
      <c r="D207" s="495" t="s">
        <v>138</v>
      </c>
      <c r="E207" s="15"/>
      <c r="F207" s="78">
        <f t="shared" si="17"/>
        <v>7955.5</v>
      </c>
      <c r="G207" s="80">
        <v>5031</v>
      </c>
      <c r="H207" s="260" t="s">
        <v>497</v>
      </c>
      <c r="I207" s="274" t="s">
        <v>496</v>
      </c>
      <c r="J207" s="83">
        <f>32640/3</f>
        <v>10880</v>
      </c>
      <c r="K207" s="59" t="s">
        <v>499</v>
      </c>
      <c r="L207" s="141" t="s">
        <v>498</v>
      </c>
      <c r="M207" s="55"/>
      <c r="N207" s="55"/>
      <c r="O207" s="56"/>
      <c r="P207" s="314"/>
    </row>
    <row r="208" spans="1:16" ht="15.75" thickBot="1">
      <c r="A208" t="s">
        <v>351</v>
      </c>
      <c r="B208" s="653"/>
      <c r="C208" s="560" t="s">
        <v>352</v>
      </c>
      <c r="D208" s="495" t="s">
        <v>138</v>
      </c>
      <c r="E208" s="15"/>
      <c r="F208" s="78">
        <f t="shared" si="17"/>
        <v>3508.666666666667</v>
      </c>
      <c r="G208" s="80">
        <v>3684</v>
      </c>
      <c r="H208" s="260" t="s">
        <v>353</v>
      </c>
      <c r="I208" s="238" t="s">
        <v>354</v>
      </c>
      <c r="J208" s="83">
        <f>20000/6</f>
        <v>3333.3333333333335</v>
      </c>
      <c r="K208" s="59" t="s">
        <v>63</v>
      </c>
      <c r="L208" s="141" t="s">
        <v>355</v>
      </c>
      <c r="M208" s="25"/>
      <c r="N208" s="25"/>
      <c r="O208" s="142"/>
      <c r="P208" s="143"/>
    </row>
    <row r="209" spans="1:16" ht="15.75" thickBot="1">
      <c r="A209" t="s">
        <v>356</v>
      </c>
      <c r="B209" s="653"/>
      <c r="C209" s="560" t="s">
        <v>357</v>
      </c>
      <c r="D209" s="495" t="s">
        <v>138</v>
      </c>
      <c r="E209" s="15"/>
      <c r="F209" s="78">
        <f t="shared" si="17"/>
        <v>4295</v>
      </c>
      <c r="G209" s="80">
        <v>4500</v>
      </c>
      <c r="H209" s="260" t="s">
        <v>63</v>
      </c>
      <c r="I209" s="238" t="s">
        <v>358</v>
      </c>
      <c r="J209" s="83">
        <v>4090</v>
      </c>
      <c r="K209" s="59" t="s">
        <v>63</v>
      </c>
      <c r="L209" s="141" t="s">
        <v>953</v>
      </c>
      <c r="M209" s="55"/>
      <c r="N209" s="55"/>
      <c r="O209" s="56"/>
      <c r="P209" s="143"/>
    </row>
    <row r="210" spans="1:16" s="308" customFormat="1" ht="15.75" thickBot="1">
      <c r="B210" s="654"/>
      <c r="C210" s="493" t="s">
        <v>500</v>
      </c>
      <c r="D210" s="506"/>
      <c r="E210" s="15"/>
      <c r="F210" s="78">
        <f>+(G210+J210)/2</f>
        <v>2349.5050000000001</v>
      </c>
      <c r="G210" s="80">
        <v>2636.01</v>
      </c>
      <c r="H210" s="260" t="s">
        <v>502</v>
      </c>
      <c r="I210" s="274" t="s">
        <v>501</v>
      </c>
      <c r="J210" s="83">
        <v>2063</v>
      </c>
      <c r="K210" s="59" t="s">
        <v>36</v>
      </c>
      <c r="L210" s="141" t="s">
        <v>493</v>
      </c>
      <c r="M210" s="55"/>
      <c r="N210" s="55"/>
      <c r="O210" s="56"/>
      <c r="P210" s="323"/>
    </row>
    <row r="211" spans="1:16" s="308" customFormat="1" ht="15.75" thickBot="1">
      <c r="B211" s="315"/>
      <c r="C211" s="316"/>
      <c r="D211" s="317"/>
      <c r="E211" s="15"/>
      <c r="F211" s="318"/>
      <c r="G211" s="319"/>
      <c r="H211" s="320"/>
      <c r="I211" s="321"/>
      <c r="J211" s="319"/>
      <c r="K211" s="322"/>
      <c r="L211" s="321"/>
      <c r="M211" s="323"/>
      <c r="N211" s="323"/>
      <c r="O211" s="324"/>
      <c r="P211" s="323"/>
    </row>
    <row r="212" spans="1:16" s="308" customFormat="1" ht="15.75" thickBot="1">
      <c r="B212" s="315"/>
      <c r="C212" s="316"/>
      <c r="D212" s="317"/>
      <c r="E212" s="15"/>
      <c r="F212" s="318"/>
      <c r="G212" s="319"/>
      <c r="H212" s="320"/>
      <c r="I212" s="321"/>
      <c r="J212" s="319"/>
      <c r="K212" s="322"/>
      <c r="L212" s="321"/>
      <c r="M212" s="323"/>
      <c r="N212" s="323"/>
      <c r="O212" s="324"/>
      <c r="P212" s="323"/>
    </row>
    <row r="213" spans="1:16" ht="15.75" thickBot="1">
      <c r="B213" s="227"/>
      <c r="C213" s="607"/>
      <c r="D213" s="608"/>
      <c r="E213" s="15"/>
      <c r="F213" s="66"/>
      <c r="G213" s="610"/>
      <c r="H213" s="610"/>
      <c r="I213" s="610"/>
      <c r="J213" s="610"/>
      <c r="K213" s="610"/>
      <c r="L213" s="610"/>
      <c r="M213" s="610"/>
      <c r="N213" s="610"/>
      <c r="O213" s="610"/>
      <c r="P213" s="610"/>
    </row>
    <row r="214" spans="1:16" ht="15.75" thickBot="1">
      <c r="A214" t="s">
        <v>359</v>
      </c>
      <c r="B214" s="498">
        <v>320900052</v>
      </c>
      <c r="C214" s="492" t="s">
        <v>360</v>
      </c>
      <c r="D214" s="495" t="s">
        <v>62</v>
      </c>
      <c r="E214" s="15"/>
      <c r="F214" s="36">
        <f>(G214+J214)/2</f>
        <v>4065</v>
      </c>
      <c r="G214" s="27">
        <v>5000</v>
      </c>
      <c r="H214" s="263" t="s">
        <v>361</v>
      </c>
      <c r="I214" s="238" t="s">
        <v>428</v>
      </c>
      <c r="J214" s="106">
        <v>3130</v>
      </c>
      <c r="K214" s="109" t="s">
        <v>362</v>
      </c>
      <c r="L214" s="298" t="s">
        <v>363</v>
      </c>
      <c r="M214" s="299"/>
      <c r="N214" s="109"/>
      <c r="O214" s="298"/>
      <c r="P214" s="299"/>
    </row>
    <row r="215" spans="1:16" ht="15.75" thickBot="1">
      <c r="B215" s="47"/>
      <c r="C215" s="607"/>
      <c r="D215" s="608"/>
      <c r="E215" s="15"/>
      <c r="F215" s="210"/>
      <c r="G215" s="610"/>
      <c r="H215" s="610"/>
      <c r="I215" s="610"/>
      <c r="J215" s="610"/>
      <c r="K215" s="610"/>
      <c r="L215" s="610"/>
      <c r="M215" s="610"/>
      <c r="N215" s="610"/>
      <c r="O215" s="610"/>
      <c r="P215" s="610"/>
    </row>
    <row r="216" spans="1:16" ht="15">
      <c r="A216" t="s">
        <v>364</v>
      </c>
      <c r="B216" s="511">
        <v>3212000815</v>
      </c>
      <c r="C216" s="488" t="s">
        <v>365</v>
      </c>
      <c r="D216" s="489" t="s">
        <v>62</v>
      </c>
      <c r="E216" s="15"/>
      <c r="F216" s="36">
        <f t="shared" ref="F216:F221" si="18">(G216)</f>
        <v>1001</v>
      </c>
      <c r="G216" s="27">
        <v>1001</v>
      </c>
      <c r="H216" s="263"/>
      <c r="I216" s="238" t="s">
        <v>429</v>
      </c>
      <c r="J216" s="229"/>
      <c r="K216" s="126"/>
      <c r="L216" s="126"/>
      <c r="M216" s="125"/>
      <c r="N216" s="125"/>
      <c r="O216" s="126"/>
      <c r="P216" s="127"/>
    </row>
    <row r="217" spans="1:16" s="365" customFormat="1" ht="15">
      <c r="B217" s="511"/>
      <c r="C217" s="528" t="s">
        <v>650</v>
      </c>
      <c r="D217" s="489"/>
      <c r="E217" s="15"/>
      <c r="F217" s="36">
        <f t="shared" si="18"/>
        <v>1001</v>
      </c>
      <c r="G217" s="27">
        <v>1001</v>
      </c>
      <c r="H217" s="263"/>
      <c r="I217" s="487" t="s">
        <v>429</v>
      </c>
      <c r="J217" s="378"/>
      <c r="K217" s="333"/>
      <c r="L217" s="333"/>
      <c r="M217" s="334"/>
      <c r="N217" s="334"/>
      <c r="O217" s="333"/>
      <c r="P217" s="333"/>
    </row>
    <row r="218" spans="1:16" s="365" customFormat="1" ht="15">
      <c r="B218" s="511"/>
      <c r="C218" s="528" t="s">
        <v>652</v>
      </c>
      <c r="D218" s="489"/>
      <c r="E218" s="15"/>
      <c r="F218" s="36">
        <f t="shared" si="18"/>
        <v>1001</v>
      </c>
      <c r="G218" s="27">
        <v>1001</v>
      </c>
      <c r="H218" s="263"/>
      <c r="I218" s="487" t="s">
        <v>429</v>
      </c>
      <c r="J218" s="378"/>
      <c r="K218" s="333"/>
      <c r="L218" s="333"/>
      <c r="M218" s="334"/>
      <c r="N218" s="334"/>
      <c r="O218" s="333"/>
      <c r="P218" s="333"/>
    </row>
    <row r="219" spans="1:16" s="365" customFormat="1" ht="15">
      <c r="B219" s="511"/>
      <c r="C219" s="528" t="s">
        <v>653</v>
      </c>
      <c r="D219" s="489"/>
      <c r="E219" s="15"/>
      <c r="F219" s="36">
        <f t="shared" si="18"/>
        <v>1001</v>
      </c>
      <c r="G219" s="27">
        <v>1001</v>
      </c>
      <c r="H219" s="263"/>
      <c r="I219" s="487" t="s">
        <v>429</v>
      </c>
      <c r="J219" s="378"/>
      <c r="K219" s="333"/>
      <c r="L219" s="333"/>
      <c r="M219" s="334"/>
      <c r="N219" s="334"/>
      <c r="O219" s="333"/>
      <c r="P219" s="333"/>
    </row>
    <row r="220" spans="1:16" s="365" customFormat="1" ht="15">
      <c r="B220" s="511"/>
      <c r="C220" s="528" t="s">
        <v>654</v>
      </c>
      <c r="D220" s="489"/>
      <c r="E220" s="15"/>
      <c r="F220" s="36">
        <f t="shared" si="18"/>
        <v>1001</v>
      </c>
      <c r="G220" s="27">
        <v>1001</v>
      </c>
      <c r="H220" s="263"/>
      <c r="I220" s="487" t="s">
        <v>429</v>
      </c>
      <c r="J220" s="378"/>
      <c r="K220" s="333"/>
      <c r="L220" s="333"/>
      <c r="M220" s="334"/>
      <c r="N220" s="334"/>
      <c r="O220" s="333"/>
      <c r="P220" s="333"/>
    </row>
    <row r="221" spans="1:16" s="365" customFormat="1" ht="15">
      <c r="B221" s="511"/>
      <c r="C221" s="528" t="s">
        <v>651</v>
      </c>
      <c r="D221" s="489"/>
      <c r="E221" s="15"/>
      <c r="F221" s="36">
        <f t="shared" si="18"/>
        <v>1001</v>
      </c>
      <c r="G221" s="27">
        <v>1001</v>
      </c>
      <c r="H221" s="263"/>
      <c r="I221" s="487" t="s">
        <v>429</v>
      </c>
      <c r="J221" s="378"/>
      <c r="K221" s="333"/>
      <c r="L221" s="333"/>
      <c r="M221" s="334"/>
      <c r="N221" s="334"/>
      <c r="O221" s="333"/>
      <c r="P221" s="333"/>
    </row>
    <row r="222" spans="1:16" s="365" customFormat="1" ht="15">
      <c r="B222" s="511"/>
      <c r="C222" s="528" t="s">
        <v>649</v>
      </c>
      <c r="D222" s="489"/>
      <c r="E222" s="15"/>
      <c r="F222" s="36">
        <f>+(G222+J222)/2</f>
        <v>2833</v>
      </c>
      <c r="G222" s="27">
        <v>4985</v>
      </c>
      <c r="H222" s="320" t="s">
        <v>657</v>
      </c>
      <c r="I222" s="228" t="s">
        <v>656</v>
      </c>
      <c r="J222" s="27">
        <v>681</v>
      </c>
      <c r="K222" s="320" t="s">
        <v>658</v>
      </c>
      <c r="L222" s="333" t="s">
        <v>659</v>
      </c>
      <c r="M222" s="334"/>
      <c r="N222" s="334"/>
      <c r="O222" s="333"/>
      <c r="P222" s="333"/>
    </row>
    <row r="223" spans="1:16" s="365" customFormat="1" ht="15">
      <c r="B223" s="511"/>
      <c r="C223" s="550" t="s">
        <v>655</v>
      </c>
      <c r="D223" s="489"/>
      <c r="E223" s="15"/>
      <c r="F223" s="36">
        <f>(G223)</f>
        <v>1001</v>
      </c>
      <c r="G223" s="27">
        <v>1001</v>
      </c>
      <c r="H223" s="379"/>
      <c r="I223" s="487" t="s">
        <v>429</v>
      </c>
      <c r="J223" s="378"/>
      <c r="K223" s="333"/>
      <c r="L223" s="333"/>
      <c r="M223" s="334"/>
      <c r="N223" s="334"/>
      <c r="O223" s="333"/>
      <c r="P223" s="333"/>
    </row>
    <row r="224" spans="1:16" s="365" customFormat="1" ht="15">
      <c r="B224" s="562"/>
      <c r="C224" s="550" t="s">
        <v>660</v>
      </c>
      <c r="D224" s="489"/>
      <c r="E224" s="15"/>
      <c r="F224" s="327">
        <f>+(G224+J224)/2</f>
        <v>967.05</v>
      </c>
      <c r="G224" s="319">
        <v>989.6</v>
      </c>
      <c r="H224" s="320" t="s">
        <v>662</v>
      </c>
      <c r="I224" s="332" t="s">
        <v>661</v>
      </c>
      <c r="J224" s="319">
        <v>944.5</v>
      </c>
      <c r="K224" s="333"/>
      <c r="L224" s="333" t="s">
        <v>663</v>
      </c>
      <c r="M224" s="334"/>
      <c r="N224" s="334"/>
      <c r="O224" s="333"/>
      <c r="P224" s="333"/>
    </row>
    <row r="225" spans="2:16" s="365" customFormat="1" ht="15">
      <c r="B225" s="562"/>
      <c r="C225" s="550" t="s">
        <v>664</v>
      </c>
      <c r="D225" s="489"/>
      <c r="E225" s="15"/>
      <c r="F225" s="327">
        <f>+G225</f>
        <v>1106</v>
      </c>
      <c r="G225" s="319">
        <v>1106</v>
      </c>
      <c r="H225" s="320"/>
      <c r="I225" s="332" t="s">
        <v>665</v>
      </c>
      <c r="J225" s="319"/>
      <c r="K225" s="333"/>
      <c r="L225" s="333"/>
      <c r="M225" s="334"/>
      <c r="N225" s="334"/>
      <c r="O225" s="333"/>
      <c r="P225" s="333"/>
    </row>
    <row r="226" spans="2:16" s="365" customFormat="1" ht="15">
      <c r="B226" s="562"/>
      <c r="C226" s="550" t="s">
        <v>666</v>
      </c>
      <c r="D226" s="489"/>
      <c r="E226" s="15"/>
      <c r="F226" s="327">
        <f>+G226</f>
        <v>1106</v>
      </c>
      <c r="G226" s="319">
        <v>1106</v>
      </c>
      <c r="H226" s="320"/>
      <c r="I226" s="332" t="s">
        <v>665</v>
      </c>
      <c r="J226" s="319"/>
      <c r="K226" s="333"/>
      <c r="L226" s="333"/>
      <c r="M226" s="334"/>
      <c r="N226" s="334"/>
      <c r="O226" s="333"/>
      <c r="P226" s="333"/>
    </row>
    <row r="227" spans="2:16" s="365" customFormat="1" ht="15">
      <c r="B227" s="562"/>
      <c r="C227" s="550" t="s">
        <v>667</v>
      </c>
      <c r="D227" s="489"/>
      <c r="E227" s="15"/>
      <c r="F227" s="327">
        <f>+(G227+J227)/2</f>
        <v>967.05</v>
      </c>
      <c r="G227" s="319">
        <v>989.6</v>
      </c>
      <c r="H227" s="320" t="s">
        <v>662</v>
      </c>
      <c r="I227" s="332" t="s">
        <v>661</v>
      </c>
      <c r="J227" s="319">
        <v>944.5</v>
      </c>
      <c r="K227" s="333"/>
      <c r="L227" s="333" t="s">
        <v>663</v>
      </c>
      <c r="M227" s="334"/>
      <c r="N227" s="334"/>
      <c r="O227" s="333"/>
      <c r="P227" s="333"/>
    </row>
    <row r="228" spans="2:16" s="365" customFormat="1" ht="15">
      <c r="B228" s="562"/>
      <c r="C228" s="550" t="s">
        <v>668</v>
      </c>
      <c r="D228" s="489"/>
      <c r="E228" s="15"/>
      <c r="F228" s="327">
        <f>+G228</f>
        <v>1106</v>
      </c>
      <c r="G228" s="319">
        <v>1106</v>
      </c>
      <c r="H228" s="320"/>
      <c r="I228" s="332" t="s">
        <v>665</v>
      </c>
      <c r="J228" s="319"/>
      <c r="K228" s="333"/>
      <c r="L228" s="333"/>
      <c r="M228" s="334"/>
      <c r="N228" s="334"/>
      <c r="O228" s="333"/>
      <c r="P228" s="333"/>
    </row>
    <row r="229" spans="2:16" s="365" customFormat="1" ht="15.75" thickBot="1">
      <c r="B229" s="562"/>
      <c r="C229" s="550" t="s">
        <v>669</v>
      </c>
      <c r="D229" s="489"/>
      <c r="E229" s="15"/>
      <c r="F229" s="327">
        <f>+(G229+J229)/2</f>
        <v>967.05</v>
      </c>
      <c r="G229" s="319">
        <v>989.6</v>
      </c>
      <c r="H229" s="320" t="s">
        <v>662</v>
      </c>
      <c r="I229" s="332" t="s">
        <v>661</v>
      </c>
      <c r="J229" s="319">
        <v>944.5</v>
      </c>
      <c r="K229" s="333"/>
      <c r="L229" s="333" t="s">
        <v>663</v>
      </c>
      <c r="M229" s="334"/>
      <c r="N229" s="334"/>
      <c r="O229" s="333"/>
      <c r="P229" s="333"/>
    </row>
    <row r="230" spans="2:16" s="383" customFormat="1" ht="15.75" thickBot="1">
      <c r="B230" s="563">
        <v>341600579</v>
      </c>
      <c r="C230" s="564" t="s">
        <v>839</v>
      </c>
      <c r="D230" s="565" t="s">
        <v>62</v>
      </c>
      <c r="E230" s="384"/>
      <c r="F230" s="422">
        <f>+G230</f>
        <v>192.5</v>
      </c>
      <c r="G230" s="418">
        <v>192.5</v>
      </c>
      <c r="H230" s="423" t="s">
        <v>840</v>
      </c>
      <c r="I230" s="238" t="s">
        <v>841</v>
      </c>
      <c r="J230" s="425"/>
      <c r="K230" s="426"/>
      <c r="L230" s="426"/>
      <c r="M230" s="427"/>
      <c r="N230" s="428"/>
      <c r="O230" s="426"/>
      <c r="P230" s="429"/>
    </row>
    <row r="231" spans="2:16" s="383" customFormat="1" ht="15.75" thickBot="1">
      <c r="B231" s="566">
        <v>341700301</v>
      </c>
      <c r="C231" s="567" t="s">
        <v>842</v>
      </c>
      <c r="D231" s="568" t="s">
        <v>62</v>
      </c>
      <c r="E231" s="432"/>
      <c r="F231" s="433">
        <f>(G231+J231)/2</f>
        <v>232.70625000000001</v>
      </c>
      <c r="G231" s="418">
        <v>192.5</v>
      </c>
      <c r="H231" s="423" t="s">
        <v>840</v>
      </c>
      <c r="I231" s="238" t="s">
        <v>843</v>
      </c>
      <c r="J231" s="434">
        <f>327495/1200</f>
        <v>272.91250000000002</v>
      </c>
      <c r="K231" s="423" t="s">
        <v>844</v>
      </c>
      <c r="L231" s="435" t="s">
        <v>845</v>
      </c>
      <c r="M231" s="436"/>
      <c r="N231" s="437"/>
      <c r="O231" s="438"/>
      <c r="P231" s="421"/>
    </row>
    <row r="232" spans="2:16" s="439" customFormat="1" ht="15.75" thickBot="1">
      <c r="B232" s="440">
        <v>3416005720</v>
      </c>
      <c r="C232" s="441" t="s">
        <v>846</v>
      </c>
      <c r="D232" s="442" t="s">
        <v>847</v>
      </c>
      <c r="E232" s="443"/>
      <c r="F232" s="444"/>
      <c r="G232" s="445"/>
      <c r="H232" s="446"/>
      <c r="I232" s="447"/>
      <c r="J232" s="448"/>
      <c r="K232" s="446"/>
      <c r="L232" s="449"/>
      <c r="M232" s="450"/>
      <c r="N232" s="451"/>
      <c r="O232" s="452"/>
      <c r="P232" s="453"/>
    </row>
    <row r="233" spans="2:16" s="383" customFormat="1" ht="15.75" thickBot="1">
      <c r="B233" s="569">
        <v>3416005711</v>
      </c>
      <c r="C233" s="567" t="s">
        <v>848</v>
      </c>
      <c r="D233" s="568" t="s">
        <v>62</v>
      </c>
      <c r="E233" s="432"/>
      <c r="F233" s="422">
        <f>(G233+J233)/2</f>
        <v>232.70500000000001</v>
      </c>
      <c r="G233" s="418">
        <v>192.5</v>
      </c>
      <c r="H233" s="423" t="s">
        <v>840</v>
      </c>
      <c r="I233" s="238" t="s">
        <v>843</v>
      </c>
      <c r="J233" s="434">
        <v>272.91000000000003</v>
      </c>
      <c r="K233" s="423" t="s">
        <v>844</v>
      </c>
      <c r="L233" s="435" t="s">
        <v>845</v>
      </c>
      <c r="M233" s="434"/>
      <c r="N233" s="423"/>
      <c r="O233" s="435"/>
      <c r="P233" s="421"/>
    </row>
    <row r="234" spans="2:16" s="383" customFormat="1" ht="15">
      <c r="B234" s="566">
        <v>341600577</v>
      </c>
      <c r="C234" s="567" t="s">
        <v>849</v>
      </c>
      <c r="D234" s="568" t="s">
        <v>62</v>
      </c>
      <c r="E234" s="432"/>
      <c r="F234" s="433">
        <f>(G234+J234)/2</f>
        <v>346.41499999999996</v>
      </c>
      <c r="G234" s="418">
        <v>283.7</v>
      </c>
      <c r="H234" s="423" t="s">
        <v>840</v>
      </c>
      <c r="I234" s="238" t="s">
        <v>850</v>
      </c>
      <c r="J234" s="434">
        <f>490956/1200</f>
        <v>409.13</v>
      </c>
      <c r="K234" s="423" t="s">
        <v>844</v>
      </c>
      <c r="L234" s="435" t="s">
        <v>851</v>
      </c>
      <c r="M234" s="436"/>
      <c r="N234" s="437"/>
      <c r="O234" s="438"/>
      <c r="P234" s="421"/>
    </row>
    <row r="235" spans="2:16" s="383" customFormat="1" ht="15">
      <c r="B235" s="570">
        <v>341600573</v>
      </c>
      <c r="C235" s="571" t="s">
        <v>852</v>
      </c>
      <c r="D235" s="572" t="s">
        <v>62</v>
      </c>
      <c r="E235" s="432"/>
      <c r="F235" s="433">
        <f>(G235+J235)/2</f>
        <v>133.30000000000001</v>
      </c>
      <c r="G235" s="418">
        <v>91.6</v>
      </c>
      <c r="H235" s="423" t="s">
        <v>853</v>
      </c>
      <c r="I235" s="238" t="s">
        <v>854</v>
      </c>
      <c r="J235" s="434">
        <v>175</v>
      </c>
      <c r="K235" s="423"/>
      <c r="L235" s="435" t="s">
        <v>855</v>
      </c>
      <c r="M235" s="436"/>
      <c r="N235" s="437"/>
      <c r="O235" s="438"/>
      <c r="P235" s="421"/>
    </row>
    <row r="236" spans="2:16" s="308" customFormat="1" ht="15">
      <c r="B236" s="655">
        <v>32040004</v>
      </c>
      <c r="C236" s="573" t="s">
        <v>939</v>
      </c>
      <c r="D236" s="574" t="s">
        <v>62</v>
      </c>
      <c r="E236" s="15"/>
      <c r="F236" s="327">
        <f>+(G236+J236)/2</f>
        <v>497.97</v>
      </c>
      <c r="G236" s="319">
        <v>481</v>
      </c>
      <c r="H236" s="320" t="s">
        <v>509</v>
      </c>
      <c r="I236" s="332" t="s">
        <v>508</v>
      </c>
      <c r="J236" s="319">
        <v>514.94000000000005</v>
      </c>
      <c r="K236" s="320" t="s">
        <v>509</v>
      </c>
      <c r="L236" s="333" t="s">
        <v>507</v>
      </c>
      <c r="N236" s="334"/>
      <c r="O236" s="333"/>
      <c r="P236" s="333"/>
    </row>
    <row r="237" spans="2:16" s="308" customFormat="1" ht="15.75" thickBot="1">
      <c r="B237" s="656"/>
      <c r="C237" s="573" t="s">
        <v>510</v>
      </c>
      <c r="D237" s="574"/>
      <c r="E237" s="15"/>
      <c r="F237" s="327">
        <f>+(G237+J237)/2</f>
        <v>1070.5</v>
      </c>
      <c r="G237" s="319">
        <v>481</v>
      </c>
      <c r="H237" s="320" t="s">
        <v>509</v>
      </c>
      <c r="I237" s="332" t="s">
        <v>508</v>
      </c>
      <c r="J237" s="319">
        <f>8300/5</f>
        <v>1660</v>
      </c>
      <c r="L237" s="333" t="s">
        <v>511</v>
      </c>
      <c r="M237" s="334"/>
      <c r="N237" s="334"/>
      <c r="O237" s="333"/>
      <c r="P237" s="333"/>
    </row>
    <row r="238" spans="2:16" s="383" customFormat="1" ht="15.75" thickBot="1">
      <c r="B238" s="566">
        <v>341600534</v>
      </c>
      <c r="C238" s="575" t="s">
        <v>856</v>
      </c>
      <c r="D238" s="576" t="s">
        <v>62</v>
      </c>
      <c r="E238" s="432"/>
      <c r="F238" s="422">
        <f>+G238</f>
        <v>592</v>
      </c>
      <c r="G238" s="418">
        <v>592</v>
      </c>
      <c r="H238" s="423"/>
      <c r="I238" s="238" t="s">
        <v>857</v>
      </c>
      <c r="J238" s="434"/>
      <c r="K238" s="423"/>
      <c r="L238" s="435"/>
      <c r="M238" s="436"/>
      <c r="N238" s="437"/>
      <c r="O238" s="438"/>
      <c r="P238" s="421"/>
    </row>
    <row r="239" spans="2:16" s="383" customFormat="1" ht="15.75" thickBot="1">
      <c r="B239" s="570">
        <v>341600531</v>
      </c>
      <c r="C239" s="567" t="s">
        <v>858</v>
      </c>
      <c r="D239" s="568" t="s">
        <v>62</v>
      </c>
      <c r="E239" s="432"/>
      <c r="F239" s="422">
        <f>+G239</f>
        <v>592</v>
      </c>
      <c r="G239" s="418">
        <v>592</v>
      </c>
      <c r="H239" s="423"/>
      <c r="I239" s="238" t="s">
        <v>857</v>
      </c>
      <c r="J239" s="434"/>
      <c r="K239" s="423"/>
      <c r="L239" s="435"/>
      <c r="M239" s="436"/>
      <c r="N239" s="437"/>
      <c r="O239" s="438"/>
      <c r="P239" s="421"/>
    </row>
    <row r="240" spans="2:16" s="383" customFormat="1" ht="15.75" thickBot="1">
      <c r="B240" s="566">
        <v>341600077</v>
      </c>
      <c r="C240" s="567" t="s">
        <v>859</v>
      </c>
      <c r="D240" s="568" t="s">
        <v>62</v>
      </c>
      <c r="E240" s="432"/>
      <c r="F240" s="422">
        <f t="shared" ref="F240:F241" si="19">+(G240+J240)/2</f>
        <v>3148.5</v>
      </c>
      <c r="G240" s="418">
        <v>298</v>
      </c>
      <c r="H240" s="423"/>
      <c r="I240" s="238" t="s">
        <v>860</v>
      </c>
      <c r="J240" s="434">
        <v>5999</v>
      </c>
      <c r="K240" s="423" t="s">
        <v>861</v>
      </c>
      <c r="L240" s="435" t="s">
        <v>954</v>
      </c>
      <c r="M240" s="436"/>
      <c r="N240" s="437"/>
      <c r="O240" s="438"/>
      <c r="P240" s="421"/>
    </row>
    <row r="241" spans="1:16" s="383" customFormat="1" ht="15.75" thickBot="1">
      <c r="B241" s="570">
        <v>341600078</v>
      </c>
      <c r="C241" s="567" t="s">
        <v>862</v>
      </c>
      <c r="D241" s="568" t="s">
        <v>62</v>
      </c>
      <c r="E241" s="432"/>
      <c r="F241" s="422">
        <f t="shared" si="19"/>
        <v>3148.5</v>
      </c>
      <c r="G241" s="418">
        <v>298</v>
      </c>
      <c r="H241" s="423"/>
      <c r="I241" s="487" t="s">
        <v>860</v>
      </c>
      <c r="J241" s="434">
        <v>5999</v>
      </c>
      <c r="K241" s="423" t="s">
        <v>861</v>
      </c>
      <c r="L241" s="435" t="s">
        <v>954</v>
      </c>
      <c r="M241" s="436"/>
      <c r="N241" s="437"/>
      <c r="O241" s="438"/>
      <c r="P241" s="421"/>
    </row>
    <row r="242" spans="1:16" s="383" customFormat="1" ht="15.75" thickBot="1">
      <c r="B242" s="569">
        <v>341700126</v>
      </c>
      <c r="C242" s="567" t="s">
        <v>863</v>
      </c>
      <c r="D242" s="568" t="s">
        <v>62</v>
      </c>
      <c r="E242" s="432"/>
      <c r="F242" s="422">
        <f>+(G242+J242+M242)/3</f>
        <v>603.23333333333335</v>
      </c>
      <c r="G242" s="418">
        <f>306845/350</f>
        <v>876.7</v>
      </c>
      <c r="H242" s="423" t="s">
        <v>844</v>
      </c>
      <c r="I242" s="238" t="s">
        <v>864</v>
      </c>
      <c r="J242" s="434">
        <v>370</v>
      </c>
      <c r="K242" s="423" t="s">
        <v>36</v>
      </c>
      <c r="L242" s="435" t="s">
        <v>865</v>
      </c>
      <c r="M242" s="434">
        <v>563</v>
      </c>
      <c r="N242" s="423"/>
      <c r="O242" s="435" t="s">
        <v>866</v>
      </c>
      <c r="P242" s="421"/>
    </row>
    <row r="243" spans="1:16" ht="15.75" thickBot="1">
      <c r="B243" s="311"/>
      <c r="C243" s="607" t="s">
        <v>366</v>
      </c>
      <c r="D243" s="608"/>
      <c r="E243" s="15"/>
      <c r="F243" s="210"/>
      <c r="G243" s="610"/>
      <c r="H243" s="610"/>
      <c r="I243" s="610"/>
      <c r="J243" s="610"/>
      <c r="K243" s="610"/>
      <c r="L243" s="610"/>
      <c r="M243" s="610"/>
      <c r="N243" s="610"/>
      <c r="O243" s="610"/>
      <c r="P243" s="610"/>
    </row>
    <row r="244" spans="1:16" ht="15.75" thickBot="1">
      <c r="A244" t="s">
        <v>367</v>
      </c>
      <c r="B244" s="632">
        <v>32060005</v>
      </c>
      <c r="C244" s="492" t="s">
        <v>368</v>
      </c>
      <c r="D244" s="577" t="s">
        <v>56</v>
      </c>
      <c r="E244" s="15"/>
      <c r="F244" s="18">
        <f t="shared" ref="F244:F248" si="20">((G244+J244)/2)</f>
        <v>2647.5</v>
      </c>
      <c r="G244" s="50">
        <v>2600</v>
      </c>
      <c r="H244" s="261" t="s">
        <v>57</v>
      </c>
      <c r="I244" s="238" t="s">
        <v>369</v>
      </c>
      <c r="J244" s="52">
        <v>2695</v>
      </c>
      <c r="K244" s="261" t="s">
        <v>57</v>
      </c>
      <c r="L244" s="130" t="s">
        <v>370</v>
      </c>
      <c r="M244" s="55"/>
      <c r="N244" s="55"/>
      <c r="O244" s="56"/>
      <c r="P244" s="77" t="s">
        <v>371</v>
      </c>
    </row>
    <row r="245" spans="1:16" ht="15.75" thickBot="1">
      <c r="A245" t="s">
        <v>372</v>
      </c>
      <c r="B245" s="630"/>
      <c r="C245" s="492" t="s">
        <v>373</v>
      </c>
      <c r="D245" s="577" t="s">
        <v>56</v>
      </c>
      <c r="E245" s="15"/>
      <c r="F245" s="42">
        <f t="shared" si="20"/>
        <v>3282.5</v>
      </c>
      <c r="G245" s="80">
        <v>3605</v>
      </c>
      <c r="H245" s="260" t="s">
        <v>57</v>
      </c>
      <c r="I245" s="238" t="s">
        <v>374</v>
      </c>
      <c r="J245" s="83">
        <v>2960</v>
      </c>
      <c r="K245" s="260" t="s">
        <v>57</v>
      </c>
      <c r="L245" s="134" t="s">
        <v>375</v>
      </c>
      <c r="M245" s="25"/>
      <c r="N245" s="25"/>
      <c r="O245" s="98"/>
      <c r="P245" s="77" t="s">
        <v>376</v>
      </c>
    </row>
    <row r="246" spans="1:16" ht="16.5" thickBot="1">
      <c r="A246" t="s">
        <v>377</v>
      </c>
      <c r="B246" s="631"/>
      <c r="C246" s="492" t="s">
        <v>378</v>
      </c>
      <c r="D246" s="577" t="s">
        <v>56</v>
      </c>
      <c r="E246" s="230"/>
      <c r="F246" s="42">
        <f>+G246</f>
        <v>4726</v>
      </c>
      <c r="G246" s="80">
        <v>4726</v>
      </c>
      <c r="H246" s="260" t="s">
        <v>57</v>
      </c>
      <c r="I246" s="238" t="s">
        <v>379</v>
      </c>
      <c r="J246" s="285"/>
      <c r="K246" s="260"/>
      <c r="L246" s="134"/>
      <c r="M246" s="25"/>
      <c r="N246" s="25"/>
      <c r="O246" s="98"/>
      <c r="P246" s="77" t="s">
        <v>380</v>
      </c>
    </row>
    <row r="247" spans="1:16" ht="16.5" thickBot="1">
      <c r="A247" t="s">
        <v>381</v>
      </c>
      <c r="B247" s="632">
        <v>32020004</v>
      </c>
      <c r="C247" s="492" t="s">
        <v>382</v>
      </c>
      <c r="D247" s="577" t="s">
        <v>138</v>
      </c>
      <c r="E247" s="230"/>
      <c r="F247" s="42">
        <f t="shared" si="20"/>
        <v>323.5</v>
      </c>
      <c r="G247" s="80">
        <v>315</v>
      </c>
      <c r="H247" s="270" t="s">
        <v>383</v>
      </c>
      <c r="I247" s="238" t="s">
        <v>384</v>
      </c>
      <c r="J247" s="83">
        <v>332</v>
      </c>
      <c r="K247" s="260" t="s">
        <v>385</v>
      </c>
      <c r="L247" s="141" t="s">
        <v>386</v>
      </c>
      <c r="M247" s="111"/>
      <c r="N247" s="111"/>
      <c r="O247" s="140"/>
      <c r="P247" s="231"/>
    </row>
    <row r="248" spans="1:16" ht="15.75" thickBot="1">
      <c r="A248" t="s">
        <v>387</v>
      </c>
      <c r="B248" s="651"/>
      <c r="C248" s="578" t="s">
        <v>388</v>
      </c>
      <c r="D248" s="579" t="s">
        <v>138</v>
      </c>
      <c r="E248" s="15"/>
      <c r="F248" s="42">
        <f t="shared" si="20"/>
        <v>438.5</v>
      </c>
      <c r="G248" s="232">
        <v>425</v>
      </c>
      <c r="H248" s="271" t="s">
        <v>383</v>
      </c>
      <c r="I248" s="238" t="s">
        <v>389</v>
      </c>
      <c r="J248" s="233">
        <v>452</v>
      </c>
      <c r="K248" s="272" t="s">
        <v>385</v>
      </c>
      <c r="L248" s="234" t="s">
        <v>390</v>
      </c>
      <c r="M248" s="235"/>
      <c r="N248" s="235"/>
      <c r="O248" s="236"/>
      <c r="P248" s="237"/>
    </row>
    <row r="249" spans="1:16" ht="15">
      <c r="B249" s="4"/>
    </row>
    <row r="250" spans="1:16" ht="15" thickBot="1">
      <c r="B250" s="308"/>
    </row>
    <row r="251" spans="1:16" s="383" customFormat="1" ht="15.75" thickBot="1">
      <c r="B251" s="569">
        <v>32070012</v>
      </c>
      <c r="C251" s="567" t="s">
        <v>586</v>
      </c>
      <c r="D251" s="568"/>
      <c r="E251" s="432"/>
      <c r="F251" s="422">
        <f t="shared" ref="F251:F258" si="21">+(G251+J251)/2</f>
        <v>3300</v>
      </c>
      <c r="G251" s="418">
        <v>4200</v>
      </c>
      <c r="H251" s="423"/>
      <c r="I251" s="332" t="s">
        <v>587</v>
      </c>
      <c r="J251" s="233">
        <v>2400</v>
      </c>
      <c r="K251" s="423"/>
      <c r="L251" s="435" t="s">
        <v>588</v>
      </c>
      <c r="M251" s="434"/>
      <c r="N251" s="423"/>
      <c r="O251" s="435"/>
      <c r="P251" s="421"/>
    </row>
    <row r="252" spans="1:16" s="383" customFormat="1" ht="15.75" thickBot="1">
      <c r="B252" s="569">
        <v>32090003</v>
      </c>
      <c r="C252" s="567" t="s">
        <v>589</v>
      </c>
      <c r="D252" s="568"/>
      <c r="E252" s="432"/>
      <c r="F252" s="422">
        <f t="shared" si="21"/>
        <v>10342.5</v>
      </c>
      <c r="G252" s="418">
        <v>10655</v>
      </c>
      <c r="H252" s="423"/>
      <c r="I252" s="332" t="s">
        <v>590</v>
      </c>
      <c r="J252" s="233">
        <v>10030</v>
      </c>
      <c r="K252" s="423"/>
      <c r="L252" s="435" t="s">
        <v>591</v>
      </c>
      <c r="M252" s="434"/>
      <c r="N252" s="423"/>
      <c r="O252" s="435"/>
      <c r="P252" s="421"/>
    </row>
    <row r="253" spans="1:16" s="383" customFormat="1" ht="15.75" thickBot="1">
      <c r="B253" s="569">
        <v>32090012</v>
      </c>
      <c r="C253" s="567" t="s">
        <v>600</v>
      </c>
      <c r="D253" s="568"/>
      <c r="E253" s="432"/>
      <c r="F253" s="422">
        <f t="shared" si="21"/>
        <v>25810.5</v>
      </c>
      <c r="G253" s="418">
        <v>24592</v>
      </c>
      <c r="H253" s="423" t="s">
        <v>602</v>
      </c>
      <c r="I253" s="332" t="s">
        <v>601</v>
      </c>
      <c r="J253" s="233">
        <v>27029</v>
      </c>
      <c r="K253" s="423" t="s">
        <v>604</v>
      </c>
      <c r="L253" s="435" t="s">
        <v>603</v>
      </c>
      <c r="M253" s="434"/>
      <c r="N253" s="423"/>
      <c r="O253" s="435"/>
      <c r="P253" s="421"/>
    </row>
    <row r="254" spans="1:16" s="383" customFormat="1" ht="15.75" thickBot="1">
      <c r="B254" s="569">
        <v>32090012</v>
      </c>
      <c r="C254" s="567" t="s">
        <v>605</v>
      </c>
      <c r="D254" s="568"/>
      <c r="E254" s="432"/>
      <c r="F254" s="422">
        <f t="shared" si="21"/>
        <v>25810.5</v>
      </c>
      <c r="G254" s="418">
        <v>24592</v>
      </c>
      <c r="H254" s="423" t="s">
        <v>602</v>
      </c>
      <c r="I254" s="332" t="s">
        <v>601</v>
      </c>
      <c r="J254" s="233">
        <v>27029</v>
      </c>
      <c r="K254" s="423" t="s">
        <v>604</v>
      </c>
      <c r="L254" s="435" t="s">
        <v>603</v>
      </c>
      <c r="M254" s="434"/>
      <c r="N254" s="423"/>
      <c r="O254" s="435"/>
      <c r="P254" s="421"/>
    </row>
    <row r="255" spans="1:16" s="383" customFormat="1" ht="15.75" thickBot="1">
      <c r="B255" s="569">
        <v>32090016</v>
      </c>
      <c r="C255" s="567" t="s">
        <v>606</v>
      </c>
      <c r="D255" s="568"/>
      <c r="E255" s="432"/>
      <c r="F255" s="422">
        <f t="shared" si="21"/>
        <v>69749</v>
      </c>
      <c r="G255" s="418">
        <v>86399</v>
      </c>
      <c r="H255" s="423" t="s">
        <v>608</v>
      </c>
      <c r="I255" s="332" t="s">
        <v>607</v>
      </c>
      <c r="J255" s="233">
        <v>53099</v>
      </c>
      <c r="K255" s="423" t="s">
        <v>610</v>
      </c>
      <c r="L255" s="435" t="s">
        <v>609</v>
      </c>
      <c r="M255" s="434"/>
      <c r="N255" s="423"/>
      <c r="O255" s="435"/>
      <c r="P255" s="421"/>
    </row>
    <row r="256" spans="1:16" s="383" customFormat="1" ht="15.75" thickBot="1">
      <c r="B256" s="569">
        <v>32100002</v>
      </c>
      <c r="C256" s="567" t="s">
        <v>624</v>
      </c>
      <c r="D256" s="568"/>
      <c r="E256" s="432"/>
      <c r="F256" s="422">
        <f t="shared" si="21"/>
        <v>5347.5</v>
      </c>
      <c r="G256" s="418">
        <v>4500</v>
      </c>
      <c r="H256" s="423"/>
      <c r="I256" s="332" t="s">
        <v>625</v>
      </c>
      <c r="J256" s="233">
        <v>6195</v>
      </c>
      <c r="K256" s="423"/>
      <c r="L256" s="435" t="s">
        <v>955</v>
      </c>
      <c r="M256" s="434"/>
      <c r="N256" s="423"/>
      <c r="O256" s="435"/>
      <c r="P256" s="421"/>
    </row>
    <row r="257" spans="2:16" s="383" customFormat="1" ht="15.75" thickBot="1">
      <c r="B257" s="569">
        <v>32100003</v>
      </c>
      <c r="C257" s="567" t="s">
        <v>626</v>
      </c>
      <c r="D257" s="568"/>
      <c r="E257" s="432"/>
      <c r="F257" s="422">
        <f t="shared" si="21"/>
        <v>7701.5</v>
      </c>
      <c r="G257" s="418">
        <v>6404</v>
      </c>
      <c r="H257" s="423" t="s">
        <v>628</v>
      </c>
      <c r="I257" s="332" t="s">
        <v>627</v>
      </c>
      <c r="J257" s="233">
        <v>8999</v>
      </c>
      <c r="K257" s="423" t="s">
        <v>628</v>
      </c>
      <c r="L257" s="435" t="s">
        <v>629</v>
      </c>
      <c r="M257" s="434"/>
      <c r="N257" s="423"/>
      <c r="O257" s="435"/>
      <c r="P257" s="421"/>
    </row>
    <row r="258" spans="2:16" ht="15.75" thickBot="1">
      <c r="B258" s="569">
        <v>32100004</v>
      </c>
      <c r="C258" s="567" t="s">
        <v>630</v>
      </c>
      <c r="D258" s="568"/>
      <c r="F258" s="591">
        <f t="shared" si="21"/>
        <v>8499.5</v>
      </c>
      <c r="G258" s="590">
        <v>9000</v>
      </c>
      <c r="H258" s="271"/>
      <c r="I258" s="589" t="s">
        <v>956</v>
      </c>
      <c r="J258" s="34">
        <v>7999</v>
      </c>
      <c r="L258" s="589" t="s">
        <v>957</v>
      </c>
    </row>
    <row r="259" spans="2:16" s="383" customFormat="1" ht="15.75" thickBot="1">
      <c r="B259" s="454">
        <v>32110002</v>
      </c>
      <c r="C259" s="430" t="s">
        <v>631</v>
      </c>
      <c r="D259" s="431"/>
      <c r="E259" s="432"/>
      <c r="F259" s="422">
        <f>+G259</f>
        <v>501</v>
      </c>
      <c r="G259" s="418">
        <v>501</v>
      </c>
      <c r="H259" s="423"/>
      <c r="I259" s="332" t="s">
        <v>632</v>
      </c>
      <c r="J259" s="434"/>
      <c r="K259" s="423"/>
      <c r="L259" s="435"/>
      <c r="M259" s="434"/>
      <c r="N259" s="423"/>
      <c r="O259" s="435"/>
      <c r="P259" s="421"/>
    </row>
    <row r="260" spans="2:16" s="383" customFormat="1" ht="15.75" thickBot="1">
      <c r="B260" s="580">
        <v>32110002</v>
      </c>
      <c r="C260" s="581" t="s">
        <v>633</v>
      </c>
      <c r="D260" s="582"/>
      <c r="H260" s="271"/>
    </row>
    <row r="261" spans="2:16" s="383" customFormat="1" ht="15.75" thickBot="1">
      <c r="B261" s="569">
        <v>32120011</v>
      </c>
      <c r="C261" s="567" t="s">
        <v>670</v>
      </c>
      <c r="D261" s="568"/>
      <c r="E261" s="432"/>
      <c r="F261" s="422">
        <f t="shared" ref="F261:F270" si="22">(G261+J261)/2</f>
        <v>3780</v>
      </c>
      <c r="G261" s="418">
        <v>3030</v>
      </c>
      <c r="H261" s="423"/>
      <c r="I261" s="332" t="s">
        <v>671</v>
      </c>
      <c r="J261" s="434">
        <v>4530</v>
      </c>
      <c r="K261" s="423"/>
      <c r="L261" s="435" t="s">
        <v>672</v>
      </c>
      <c r="M261" s="434"/>
      <c r="N261" s="423"/>
      <c r="O261" s="435"/>
      <c r="P261" s="421"/>
    </row>
    <row r="262" spans="2:16" s="383" customFormat="1" ht="15.75" thickBot="1">
      <c r="B262" s="569" t="s">
        <v>674</v>
      </c>
      <c r="C262" s="567" t="s">
        <v>673</v>
      </c>
      <c r="D262" s="568"/>
      <c r="E262" s="432"/>
      <c r="F262" s="422">
        <f t="shared" si="22"/>
        <v>2641.4349999999999</v>
      </c>
      <c r="G262" s="418">
        <v>3003.87</v>
      </c>
      <c r="H262" s="423"/>
      <c r="I262" s="332" t="s">
        <v>675</v>
      </c>
      <c r="J262" s="434">
        <v>2279</v>
      </c>
      <c r="K262" s="423"/>
      <c r="L262" s="435" t="s">
        <v>676</v>
      </c>
      <c r="M262" s="434"/>
      <c r="N262" s="423"/>
      <c r="O262" s="435"/>
      <c r="P262" s="421"/>
    </row>
    <row r="263" spans="2:16" s="383" customFormat="1" ht="15.75" thickBot="1">
      <c r="B263" s="569">
        <v>32120012</v>
      </c>
      <c r="C263" s="567" t="s">
        <v>677</v>
      </c>
      <c r="D263" s="568"/>
      <c r="E263" s="432"/>
      <c r="F263" s="422">
        <f t="shared" si="22"/>
        <v>770.5</v>
      </c>
      <c r="G263" s="418">
        <v>850</v>
      </c>
      <c r="H263" s="423" t="s">
        <v>602</v>
      </c>
      <c r="I263" s="332" t="s">
        <v>678</v>
      </c>
      <c r="J263" s="434">
        <v>691</v>
      </c>
      <c r="K263" s="423" t="s">
        <v>680</v>
      </c>
      <c r="L263" s="435" t="s">
        <v>679</v>
      </c>
      <c r="M263" s="434"/>
      <c r="N263" s="423"/>
      <c r="O263" s="435"/>
      <c r="P263" s="421"/>
    </row>
    <row r="264" spans="2:16" s="383" customFormat="1" ht="15.75" thickBot="1">
      <c r="B264" s="569">
        <v>32120012</v>
      </c>
      <c r="C264" s="567" t="s">
        <v>681</v>
      </c>
      <c r="D264" s="568"/>
      <c r="E264" s="432"/>
      <c r="F264" s="422">
        <f t="shared" si="22"/>
        <v>770.5</v>
      </c>
      <c r="G264" s="418">
        <v>850</v>
      </c>
      <c r="H264" s="423" t="s">
        <v>602</v>
      </c>
      <c r="I264" s="332" t="s">
        <v>678</v>
      </c>
      <c r="J264" s="434">
        <v>691</v>
      </c>
      <c r="K264" s="423" t="s">
        <v>680</v>
      </c>
      <c r="L264" s="435" t="s">
        <v>679</v>
      </c>
      <c r="M264" s="434"/>
      <c r="N264" s="423"/>
      <c r="O264" s="435"/>
      <c r="P264" s="421"/>
    </row>
    <row r="265" spans="2:16" s="383" customFormat="1" ht="15.75" thickBot="1">
      <c r="B265" s="569">
        <v>32120012</v>
      </c>
      <c r="C265" s="567" t="s">
        <v>682</v>
      </c>
      <c r="D265" s="568"/>
      <c r="E265" s="432"/>
      <c r="F265" s="422">
        <f t="shared" si="22"/>
        <v>770.5</v>
      </c>
      <c r="G265" s="418">
        <v>850</v>
      </c>
      <c r="H265" s="423" t="s">
        <v>602</v>
      </c>
      <c r="I265" s="332" t="s">
        <v>678</v>
      </c>
      <c r="J265" s="434">
        <v>691</v>
      </c>
      <c r="K265" s="423" t="s">
        <v>680</v>
      </c>
      <c r="L265" s="435" t="s">
        <v>679</v>
      </c>
      <c r="M265" s="434"/>
      <c r="N265" s="423"/>
      <c r="O265" s="435"/>
      <c r="P265" s="421"/>
    </row>
    <row r="266" spans="2:16" s="383" customFormat="1" ht="15.75" thickBot="1">
      <c r="B266" s="569">
        <v>32120012</v>
      </c>
      <c r="C266" s="567" t="s">
        <v>683</v>
      </c>
      <c r="D266" s="568"/>
      <c r="E266" s="432"/>
      <c r="F266" s="422">
        <f t="shared" si="22"/>
        <v>770.5</v>
      </c>
      <c r="G266" s="418">
        <v>850</v>
      </c>
      <c r="H266" s="423" t="s">
        <v>602</v>
      </c>
      <c r="I266" s="332" t="s">
        <v>678</v>
      </c>
      <c r="J266" s="434">
        <v>691</v>
      </c>
      <c r="K266" s="423" t="s">
        <v>680</v>
      </c>
      <c r="L266" s="435" t="s">
        <v>679</v>
      </c>
      <c r="M266" s="434"/>
      <c r="N266" s="423"/>
      <c r="O266" s="435"/>
      <c r="P266" s="421"/>
    </row>
    <row r="267" spans="2:16" s="383" customFormat="1" ht="15.75" thickBot="1">
      <c r="B267" s="569">
        <v>32120012</v>
      </c>
      <c r="C267" s="567" t="s">
        <v>684</v>
      </c>
      <c r="D267" s="568"/>
      <c r="E267" s="432"/>
      <c r="F267" s="422">
        <f t="shared" si="22"/>
        <v>770.5</v>
      </c>
      <c r="G267" s="418">
        <v>850</v>
      </c>
      <c r="H267" s="423" t="s">
        <v>602</v>
      </c>
      <c r="I267" s="332" t="s">
        <v>678</v>
      </c>
      <c r="J267" s="434">
        <v>691</v>
      </c>
      <c r="K267" s="423" t="s">
        <v>680</v>
      </c>
      <c r="L267" s="435" t="s">
        <v>679</v>
      </c>
      <c r="M267" s="434"/>
      <c r="N267" s="423"/>
      <c r="O267" s="435"/>
      <c r="P267" s="421"/>
    </row>
    <row r="268" spans="2:16" s="383" customFormat="1" ht="15.75" thickBot="1">
      <c r="B268" s="569">
        <v>32120012</v>
      </c>
      <c r="C268" s="567" t="s">
        <v>685</v>
      </c>
      <c r="D268" s="568"/>
      <c r="E268" s="432"/>
      <c r="F268" s="422">
        <f t="shared" si="22"/>
        <v>770.5</v>
      </c>
      <c r="G268" s="418">
        <v>850</v>
      </c>
      <c r="H268" s="423" t="s">
        <v>602</v>
      </c>
      <c r="I268" s="332" t="s">
        <v>678</v>
      </c>
      <c r="J268" s="434">
        <v>691</v>
      </c>
      <c r="K268" s="423" t="s">
        <v>680</v>
      </c>
      <c r="L268" s="435" t="s">
        <v>679</v>
      </c>
      <c r="M268" s="434"/>
      <c r="N268" s="423"/>
      <c r="O268" s="435"/>
      <c r="P268" s="421"/>
    </row>
    <row r="269" spans="2:16" s="383" customFormat="1" ht="15.75" thickBot="1">
      <c r="B269" s="569">
        <v>32120013</v>
      </c>
      <c r="C269" s="567" t="s">
        <v>686</v>
      </c>
      <c r="D269" s="568"/>
      <c r="E269" s="432"/>
      <c r="F269" s="422">
        <f t="shared" si="22"/>
        <v>9214.5</v>
      </c>
      <c r="G269" s="418">
        <v>6707</v>
      </c>
      <c r="H269" s="423" t="s">
        <v>176</v>
      </c>
      <c r="I269" s="332" t="s">
        <v>687</v>
      </c>
      <c r="J269" s="434">
        <v>11722</v>
      </c>
      <c r="K269" s="423" t="s">
        <v>680</v>
      </c>
      <c r="L269" s="435" t="s">
        <v>688</v>
      </c>
      <c r="M269" s="434"/>
      <c r="N269" s="423"/>
      <c r="O269" s="435"/>
      <c r="P269" s="421"/>
    </row>
    <row r="270" spans="2:16" s="383" customFormat="1" ht="15.75" thickBot="1">
      <c r="B270" s="569"/>
      <c r="C270" s="567" t="s">
        <v>689</v>
      </c>
      <c r="D270" s="568"/>
      <c r="E270" s="432"/>
      <c r="F270" s="422">
        <f t="shared" si="22"/>
        <v>9214.5</v>
      </c>
      <c r="G270" s="418">
        <v>6707</v>
      </c>
      <c r="H270" s="423" t="s">
        <v>176</v>
      </c>
      <c r="I270" s="332" t="s">
        <v>687</v>
      </c>
      <c r="J270" s="434">
        <v>11722</v>
      </c>
      <c r="K270" s="423" t="s">
        <v>680</v>
      </c>
      <c r="L270" s="435" t="s">
        <v>688</v>
      </c>
      <c r="M270" s="434"/>
      <c r="N270" s="423"/>
      <c r="O270" s="435"/>
      <c r="P270" s="421"/>
    </row>
    <row r="271" spans="2:16" s="383" customFormat="1" ht="15.75" thickBot="1">
      <c r="B271" s="569"/>
      <c r="C271" s="567" t="s">
        <v>690</v>
      </c>
      <c r="D271" s="568"/>
      <c r="E271" s="432"/>
      <c r="F271" s="422">
        <f>(G271+J271+M271)/3</f>
        <v>19241.666666666668</v>
      </c>
      <c r="G271" s="418">
        <v>6707</v>
      </c>
      <c r="H271" s="423" t="s">
        <v>176</v>
      </c>
      <c r="I271" s="332" t="s">
        <v>687</v>
      </c>
      <c r="J271" s="434">
        <v>11722</v>
      </c>
      <c r="K271" s="423" t="s">
        <v>680</v>
      </c>
      <c r="L271" s="435" t="s">
        <v>688</v>
      </c>
      <c r="M271" s="434">
        <v>39296</v>
      </c>
      <c r="N271" s="423" t="s">
        <v>692</v>
      </c>
      <c r="O271" s="435" t="s">
        <v>691</v>
      </c>
      <c r="P271" s="421"/>
    </row>
    <row r="272" spans="2:16" s="383" customFormat="1" ht="15.75" thickBot="1">
      <c r="B272" s="569"/>
      <c r="C272" s="567" t="s">
        <v>940</v>
      </c>
      <c r="D272" s="568"/>
      <c r="E272" s="432"/>
      <c r="F272" s="422">
        <f>(G272+J272+M272)/3</f>
        <v>19241.666666666668</v>
      </c>
      <c r="G272" s="418">
        <v>6707</v>
      </c>
      <c r="H272" s="423" t="s">
        <v>176</v>
      </c>
      <c r="I272" s="332" t="s">
        <v>687</v>
      </c>
      <c r="J272" s="434">
        <v>11722</v>
      </c>
      <c r="K272" s="423" t="s">
        <v>680</v>
      </c>
      <c r="L272" s="435" t="s">
        <v>688</v>
      </c>
      <c r="M272" s="434">
        <v>39296</v>
      </c>
      <c r="N272" s="423" t="s">
        <v>692</v>
      </c>
      <c r="O272" s="435" t="s">
        <v>691</v>
      </c>
      <c r="P272" s="421"/>
    </row>
    <row r="273" spans="2:16" s="383" customFormat="1" ht="15.75" thickBot="1">
      <c r="B273" s="569"/>
      <c r="C273" s="567" t="s">
        <v>693</v>
      </c>
      <c r="D273" s="568"/>
      <c r="E273" s="432"/>
      <c r="F273" s="422">
        <f>(G273+J273+M273)/3</f>
        <v>19241.666666666668</v>
      </c>
      <c r="G273" s="418">
        <v>6707</v>
      </c>
      <c r="H273" s="423" t="s">
        <v>176</v>
      </c>
      <c r="I273" s="332" t="s">
        <v>687</v>
      </c>
      <c r="J273" s="434">
        <v>11722</v>
      </c>
      <c r="K273" s="423" t="s">
        <v>680</v>
      </c>
      <c r="L273" s="435" t="s">
        <v>688</v>
      </c>
      <c r="M273" s="434">
        <v>39296</v>
      </c>
      <c r="N273" s="423" t="s">
        <v>692</v>
      </c>
      <c r="O273" s="435" t="s">
        <v>691</v>
      </c>
      <c r="P273" s="421"/>
    </row>
    <row r="274" spans="2:16" s="383" customFormat="1" ht="15.75" thickBot="1">
      <c r="B274" s="569" t="s">
        <v>695</v>
      </c>
      <c r="C274" s="567" t="s">
        <v>694</v>
      </c>
      <c r="D274" s="583"/>
      <c r="E274" s="486"/>
      <c r="F274" s="422">
        <f>+(G274+J274)/2</f>
        <v>2324</v>
      </c>
      <c r="G274" s="418">
        <v>1751</v>
      </c>
      <c r="H274" s="423" t="s">
        <v>602</v>
      </c>
      <c r="I274" s="332" t="s">
        <v>696</v>
      </c>
      <c r="J274" s="434">
        <v>2897</v>
      </c>
      <c r="K274" s="423" t="s">
        <v>602</v>
      </c>
      <c r="L274" s="435" t="s">
        <v>697</v>
      </c>
      <c r="M274" s="434"/>
      <c r="N274" s="423"/>
      <c r="O274" s="435"/>
      <c r="P274" s="421"/>
    </row>
    <row r="275" spans="2:16" s="383" customFormat="1" ht="15.75" thickBot="1">
      <c r="B275" s="569"/>
      <c r="C275" s="567" t="s">
        <v>701</v>
      </c>
      <c r="D275" s="568"/>
      <c r="E275" s="432"/>
      <c r="F275" s="422">
        <f>+(G275+J275)/2</f>
        <v>15000</v>
      </c>
      <c r="G275" s="418">
        <v>3500</v>
      </c>
      <c r="H275" s="423"/>
      <c r="I275" s="332" t="s">
        <v>702</v>
      </c>
      <c r="J275" s="434">
        <v>26500</v>
      </c>
      <c r="K275" s="423"/>
      <c r="L275" s="435" t="s">
        <v>703</v>
      </c>
      <c r="M275" s="434"/>
      <c r="N275" s="423"/>
      <c r="O275" s="435"/>
      <c r="P275" s="421"/>
    </row>
    <row r="276" spans="2:16" s="383" customFormat="1" ht="15.75" thickBot="1">
      <c r="B276" s="569">
        <v>32120023</v>
      </c>
      <c r="C276" s="567" t="s">
        <v>704</v>
      </c>
      <c r="D276" s="568"/>
      <c r="E276" s="432"/>
      <c r="F276" s="422">
        <f>+(G276+J276)/2</f>
        <v>40940</v>
      </c>
      <c r="G276" s="418">
        <v>39880</v>
      </c>
      <c r="H276" s="423" t="s">
        <v>706</v>
      </c>
      <c r="I276" s="332" t="s">
        <v>705</v>
      </c>
      <c r="J276" s="434">
        <v>42000</v>
      </c>
      <c r="K276" s="423"/>
      <c r="L276" s="435" t="s">
        <v>917</v>
      </c>
      <c r="M276" s="434"/>
      <c r="N276" s="423"/>
      <c r="O276" s="435"/>
      <c r="P276" s="421"/>
    </row>
    <row r="277" spans="2:16" s="383" customFormat="1" ht="15.75" thickBot="1">
      <c r="B277" s="569"/>
      <c r="C277" s="567" t="s">
        <v>710</v>
      </c>
      <c r="D277" s="568"/>
      <c r="E277" s="432"/>
      <c r="F277" s="422">
        <f>+(G277+J277)/2</f>
        <v>3187</v>
      </c>
      <c r="G277" s="418">
        <f>97000/25</f>
        <v>3880</v>
      </c>
      <c r="H277" s="423" t="s">
        <v>708</v>
      </c>
      <c r="I277" s="332" t="s">
        <v>707</v>
      </c>
      <c r="J277" s="434">
        <v>2494</v>
      </c>
      <c r="K277" s="423" t="s">
        <v>602</v>
      </c>
      <c r="L277" s="435" t="s">
        <v>709</v>
      </c>
      <c r="M277" s="434"/>
      <c r="N277" s="423"/>
      <c r="O277" s="435"/>
      <c r="P277" s="421"/>
    </row>
    <row r="278" spans="2:16" s="383" customFormat="1" ht="15.75" thickBot="1">
      <c r="B278" s="569"/>
      <c r="C278" s="567" t="s">
        <v>717</v>
      </c>
      <c r="D278" s="568" t="s">
        <v>189</v>
      </c>
      <c r="E278" s="432"/>
      <c r="F278" s="422">
        <f>+(G278+J278)/2</f>
        <v>10032.5</v>
      </c>
      <c r="G278" s="418">
        <v>5406</v>
      </c>
      <c r="H278" s="423"/>
      <c r="I278" s="332" t="s">
        <v>718</v>
      </c>
      <c r="J278" s="434">
        <v>14659</v>
      </c>
      <c r="K278" s="423"/>
      <c r="L278" s="435" t="s">
        <v>719</v>
      </c>
      <c r="M278" s="434"/>
      <c r="N278" s="423"/>
      <c r="O278" s="435"/>
      <c r="P278" s="421"/>
    </row>
    <row r="279" spans="2:16" s="383" customFormat="1" ht="15.75" thickBot="1">
      <c r="B279" s="569"/>
      <c r="C279" s="567" t="s">
        <v>720</v>
      </c>
      <c r="D279" s="568" t="s">
        <v>189</v>
      </c>
      <c r="E279" s="432"/>
      <c r="F279" s="422">
        <f>+(G279+J279+M279)/2</f>
        <v>414.78999999999996</v>
      </c>
      <c r="G279" s="418">
        <v>405.58</v>
      </c>
      <c r="H279" s="423"/>
      <c r="I279" s="332" t="s">
        <v>721</v>
      </c>
      <c r="J279" s="434">
        <v>424</v>
      </c>
      <c r="K279" s="423" t="s">
        <v>919</v>
      </c>
      <c r="L279" s="435" t="s">
        <v>918</v>
      </c>
      <c r="M279" s="434"/>
      <c r="N279" s="423"/>
      <c r="O279" s="435"/>
      <c r="P279" s="421"/>
    </row>
    <row r="280" spans="2:16" s="383" customFormat="1" ht="15.75" thickBot="1">
      <c r="B280" s="569" t="s">
        <v>734</v>
      </c>
      <c r="C280" s="567" t="s">
        <v>733</v>
      </c>
      <c r="D280" s="568"/>
      <c r="E280" s="432"/>
      <c r="F280" s="422">
        <f>+G280</f>
        <v>113.25</v>
      </c>
      <c r="G280" s="418">
        <v>113.25</v>
      </c>
      <c r="H280" s="423"/>
      <c r="I280" s="332" t="s">
        <v>735</v>
      </c>
      <c r="J280" s="434"/>
      <c r="K280" s="423"/>
      <c r="L280" s="435"/>
      <c r="M280" s="434"/>
      <c r="N280" s="423"/>
      <c r="O280" s="435"/>
      <c r="P280" s="421"/>
    </row>
    <row r="281" spans="2:16" s="383" customFormat="1" ht="15.75" thickBot="1">
      <c r="B281" s="569" t="s">
        <v>737</v>
      </c>
      <c r="C281" s="567" t="s">
        <v>736</v>
      </c>
      <c r="D281" s="568"/>
      <c r="E281" s="432"/>
      <c r="F281" s="422">
        <f>+G281</f>
        <v>319.97000000000003</v>
      </c>
      <c r="G281" s="418">
        <v>319.97000000000003</v>
      </c>
      <c r="H281" s="423" t="s">
        <v>724</v>
      </c>
      <c r="I281" s="332" t="s">
        <v>738</v>
      </c>
      <c r="J281" s="434"/>
      <c r="K281" s="423"/>
      <c r="L281" s="435"/>
      <c r="M281" s="434"/>
      <c r="N281" s="423"/>
      <c r="O281" s="435"/>
      <c r="P281" s="421"/>
    </row>
    <row r="282" spans="2:16" s="383" customFormat="1" ht="15.75" thickBot="1">
      <c r="B282" s="567"/>
      <c r="C282" s="567" t="s">
        <v>739</v>
      </c>
      <c r="D282" s="568"/>
      <c r="E282" s="432"/>
      <c r="F282" s="422">
        <f>+G282</f>
        <v>165.96359999999999</v>
      </c>
      <c r="G282" s="418">
        <f>+((34.29*1.21)*1000)/250</f>
        <v>165.96359999999999</v>
      </c>
      <c r="H282" s="423"/>
      <c r="I282" s="332" t="s">
        <v>740</v>
      </c>
      <c r="J282" s="434"/>
      <c r="K282" s="423"/>
      <c r="L282" s="435"/>
      <c r="M282" s="434"/>
      <c r="N282" s="423"/>
      <c r="O282" s="435"/>
      <c r="P282" s="421"/>
    </row>
    <row r="283" spans="2:16" s="383" customFormat="1" ht="15.75" thickBot="1">
      <c r="B283" s="569">
        <v>32150006</v>
      </c>
      <c r="C283" s="567" t="s">
        <v>741</v>
      </c>
      <c r="D283" s="568" t="s">
        <v>189</v>
      </c>
      <c r="E283" s="432"/>
      <c r="F283" s="422">
        <f t="shared" ref="F283:F289" si="23">+(G283+J283)/2</f>
        <v>39564.5</v>
      </c>
      <c r="G283" s="418">
        <v>43000</v>
      </c>
      <c r="H283" s="423"/>
      <c r="I283" s="332" t="s">
        <v>920</v>
      </c>
      <c r="J283" s="434">
        <v>36129</v>
      </c>
      <c r="K283" s="423" t="s">
        <v>745</v>
      </c>
      <c r="L283" s="435" t="s">
        <v>744</v>
      </c>
      <c r="M283" s="434"/>
      <c r="N283" s="423"/>
      <c r="O283" s="435"/>
      <c r="P283" s="421"/>
    </row>
    <row r="284" spans="2:16" s="383" customFormat="1" ht="15.75" thickBot="1">
      <c r="B284" s="569"/>
      <c r="C284" s="567" t="s">
        <v>742</v>
      </c>
      <c r="D284" s="568" t="s">
        <v>189</v>
      </c>
      <c r="E284" s="432"/>
      <c r="F284" s="422">
        <f t="shared" si="23"/>
        <v>70388</v>
      </c>
      <c r="G284" s="418">
        <v>71500</v>
      </c>
      <c r="H284" s="423"/>
      <c r="I284" s="332" t="s">
        <v>743</v>
      </c>
      <c r="J284" s="434">
        <v>69276</v>
      </c>
      <c r="K284" s="423" t="s">
        <v>745</v>
      </c>
      <c r="L284" s="435" t="s">
        <v>958</v>
      </c>
      <c r="M284" s="434"/>
      <c r="N284" s="423"/>
      <c r="O284" s="435"/>
      <c r="P284" s="421"/>
    </row>
    <row r="285" spans="2:16" s="383" customFormat="1" ht="15.75" thickBot="1">
      <c r="B285" s="569"/>
      <c r="C285" s="567" t="s">
        <v>746</v>
      </c>
      <c r="D285" s="568" t="s">
        <v>189</v>
      </c>
      <c r="E285" s="432"/>
      <c r="F285" s="422">
        <f t="shared" si="23"/>
        <v>116655.5</v>
      </c>
      <c r="G285" s="418">
        <v>94200</v>
      </c>
      <c r="H285" s="423" t="s">
        <v>745</v>
      </c>
      <c r="I285" s="332" t="s">
        <v>959</v>
      </c>
      <c r="J285" s="434">
        <v>139111</v>
      </c>
      <c r="K285" s="423" t="s">
        <v>747</v>
      </c>
      <c r="L285" s="435" t="s">
        <v>960</v>
      </c>
      <c r="M285" s="434"/>
      <c r="N285" s="423"/>
      <c r="O285" s="435"/>
      <c r="P285" s="421"/>
    </row>
    <row r="286" spans="2:16" s="383" customFormat="1" ht="15.75" thickBot="1">
      <c r="B286" s="569"/>
      <c r="C286" s="567" t="s">
        <v>941</v>
      </c>
      <c r="D286" s="568" t="s">
        <v>189</v>
      </c>
      <c r="E286" s="432"/>
      <c r="F286" s="422">
        <f t="shared" si="23"/>
        <v>46150.5</v>
      </c>
      <c r="G286" s="418">
        <v>53598</v>
      </c>
      <c r="H286" s="423" t="s">
        <v>747</v>
      </c>
      <c r="I286" s="332" t="s">
        <v>748</v>
      </c>
      <c r="J286" s="434">
        <v>38703</v>
      </c>
      <c r="K286" s="423" t="s">
        <v>745</v>
      </c>
      <c r="L286" s="435" t="s">
        <v>749</v>
      </c>
      <c r="M286" s="434"/>
      <c r="N286" s="423"/>
      <c r="O286" s="435"/>
      <c r="P286" s="421"/>
    </row>
    <row r="287" spans="2:16" s="383" customFormat="1" ht="15.75" thickBot="1">
      <c r="B287" s="569"/>
      <c r="C287" s="567" t="s">
        <v>752</v>
      </c>
      <c r="D287" s="568" t="s">
        <v>189</v>
      </c>
      <c r="E287" s="432"/>
      <c r="F287" s="422">
        <f t="shared" si="23"/>
        <v>96509</v>
      </c>
      <c r="G287" s="418">
        <v>100000</v>
      </c>
      <c r="H287" s="423" t="s">
        <v>747</v>
      </c>
      <c r="I287" s="332" t="s">
        <v>751</v>
      </c>
      <c r="J287" s="434">
        <v>93018</v>
      </c>
      <c r="K287" s="423" t="s">
        <v>745</v>
      </c>
      <c r="L287" s="435" t="s">
        <v>750</v>
      </c>
      <c r="M287" s="434"/>
      <c r="N287" s="423"/>
      <c r="O287" s="435"/>
      <c r="P287" s="421"/>
    </row>
    <row r="288" spans="2:16" s="383" customFormat="1" ht="15.75" thickBot="1">
      <c r="B288" s="569"/>
      <c r="C288" s="567" t="s">
        <v>942</v>
      </c>
      <c r="D288" s="568" t="s">
        <v>189</v>
      </c>
      <c r="E288" s="432"/>
      <c r="F288" s="422">
        <f t="shared" si="23"/>
        <v>115209</v>
      </c>
      <c r="G288" s="418">
        <v>137418</v>
      </c>
      <c r="H288" s="423" t="s">
        <v>745</v>
      </c>
      <c r="I288" s="332" t="s">
        <v>753</v>
      </c>
      <c r="J288" s="434">
        <v>93000</v>
      </c>
      <c r="K288" s="423"/>
      <c r="L288" s="435" t="s">
        <v>754</v>
      </c>
      <c r="M288" s="434"/>
      <c r="N288" s="423"/>
      <c r="O288" s="435"/>
      <c r="P288" s="421"/>
    </row>
    <row r="289" spans="1:16" s="383" customFormat="1" ht="15.75" thickBot="1">
      <c r="B289" s="569"/>
      <c r="C289" s="567" t="s">
        <v>755</v>
      </c>
      <c r="D289" s="568" t="s">
        <v>189</v>
      </c>
      <c r="E289" s="432"/>
      <c r="F289" s="422">
        <f t="shared" si="23"/>
        <v>176795</v>
      </c>
      <c r="G289" s="418">
        <v>215000</v>
      </c>
      <c r="H289" s="423" t="s">
        <v>757</v>
      </c>
      <c r="I289" s="332" t="s">
        <v>756</v>
      </c>
      <c r="J289" s="434">
        <v>138590</v>
      </c>
      <c r="K289" s="423" t="s">
        <v>757</v>
      </c>
      <c r="L289" s="435" t="s">
        <v>758</v>
      </c>
      <c r="M289" s="434"/>
      <c r="N289" s="423"/>
      <c r="O289" s="435"/>
      <c r="P289" s="421"/>
    </row>
    <row r="290" spans="1:16" s="383" customFormat="1" ht="15.75" thickBot="1">
      <c r="B290" s="569"/>
      <c r="C290" s="567" t="s">
        <v>759</v>
      </c>
      <c r="D290" s="568"/>
      <c r="E290" s="432"/>
      <c r="F290" s="422">
        <f>+(G290+J290+M290)/3</f>
        <v>47246.03666666666</v>
      </c>
      <c r="G290" s="418">
        <v>16738.11</v>
      </c>
      <c r="H290" s="423"/>
      <c r="I290" s="332" t="s">
        <v>760</v>
      </c>
      <c r="J290" s="434">
        <v>15000</v>
      </c>
      <c r="K290" s="423"/>
      <c r="L290" s="435" t="s">
        <v>761</v>
      </c>
      <c r="M290" s="434">
        <v>110000</v>
      </c>
      <c r="N290" s="423"/>
      <c r="O290" s="435" t="s">
        <v>765</v>
      </c>
      <c r="P290" s="421"/>
    </row>
    <row r="291" spans="1:16" s="383" customFormat="1" ht="15.75" thickBot="1">
      <c r="B291" s="569">
        <v>32150008</v>
      </c>
      <c r="C291" s="567" t="s">
        <v>762</v>
      </c>
      <c r="D291" s="568"/>
      <c r="E291" s="432"/>
      <c r="F291" s="422">
        <f>+G291</f>
        <v>3675</v>
      </c>
      <c r="G291" s="418">
        <v>3675</v>
      </c>
      <c r="H291" s="423"/>
      <c r="I291" s="332" t="s">
        <v>763</v>
      </c>
      <c r="J291" s="434"/>
      <c r="K291" s="423"/>
      <c r="L291" s="435"/>
      <c r="M291" s="434"/>
      <c r="N291" s="423"/>
      <c r="O291" s="435"/>
      <c r="P291" s="421"/>
    </row>
    <row r="292" spans="1:16" s="383" customFormat="1" ht="15.75" thickBot="1">
      <c r="B292" s="569" t="s">
        <v>768</v>
      </c>
      <c r="C292" s="567" t="s">
        <v>766</v>
      </c>
      <c r="D292" s="568"/>
      <c r="E292" s="432"/>
      <c r="F292" s="422">
        <f>+G292</f>
        <v>218553</v>
      </c>
      <c r="G292" s="418">
        <v>218553</v>
      </c>
      <c r="H292" s="423"/>
      <c r="I292" s="332" t="s">
        <v>764</v>
      </c>
      <c r="J292" s="434"/>
      <c r="K292" s="423"/>
      <c r="L292" s="435"/>
      <c r="M292" s="434"/>
      <c r="N292" s="423"/>
      <c r="O292" s="435"/>
      <c r="P292" s="421"/>
    </row>
    <row r="293" spans="1:16" s="383" customFormat="1" ht="15.75" thickBot="1">
      <c r="C293" s="374" t="s">
        <v>767</v>
      </c>
      <c r="H293" s="271"/>
    </row>
    <row r="294" spans="1:16" s="383" customFormat="1" ht="15.75" thickBot="1">
      <c r="B294" s="569" t="s">
        <v>773</v>
      </c>
      <c r="C294" s="567" t="s">
        <v>769</v>
      </c>
      <c r="D294" s="568"/>
      <c r="E294" s="432"/>
      <c r="F294" s="422">
        <f>+(G294+J294)/2</f>
        <v>25916.135000000002</v>
      </c>
      <c r="G294" s="418">
        <v>30782.27</v>
      </c>
      <c r="H294" s="423" t="s">
        <v>771</v>
      </c>
      <c r="I294" s="332" t="s">
        <v>770</v>
      </c>
      <c r="J294" s="434">
        <f>79990/3.8</f>
        <v>21050</v>
      </c>
      <c r="K294" s="423"/>
      <c r="L294" s="435" t="s">
        <v>772</v>
      </c>
      <c r="M294" s="434"/>
      <c r="N294" s="423"/>
      <c r="O294" s="435"/>
      <c r="P294" s="421"/>
    </row>
    <row r="295" spans="1:16" s="383" customFormat="1" ht="15.75" thickBot="1">
      <c r="C295" s="374" t="s">
        <v>774</v>
      </c>
      <c r="H295" s="271"/>
    </row>
    <row r="296" spans="1:16" s="383" customFormat="1" ht="15.75" thickBot="1">
      <c r="B296" s="569" t="s">
        <v>780</v>
      </c>
      <c r="C296" s="567" t="s">
        <v>775</v>
      </c>
      <c r="D296" s="568"/>
      <c r="E296" s="432"/>
      <c r="F296" s="422">
        <f>+(G296+J296+M296)/2</f>
        <v>34784</v>
      </c>
      <c r="G296" s="418">
        <v>53000</v>
      </c>
      <c r="H296" s="423" t="s">
        <v>779</v>
      </c>
      <c r="I296" s="332" t="s">
        <v>778</v>
      </c>
      <c r="J296" s="434">
        <v>9379</v>
      </c>
      <c r="K296" s="423" t="s">
        <v>922</v>
      </c>
      <c r="L296" s="435" t="s">
        <v>921</v>
      </c>
      <c r="M296" s="434">
        <v>7189</v>
      </c>
      <c r="N296" s="423" t="s">
        <v>776</v>
      </c>
      <c r="O296" s="435" t="s">
        <v>777</v>
      </c>
      <c r="P296" s="421"/>
    </row>
    <row r="297" spans="1:16" s="383" customFormat="1" ht="15.75" thickBot="1">
      <c r="B297" s="569">
        <v>32180001</v>
      </c>
      <c r="C297" s="567" t="s">
        <v>784</v>
      </c>
      <c r="D297" s="568"/>
      <c r="E297" s="432"/>
      <c r="F297" s="422">
        <f>+(G297+J297)/2</f>
        <v>71145</v>
      </c>
      <c r="G297" s="418">
        <v>66300</v>
      </c>
      <c r="H297" s="423" t="s">
        <v>657</v>
      </c>
      <c r="I297" s="332" t="s">
        <v>923</v>
      </c>
      <c r="J297" s="434">
        <v>75990</v>
      </c>
      <c r="K297" s="423" t="s">
        <v>657</v>
      </c>
      <c r="L297" s="435" t="s">
        <v>783</v>
      </c>
      <c r="M297" s="434"/>
      <c r="N297" s="423"/>
      <c r="O297" s="435"/>
      <c r="P297" s="421"/>
    </row>
    <row r="298" spans="1:16" s="383" customFormat="1" ht="15.75" thickBot="1">
      <c r="B298" s="569" t="s">
        <v>786</v>
      </c>
      <c r="C298" s="584" t="s">
        <v>785</v>
      </c>
      <c r="D298" s="568"/>
      <c r="E298" s="432"/>
      <c r="F298" s="422">
        <f>+(G298+J298+M298)/3</f>
        <v>9833.3333333333339</v>
      </c>
      <c r="G298" s="418">
        <v>7000</v>
      </c>
      <c r="H298" s="423" t="s">
        <v>790</v>
      </c>
      <c r="I298" s="332" t="s">
        <v>924</v>
      </c>
      <c r="J298" s="434">
        <v>8500</v>
      </c>
      <c r="K298" s="423" t="s">
        <v>790</v>
      </c>
      <c r="L298" s="435" t="s">
        <v>925</v>
      </c>
      <c r="M298" s="434">
        <v>14000</v>
      </c>
      <c r="N298" s="423" t="s">
        <v>789</v>
      </c>
      <c r="O298" s="435" t="s">
        <v>926</v>
      </c>
      <c r="P298" s="421"/>
    </row>
    <row r="299" spans="1:16" s="383" customFormat="1" ht="15.75" thickBot="1">
      <c r="B299" s="569"/>
      <c r="C299" s="567" t="s">
        <v>787</v>
      </c>
      <c r="D299" s="568"/>
      <c r="E299" s="432"/>
      <c r="F299" s="422">
        <f>+(G299+J299+M299)/3</f>
        <v>9833.3333333333339</v>
      </c>
      <c r="G299" s="418">
        <v>7000</v>
      </c>
      <c r="H299" s="423" t="s">
        <v>790</v>
      </c>
      <c r="I299" s="332" t="s">
        <v>924</v>
      </c>
      <c r="J299" s="434">
        <v>8500</v>
      </c>
      <c r="K299" s="423" t="s">
        <v>790</v>
      </c>
      <c r="L299" s="435" t="s">
        <v>925</v>
      </c>
      <c r="M299" s="434">
        <v>14000</v>
      </c>
      <c r="N299" s="423" t="s">
        <v>789</v>
      </c>
      <c r="O299" s="435" t="s">
        <v>926</v>
      </c>
      <c r="P299" s="421"/>
    </row>
    <row r="300" spans="1:16" s="383" customFormat="1" ht="15.75" thickBot="1">
      <c r="B300" s="569"/>
      <c r="C300" s="567" t="s">
        <v>788</v>
      </c>
      <c r="D300" s="568"/>
      <c r="E300" s="432"/>
      <c r="F300" s="422">
        <f>+(G300+J300+M300)/3</f>
        <v>9833.3333333333339</v>
      </c>
      <c r="G300" s="418">
        <v>7000</v>
      </c>
      <c r="H300" s="423" t="s">
        <v>790</v>
      </c>
      <c r="I300" s="332" t="s">
        <v>924</v>
      </c>
      <c r="J300" s="434">
        <v>8500</v>
      </c>
      <c r="K300" s="423" t="s">
        <v>790</v>
      </c>
      <c r="L300" s="435" t="s">
        <v>925</v>
      </c>
      <c r="M300" s="434">
        <v>14000</v>
      </c>
      <c r="N300" s="423" t="s">
        <v>789</v>
      </c>
      <c r="O300" s="435" t="s">
        <v>926</v>
      </c>
      <c r="P300" s="421"/>
    </row>
    <row r="301" spans="1:16" ht="15" thickBot="1"/>
    <row r="302" spans="1:16" s="383" customFormat="1" ht="15.75" thickBot="1">
      <c r="A302" s="383" t="s">
        <v>364</v>
      </c>
      <c r="B302" s="569">
        <v>341600512</v>
      </c>
      <c r="C302" s="567" t="s">
        <v>867</v>
      </c>
      <c r="D302" s="568" t="s">
        <v>868</v>
      </c>
      <c r="E302" s="384"/>
      <c r="F302" s="422">
        <f>+G302</f>
        <v>23468.7</v>
      </c>
      <c r="G302" s="418">
        <v>23468.7</v>
      </c>
      <c r="H302" s="264"/>
      <c r="I302" s="238" t="s">
        <v>961</v>
      </c>
      <c r="J302" s="425"/>
      <c r="K302" s="426"/>
      <c r="L302" s="426"/>
      <c r="M302" s="427"/>
      <c r="N302" s="428"/>
      <c r="O302" s="426"/>
      <c r="P302" s="429"/>
    </row>
    <row r="303" spans="1:16" s="439" customFormat="1" ht="15.75" thickBot="1">
      <c r="B303" s="563">
        <v>341600421</v>
      </c>
      <c r="C303" s="488" t="s">
        <v>869</v>
      </c>
      <c r="D303" s="565" t="s">
        <v>17</v>
      </c>
      <c r="E303" s="384"/>
      <c r="F303" s="422"/>
      <c r="G303" s="418">
        <v>21198</v>
      </c>
      <c r="H303" s="264"/>
      <c r="I303" s="238" t="s">
        <v>870</v>
      </c>
      <c r="J303" s="425"/>
      <c r="K303" s="426"/>
      <c r="L303" s="426"/>
      <c r="M303" s="461"/>
      <c r="N303" s="456"/>
      <c r="O303" s="460"/>
      <c r="P303" s="460"/>
    </row>
    <row r="304" spans="1:16" s="439" customFormat="1" ht="15.75" thickBot="1">
      <c r="B304" s="455">
        <v>341600422</v>
      </c>
      <c r="C304" s="462" t="s">
        <v>871</v>
      </c>
      <c r="D304" s="463" t="s">
        <v>17</v>
      </c>
      <c r="E304" s="443"/>
      <c r="F304" s="464"/>
      <c r="G304" s="465"/>
      <c r="H304" s="466"/>
      <c r="I304" s="457"/>
      <c r="J304" s="458"/>
      <c r="K304" s="459"/>
      <c r="L304" s="453"/>
      <c r="M304" s="467"/>
      <c r="N304" s="443"/>
      <c r="O304" s="453"/>
      <c r="P304" s="453"/>
    </row>
    <row r="305" spans="1:24" s="383" customFormat="1" ht="15.75" thickBot="1">
      <c r="B305" s="468"/>
      <c r="C305" s="592"/>
      <c r="D305" s="593"/>
      <c r="E305" s="384"/>
      <c r="F305" s="469"/>
      <c r="G305" s="594"/>
      <c r="H305" s="594"/>
      <c r="I305" s="595"/>
      <c r="J305" s="594"/>
      <c r="K305" s="594"/>
      <c r="L305" s="595"/>
      <c r="M305" s="595"/>
      <c r="N305" s="595"/>
      <c r="O305" s="595"/>
      <c r="P305" s="595"/>
    </row>
    <row r="306" spans="1:24" s="383" customFormat="1" ht="15.75" thickBot="1">
      <c r="A306" s="383" t="s">
        <v>364</v>
      </c>
      <c r="B306" s="563">
        <v>341600284</v>
      </c>
      <c r="C306" s="585" t="s">
        <v>872</v>
      </c>
      <c r="D306" s="565" t="s">
        <v>17</v>
      </c>
      <c r="E306" s="384"/>
      <c r="F306" s="470">
        <f t="shared" ref="F306" si="24">((G306+J306)/2)</f>
        <v>4615</v>
      </c>
      <c r="G306" s="471">
        <v>2750</v>
      </c>
      <c r="H306" s="423" t="s">
        <v>873</v>
      </c>
      <c r="I306" s="238" t="s">
        <v>874</v>
      </c>
      <c r="J306" s="434">
        <v>6480</v>
      </c>
      <c r="K306" s="423" t="s">
        <v>398</v>
      </c>
      <c r="L306" s="424" t="s">
        <v>875</v>
      </c>
      <c r="M306" s="427"/>
      <c r="N306" s="428"/>
      <c r="O306" s="426"/>
      <c r="P306" s="429"/>
    </row>
    <row r="307" spans="1:24" s="383" customFormat="1" ht="15.75" thickBot="1">
      <c r="B307" s="586">
        <v>3416002014</v>
      </c>
      <c r="C307" s="587" t="s">
        <v>876</v>
      </c>
      <c r="D307" s="588" t="s">
        <v>877</v>
      </c>
      <c r="E307" s="384"/>
      <c r="F307" s="422">
        <f>((G307+J307+M307)/3)</f>
        <v>1976</v>
      </c>
      <c r="G307" s="418">
        <v>728</v>
      </c>
      <c r="H307" s="472" t="s">
        <v>509</v>
      </c>
      <c r="I307" s="238" t="s">
        <v>878</v>
      </c>
      <c r="J307" s="434">
        <v>1900</v>
      </c>
      <c r="K307" s="423" t="s">
        <v>509</v>
      </c>
      <c r="L307" s="332" t="s">
        <v>879</v>
      </c>
      <c r="M307" s="434">
        <v>3300</v>
      </c>
      <c r="N307" s="423" t="s">
        <v>414</v>
      </c>
      <c r="O307" s="332" t="s">
        <v>880</v>
      </c>
      <c r="P307" s="473"/>
    </row>
    <row r="308" spans="1:24" s="383" customFormat="1" ht="15.75" thickBot="1">
      <c r="B308" s="563">
        <v>341600432</v>
      </c>
      <c r="C308" s="585" t="s">
        <v>881</v>
      </c>
      <c r="D308" s="565" t="s">
        <v>882</v>
      </c>
      <c r="E308" s="384"/>
      <c r="F308" s="422">
        <f>((G308+J308+M308)/3)</f>
        <v>1411</v>
      </c>
      <c r="G308" s="471">
        <v>1098</v>
      </c>
      <c r="H308" s="423"/>
      <c r="I308" s="238" t="s">
        <v>883</v>
      </c>
      <c r="J308" s="434">
        <v>1175</v>
      </c>
      <c r="K308" s="423" t="s">
        <v>884</v>
      </c>
      <c r="L308" s="424" t="s">
        <v>885</v>
      </c>
      <c r="M308" s="434">
        <v>1960</v>
      </c>
      <c r="N308" s="423" t="s">
        <v>886</v>
      </c>
      <c r="O308" s="228" t="s">
        <v>887</v>
      </c>
      <c r="P308" s="429"/>
    </row>
    <row r="309" spans="1:24" s="439" customFormat="1" ht="15.75" thickBot="1">
      <c r="B309" s="474">
        <v>341700191</v>
      </c>
      <c r="C309" s="475" t="s">
        <v>888</v>
      </c>
      <c r="D309" s="476" t="s">
        <v>889</v>
      </c>
      <c r="E309" s="456"/>
      <c r="F309" s="444"/>
      <c r="G309" s="445"/>
      <c r="H309" s="477"/>
      <c r="I309" s="478"/>
      <c r="J309" s="448"/>
      <c r="K309" s="446"/>
      <c r="L309" s="478"/>
      <c r="M309" s="448"/>
      <c r="N309" s="446"/>
      <c r="O309" s="478"/>
      <c r="P309" s="460"/>
    </row>
    <row r="310" spans="1:24" s="383" customFormat="1" ht="15.75" thickBot="1">
      <c r="B310" s="468"/>
      <c r="C310" s="596"/>
      <c r="D310" s="593"/>
      <c r="E310" s="384"/>
      <c r="F310" s="479"/>
      <c r="G310" s="597"/>
      <c r="H310" s="597"/>
      <c r="I310" s="595"/>
      <c r="J310" s="594"/>
      <c r="K310" s="594"/>
      <c r="L310" s="595"/>
      <c r="M310" s="595"/>
      <c r="N310" s="595"/>
      <c r="O310" s="595"/>
      <c r="P310" s="595"/>
    </row>
    <row r="311" spans="1:24" s="383" customFormat="1" ht="15.75" thickBot="1">
      <c r="B311" s="563">
        <v>341600275</v>
      </c>
      <c r="C311" s="564" t="s">
        <v>890</v>
      </c>
      <c r="D311" s="565" t="s">
        <v>17</v>
      </c>
      <c r="E311" s="384"/>
      <c r="F311" s="402">
        <f>+G311</f>
        <v>3300</v>
      </c>
      <c r="G311" s="418">
        <v>3300</v>
      </c>
      <c r="H311" s="423" t="s">
        <v>891</v>
      </c>
      <c r="I311" s="238" t="s">
        <v>892</v>
      </c>
      <c r="J311" s="434"/>
      <c r="K311" s="423"/>
      <c r="L311" s="424"/>
      <c r="M311" s="427"/>
      <c r="N311" s="428"/>
      <c r="O311" s="426"/>
      <c r="P311" s="429"/>
    </row>
    <row r="312" spans="1:24" s="383" customFormat="1" ht="15.75" thickBot="1">
      <c r="B312" s="563">
        <v>341600271</v>
      </c>
      <c r="C312" s="564" t="s">
        <v>893</v>
      </c>
      <c r="D312" s="565" t="s">
        <v>17</v>
      </c>
      <c r="E312" s="384"/>
      <c r="F312" s="402">
        <f>+G312</f>
        <v>2250</v>
      </c>
      <c r="G312" s="418">
        <v>2250</v>
      </c>
      <c r="H312" s="423" t="s">
        <v>894</v>
      </c>
      <c r="I312" s="238" t="s">
        <v>895</v>
      </c>
      <c r="J312" s="434"/>
      <c r="K312" s="423"/>
      <c r="L312" s="424"/>
      <c r="M312" s="427"/>
      <c r="N312" s="428"/>
      <c r="O312" s="426"/>
      <c r="P312" s="429"/>
    </row>
    <row r="313" spans="1:24" s="383" customFormat="1" ht="15.75" thickBot="1">
      <c r="B313" s="563">
        <v>341600272</v>
      </c>
      <c r="C313" s="564" t="s">
        <v>896</v>
      </c>
      <c r="D313" s="565" t="s">
        <v>17</v>
      </c>
      <c r="E313" s="384"/>
      <c r="F313" s="402">
        <f>+G313</f>
        <v>2250</v>
      </c>
      <c r="G313" s="418">
        <v>2250</v>
      </c>
      <c r="H313" s="423" t="s">
        <v>894</v>
      </c>
      <c r="I313" s="487" t="s">
        <v>895</v>
      </c>
      <c r="J313" s="434"/>
      <c r="K313" s="423"/>
      <c r="L313" s="424"/>
      <c r="M313" s="427"/>
      <c r="N313" s="428"/>
      <c r="O313" s="426"/>
      <c r="P313" s="429"/>
    </row>
    <row r="314" spans="1:24" s="383" customFormat="1" ht="15.75" thickBot="1">
      <c r="B314" s="563">
        <v>341600273</v>
      </c>
      <c r="C314" s="564" t="s">
        <v>897</v>
      </c>
      <c r="D314" s="565" t="s">
        <v>17</v>
      </c>
      <c r="E314" s="384"/>
      <c r="F314" s="402">
        <f>+G314</f>
        <v>2250</v>
      </c>
      <c r="G314" s="418">
        <v>2250</v>
      </c>
      <c r="H314" s="423" t="s">
        <v>894</v>
      </c>
      <c r="I314" s="487" t="s">
        <v>895</v>
      </c>
      <c r="J314" s="434"/>
      <c r="K314" s="423"/>
      <c r="L314" s="424"/>
      <c r="M314" s="427"/>
      <c r="N314" s="428"/>
      <c r="O314" s="426"/>
      <c r="P314" s="429"/>
    </row>
    <row r="315" spans="1:24" s="383" customFormat="1" ht="15.75" thickBot="1">
      <c r="B315" s="468"/>
      <c r="C315" s="592" t="s">
        <v>898</v>
      </c>
      <c r="D315" s="593"/>
      <c r="E315" s="384"/>
      <c r="F315" s="469"/>
      <c r="G315" s="594"/>
      <c r="H315" s="594"/>
      <c r="I315" s="595"/>
      <c r="J315" s="594"/>
      <c r="K315" s="594"/>
      <c r="L315" s="595"/>
      <c r="M315" s="595"/>
      <c r="N315" s="595"/>
      <c r="O315" s="595"/>
      <c r="P315" s="595"/>
    </row>
    <row r="316" spans="1:24" s="383" customFormat="1" ht="15.75" thickBot="1">
      <c r="B316" s="563">
        <v>341700251</v>
      </c>
      <c r="C316" s="564" t="s">
        <v>899</v>
      </c>
      <c r="D316" s="565" t="s">
        <v>900</v>
      </c>
      <c r="E316" s="384"/>
      <c r="F316" s="402">
        <f>+G316</f>
        <v>108850</v>
      </c>
      <c r="G316" s="418">
        <v>108850</v>
      </c>
      <c r="H316" s="423" t="s">
        <v>901</v>
      </c>
      <c r="I316" s="238" t="s">
        <v>902</v>
      </c>
      <c r="J316" s="434"/>
      <c r="K316" s="423"/>
      <c r="L316" s="424"/>
      <c r="M316" s="427"/>
      <c r="N316" s="428"/>
      <c r="O316" s="426"/>
      <c r="P316" s="429"/>
    </row>
    <row r="317" spans="1:24" s="383" customFormat="1" ht="15.75" thickBot="1">
      <c r="B317" s="468"/>
      <c r="C317" s="592" t="s">
        <v>903</v>
      </c>
      <c r="D317" s="593"/>
      <c r="E317" s="384"/>
      <c r="F317" s="469"/>
      <c r="G317" s="594"/>
      <c r="H317" s="594"/>
      <c r="I317" s="595"/>
      <c r="J317" s="594"/>
      <c r="K317" s="594"/>
      <c r="L317" s="595"/>
      <c r="M317" s="595"/>
      <c r="N317" s="595"/>
      <c r="O317" s="595"/>
      <c r="P317" s="595"/>
    </row>
    <row r="318" spans="1:24" s="439" customFormat="1" ht="15.75" thickBot="1">
      <c r="B318" s="563">
        <v>340200281</v>
      </c>
      <c r="C318" s="564" t="s">
        <v>904</v>
      </c>
      <c r="D318" s="565" t="s">
        <v>905</v>
      </c>
      <c r="E318" s="384"/>
      <c r="F318" s="402"/>
      <c r="G318" s="418">
        <v>61349</v>
      </c>
      <c r="H318" s="423" t="s">
        <v>906</v>
      </c>
      <c r="I318" s="238" t="s">
        <v>907</v>
      </c>
      <c r="J318" s="434"/>
      <c r="K318" s="423"/>
      <c r="L318" s="424"/>
      <c r="M318" s="427"/>
      <c r="N318" s="428"/>
      <c r="O318" s="426"/>
      <c r="P318" s="429"/>
      <c r="Q318" s="484"/>
      <c r="R318" s="484"/>
      <c r="S318" s="484"/>
      <c r="T318" s="484"/>
      <c r="U318" s="484"/>
      <c r="V318" s="484"/>
      <c r="W318" s="484"/>
      <c r="X318" s="484"/>
    </row>
    <row r="319" spans="1:24" s="439" customFormat="1" ht="15.75" thickBot="1">
      <c r="B319" s="563">
        <v>340200231</v>
      </c>
      <c r="C319" s="564" t="s">
        <v>908</v>
      </c>
      <c r="D319" s="565" t="s">
        <v>905</v>
      </c>
      <c r="E319" s="384"/>
      <c r="F319" s="402"/>
      <c r="G319" s="418">
        <v>61349</v>
      </c>
      <c r="H319" s="423" t="s">
        <v>906</v>
      </c>
      <c r="I319" s="487" t="s">
        <v>909</v>
      </c>
      <c r="J319" s="434"/>
      <c r="K319" s="423"/>
      <c r="L319" s="424"/>
      <c r="M319" s="427"/>
      <c r="N319" s="428"/>
      <c r="O319" s="426"/>
      <c r="P319" s="429"/>
      <c r="Q319" s="484"/>
      <c r="R319" s="484"/>
      <c r="S319" s="484"/>
      <c r="T319" s="484"/>
      <c r="U319" s="484"/>
      <c r="V319" s="484"/>
      <c r="W319" s="484"/>
      <c r="X319" s="484"/>
    </row>
  </sheetData>
  <mergeCells count="136">
    <mergeCell ref="B244:B246"/>
    <mergeCell ref="B247:B248"/>
    <mergeCell ref="C215:D215"/>
    <mergeCell ref="G215:P215"/>
    <mergeCell ref="C243:D243"/>
    <mergeCell ref="G243:P243"/>
    <mergeCell ref="C205:D205"/>
    <mergeCell ref="G205:P205"/>
    <mergeCell ref="C213:D213"/>
    <mergeCell ref="G213:P213"/>
    <mergeCell ref="B206:B210"/>
    <mergeCell ref="B236:B237"/>
    <mergeCell ref="C162:D162"/>
    <mergeCell ref="G162:P162"/>
    <mergeCell ref="C164:D164"/>
    <mergeCell ref="G164:P164"/>
    <mergeCell ref="C175:D175"/>
    <mergeCell ref="G175:P175"/>
    <mergeCell ref="C144:D144"/>
    <mergeCell ref="G144:P144"/>
    <mergeCell ref="B145:B152"/>
    <mergeCell ref="B190:B198"/>
    <mergeCell ref="B199:B203"/>
    <mergeCell ref="C187:D187"/>
    <mergeCell ref="G187:P187"/>
    <mergeCell ref="C189:D189"/>
    <mergeCell ref="G189:P189"/>
    <mergeCell ref="C177:D177"/>
    <mergeCell ref="G177:P177"/>
    <mergeCell ref="C182:D182"/>
    <mergeCell ref="G182:P182"/>
    <mergeCell ref="C185:D185"/>
    <mergeCell ref="G185:P185"/>
    <mergeCell ref="L131:P131"/>
    <mergeCell ref="C132:D132"/>
    <mergeCell ref="G132:P132"/>
    <mergeCell ref="B133:B135"/>
    <mergeCell ref="B136:B138"/>
    <mergeCell ref="B139:B143"/>
    <mergeCell ref="C121:D121"/>
    <mergeCell ref="G121:P121"/>
    <mergeCell ref="C130:D130"/>
    <mergeCell ref="G130:P130"/>
    <mergeCell ref="B122:B129"/>
    <mergeCell ref="G115:P115"/>
    <mergeCell ref="L116:P116"/>
    <mergeCell ref="C117:D117"/>
    <mergeCell ref="G117:P117"/>
    <mergeCell ref="B101:B102"/>
    <mergeCell ref="C104:D104"/>
    <mergeCell ref="G104:P104"/>
    <mergeCell ref="C106:D106"/>
    <mergeCell ref="G106:P106"/>
    <mergeCell ref="C110:D110"/>
    <mergeCell ref="G110:P110"/>
    <mergeCell ref="B111:B113"/>
    <mergeCell ref="C95:D95"/>
    <mergeCell ref="G95:P95"/>
    <mergeCell ref="C98:D98"/>
    <mergeCell ref="G98:P98"/>
    <mergeCell ref="C100:D100"/>
    <mergeCell ref="G100:P100"/>
    <mergeCell ref="C91:D91"/>
    <mergeCell ref="G91:P91"/>
    <mergeCell ref="B92:B94"/>
    <mergeCell ref="C81:D81"/>
    <mergeCell ref="G81:P81"/>
    <mergeCell ref="C85:D85"/>
    <mergeCell ref="G85:P85"/>
    <mergeCell ref="C89:D89"/>
    <mergeCell ref="G89:P89"/>
    <mergeCell ref="C79:D79"/>
    <mergeCell ref="G79:P79"/>
    <mergeCell ref="C64:D64"/>
    <mergeCell ref="G64:P64"/>
    <mergeCell ref="C66:D66"/>
    <mergeCell ref="G66:P66"/>
    <mergeCell ref="C68:D68"/>
    <mergeCell ref="G68:P68"/>
    <mergeCell ref="C57:D57"/>
    <mergeCell ref="G57:P57"/>
    <mergeCell ref="B58:B63"/>
    <mergeCell ref="B69:B70"/>
    <mergeCell ref="C73:D73"/>
    <mergeCell ref="G73:P73"/>
    <mergeCell ref="C77:D77"/>
    <mergeCell ref="G77:P77"/>
    <mergeCell ref="C51:D51"/>
    <mergeCell ref="G51:P51"/>
    <mergeCell ref="C53:D53"/>
    <mergeCell ref="G53:Q53"/>
    <mergeCell ref="B28:B31"/>
    <mergeCell ref="C48:D48"/>
    <mergeCell ref="G48:P48"/>
    <mergeCell ref="C55:D55"/>
    <mergeCell ref="G55:P55"/>
    <mergeCell ref="B40:B41"/>
    <mergeCell ref="O40:P40"/>
    <mergeCell ref="O41:P41"/>
    <mergeCell ref="C42:D42"/>
    <mergeCell ref="G42:P42"/>
    <mergeCell ref="C44:D44"/>
    <mergeCell ref="G44:P44"/>
    <mergeCell ref="C1:Q1"/>
    <mergeCell ref="B3:C3"/>
    <mergeCell ref="D3:E3"/>
    <mergeCell ref="F3:G3"/>
    <mergeCell ref="H3:I3"/>
    <mergeCell ref="J3:K3"/>
    <mergeCell ref="L3:M3"/>
    <mergeCell ref="N3:O3"/>
    <mergeCell ref="P3:Q3"/>
    <mergeCell ref="C305:D305"/>
    <mergeCell ref="G305:P305"/>
    <mergeCell ref="C310:D310"/>
    <mergeCell ref="G310:P310"/>
    <mergeCell ref="C315:D315"/>
    <mergeCell ref="G315:P315"/>
    <mergeCell ref="C317:D317"/>
    <mergeCell ref="G317:P317"/>
    <mergeCell ref="B6:D6"/>
    <mergeCell ref="F6:P6"/>
    <mergeCell ref="C7:D7"/>
    <mergeCell ref="F7:P7"/>
    <mergeCell ref="C24:D24"/>
    <mergeCell ref="G24:P24"/>
    <mergeCell ref="B20:B22"/>
    <mergeCell ref="B11:B19"/>
    <mergeCell ref="B33:B36"/>
    <mergeCell ref="C39:D39"/>
    <mergeCell ref="G39:P39"/>
    <mergeCell ref="B25:B26"/>
    <mergeCell ref="C27:D27"/>
    <mergeCell ref="G27:P27"/>
    <mergeCell ref="C32:D32"/>
    <mergeCell ref="G32:P32"/>
  </mergeCells>
  <hyperlinks>
    <hyperlink ref="O28" r:id="rId1"/>
    <hyperlink ref="L29" r:id="rId2"/>
    <hyperlink ref="L38" r:id="rId3" location="position=4&amp;search_layout=stack&amp;type=item&amp;tracking_id=77054436-6e98-4191-b4ee-f45c3346c70f"/>
    <hyperlink ref="L40" r:id="rId4"/>
    <hyperlink ref="O40" r:id="rId5"/>
    <hyperlink ref="L41" r:id="rId6"/>
    <hyperlink ref="O41" r:id="rId7"/>
    <hyperlink ref="L47" r:id="rId8"/>
    <hyperlink ref="L67" r:id="rId9"/>
    <hyperlink ref="L78" r:id="rId10" location="position=1&amp;search_layout=stack&amp;type=item&amp;tracking_id=5e590570-f2ec-4906-8e08-59b2a54857c3"/>
    <hyperlink ref="L101" r:id="rId11"/>
    <hyperlink ref="L116" r:id="rId12" location="position=2&amp;search_layout=stack&amp;type=item&amp;tracking_id=b079918a-0923-4ef0-a7bc-cd168f966715" display="https://www.tiendahospimed.com.ar/MLA-756022976-histerometro-sims-32-cm-instrumental-quirurgico-_JM#position=2&amp;search_layout=stack&amp;type=item&amp;tracking_id=b079918a-0923-4ef0-a7bc-cd168f966715"/>
    <hyperlink ref="O43" r:id="rId13"/>
    <hyperlink ref="L82" r:id="rId14" location="position=21&amp;search_layout=stack&amp;type=item&amp;tracking_id=0b2e9a7f-529f-4b1f-894a-35cbc3e4ea57"/>
    <hyperlink ref="L83" r:id="rId15" location="position=6&amp;search_layout=stack&amp;type=item&amp;tracking_id=5d5ddbbf-cc65-4aec-9d7c-a7b4551a530c"/>
    <hyperlink ref="L84" r:id="rId16" location="position=30&amp;search_layout=stack&amp;type=item&amp;tracking_id=45721ac5-008c-420d-91ec-d16ba69bbf1e"/>
    <hyperlink ref="L108" r:id="rId17" location="position=2&amp;search_layout=stack&amp;type=item&amp;tracking_id=6fce4e57-9b0c-462c-91a6-d785134f7862"/>
    <hyperlink ref="L122" r:id="rId18"/>
    <hyperlink ref="L123" r:id="rId19" location="searchVariation=50638348833&amp;position=3&amp;search_layout=stack&amp;type=item&amp;tracking_id=23682066-0608-4318-9631-44fce24e804f"/>
    <hyperlink ref="L124" r:id="rId20" location="searchVariation=50639296659&amp;position=27&amp;search_layout=stack&amp;type=item&amp;tracking_id=b581924e-6b78-4e94-bc7d-192e82dd69ec"/>
    <hyperlink ref="O122" r:id="rId21" location="searchVariation=50638209526&amp;position=10&amp;search_layout=stack&amp;type=item&amp;tracking_id=6daac8f4-dc44-4bd5-ab5b-995b83254133"/>
    <hyperlink ref="L139" r:id="rId22" location="position=5&amp;search_layout=stack&amp;type=item&amp;tracking_id=78294b9d-cafd-4586-9d8b-8bea49a452ea"/>
    <hyperlink ref="L141" r:id="rId23"/>
    <hyperlink ref="L180" r:id="rId24"/>
    <hyperlink ref="L183" r:id="rId25" location="position=1&amp;search_layout=stack&amp;type=item&amp;tracking_id=d269d3a5-cf58-4423-8db1-4c39264c184d"/>
    <hyperlink ref="L208" r:id="rId26"/>
    <hyperlink ref="L244" r:id="rId27"/>
    <hyperlink ref="L245" r:id="rId28"/>
    <hyperlink ref="L247" r:id="rId29"/>
    <hyperlink ref="L248" r:id="rId30"/>
    <hyperlink ref="L25" r:id="rId31" location="position=3&amp;search_layout=stack&amp;type=item&amp;tracking_id=b1377160-a1b4-4e65-9b75-b0f100f44cb1"/>
    <hyperlink ref="L26" r:id="rId32" location="position=1&amp;search_layout=stack&amp;type=item&amp;tracking_id=b1377160-a1b4-4e65-9b75-b0f100f44cb1"/>
    <hyperlink ref="L43" r:id="rId33"/>
    <hyperlink ref="L15" r:id="rId34"/>
    <hyperlink ref="L97" r:id="rId35"/>
    <hyperlink ref="L188" r:id="rId36"/>
    <hyperlink ref="L14" r:id="rId37"/>
    <hyperlink ref="L17" r:id="rId38"/>
    <hyperlink ref="L19" r:id="rId39"/>
    <hyperlink ref="L33" r:id="rId40"/>
    <hyperlink ref="L54" r:id="rId41"/>
    <hyperlink ref="L90" r:id="rId42" location="position=2&amp;search_layout=grid&amp;type=item&amp;tracking_id=2ac18f35-66fe-430f-b600-d6bf535df354"/>
    <hyperlink ref="L126" r:id="rId43"/>
    <hyperlink ref="L131" r:id="rId44"/>
    <hyperlink ref="L199" r:id="rId45" location="position=1&amp;search_layout=stack&amp;type=item&amp;tracking_id=80d20f98-a589-4336-8ef1-5aefe8148cbd"/>
    <hyperlink ref="L200" r:id="rId46" location="position=1&amp;search_layout=stack&amp;type=item&amp;tracking_id=80d20f98-a589-4336-8ef1-5aefe8148cbd"/>
    <hyperlink ref="L201" r:id="rId47" location="position=1&amp;search_layout=stack&amp;type=item&amp;tracking_id=80d20f98-a589-4336-8ef1-5aefe8148cbd"/>
    <hyperlink ref="L202" r:id="rId48" location="position=1&amp;search_layout=stack&amp;type=item&amp;tracking_id=80d20f98-a589-4336-8ef1-5aefe8148cbd"/>
    <hyperlink ref="L203" r:id="rId49" location="position=1&amp;search_layout=stack&amp;type=item&amp;tracking_id=082fa34b-a25f-4eed-a849-9a866c074d41"/>
    <hyperlink ref="L214" r:id="rId50" location="position=3&amp;search_layout=stack&amp;type=item&amp;tracking_id=ae3e8879-4057-4a0e-88ad-f7c3d73658c0"/>
    <hyperlink ref="H276" r:id="rId51" display="https://www.consortiumsalud.com/marca/sunmed-5752"/>
    <hyperlink ref="H71" r:id="rId52" display="https://www.onelab.com.ar/terragene"/>
    <hyperlink ref="L145" r:id="rId53"/>
    <hyperlink ref="L146" r:id="rId54"/>
    <hyperlink ref="L147" r:id="rId55"/>
    <hyperlink ref="L148" r:id="rId56"/>
    <hyperlink ref="L149" r:id="rId57"/>
    <hyperlink ref="L152" r:id="rId58"/>
    <hyperlink ref="L161" r:id="rId59"/>
    <hyperlink ref="L156" r:id="rId60"/>
    <hyperlink ref="L159" r:id="rId61"/>
    <hyperlink ref="L160" r:id="rId62"/>
    <hyperlink ref="L154" r:id="rId63"/>
    <hyperlink ref="L155" r:id="rId64"/>
    <hyperlink ref="L157" r:id="rId65"/>
    <hyperlink ref="L158" r:id="rId66"/>
    <hyperlink ref="L165" r:id="rId67"/>
    <hyperlink ref="L166" r:id="rId68"/>
    <hyperlink ref="L172" r:id="rId69" location="searchVariation%3D174166338870%26position%3D4%26search_layout%3Dstack%26type%3Ditem%26tracking_id%3Da5df93a5-a146-417a-84d8-c1a87664af93" display="https://www.icomsalud.com.ar/MLA-700157410-nonisec-adultos-refuerza-panal-clasico-por-20-unidades-_JM?searchVariation=174166338870#searchVariation%3D174166338870%26position%3D4%26search_layout%3Dstack%26type%3Ditem%26tracking_id%3Da5df93a5-a146-417a-84d8-c1a87664af93"/>
    <hyperlink ref="L168" r:id="rId70"/>
    <hyperlink ref="L167" r:id="rId71"/>
    <hyperlink ref="L173" r:id="rId72"/>
    <hyperlink ref="L231" r:id="rId73"/>
    <hyperlink ref="L233" r:id="rId74"/>
    <hyperlink ref="L234" r:id="rId75"/>
    <hyperlink ref="L235" r:id="rId76"/>
    <hyperlink ref="L242" r:id="rId77" location="position%3D1%26search_layout%3Dstack%26type%3Ditem%26tracking_id%3D6cd09f9f-70ba-4f2e-9475-01a52de32036"/>
    <hyperlink ref="O242" r:id="rId78"/>
    <hyperlink ref="L306" r:id="rId79" location="position%3D1%26search_layout%3Dstack%26type%3Ditem%26tracking_id%3De34a8c80-4c85-46cd-8586-52f902756362"/>
    <hyperlink ref="L307" r:id="rId80"/>
    <hyperlink ref="O307" r:id="rId81" location="position%3D5%26search_layout%3Dstack%26type%3Ditem%26tracking_id%3Da0121448-2060-4ec4-a5e9-83c577f895ca"/>
    <hyperlink ref="L308" r:id="rId82"/>
    <hyperlink ref="O308" r:id="rId83"/>
    <hyperlink ref="I69" r:id="rId84"/>
    <hyperlink ref="I70" r:id="rId85"/>
    <hyperlink ref="I71" r:id="rId86"/>
    <hyperlink ref="I72" r:id="rId87"/>
    <hyperlink ref="I74" r:id="rId88"/>
    <hyperlink ref="I75" r:id="rId89"/>
    <hyperlink ref="I76" r:id="rId90"/>
    <hyperlink ref="I78" r:id="rId91"/>
    <hyperlink ref="I80" r:id="rId92"/>
    <hyperlink ref="I82" r:id="rId93"/>
    <hyperlink ref="I83" r:id="rId94"/>
    <hyperlink ref="I84" r:id="rId95"/>
    <hyperlink ref="I86" r:id="rId96"/>
    <hyperlink ref="I87" r:id="rId97"/>
    <hyperlink ref="I88" r:id="rId98"/>
    <hyperlink ref="I90" r:id="rId99"/>
    <hyperlink ref="I92" r:id="rId100"/>
    <hyperlink ref="I93" r:id="rId101"/>
    <hyperlink ref="I94" r:id="rId102"/>
    <hyperlink ref="I96" r:id="rId103" location="position=12&amp;search_layout=stack&amp;type=item&amp;tracking_id=0826f4ba-742b-4114-90c7-f739d290aa8f"/>
    <hyperlink ref="I97" r:id="rId104" location="position=3&amp;search_layout=stack&amp;type=item&amp;tracking_id=0826f4ba-742b-4114-90c7-f739d290aa8f"/>
    <hyperlink ref="I99" r:id="rId105"/>
    <hyperlink ref="I101" r:id="rId106"/>
    <hyperlink ref="I102" r:id="rId107"/>
    <hyperlink ref="I103" r:id="rId108"/>
    <hyperlink ref="I105" r:id="rId109" location="position=4&amp;search_layout=stack&amp;type=item&amp;tracking_id=4e9e71f7-3bb5-4140-9504-a2190b3ce9db"/>
    <hyperlink ref="I107" r:id="rId110"/>
    <hyperlink ref="I108" r:id="rId111"/>
    <hyperlink ref="I109" r:id="rId112" location="searchVariation=59540783082&amp;position=2&amp;search_layout=stack&amp;type=item&amp;tracking_id=13144c16-d71b-4ade-a9f4-c5dc0b72b11b"/>
    <hyperlink ref="I111" r:id="rId113" location="position=2&amp;search_layout=stack&amp;type=item&amp;tracking_id=57f49db4-9aee-44c5-9095-2a62687ea517"/>
    <hyperlink ref="I112" r:id="rId114"/>
    <hyperlink ref="I113" r:id="rId115"/>
    <hyperlink ref="I114" r:id="rId116"/>
    <hyperlink ref="I116" display="https://www.tiendahospimed.com.ar/MLA-914106216-histerometro-p-ginecologia-32cm-descartable-x-50-unidades-_JM?utm_source=google&amp;utm_medium=cpc&amp;utm_campaign=darwin_ss&amp;gad_source=1&amp;gclid=CjwKCAjwoJa2BhBPEiwA0l0ImBZcmaRDZenGPqf5DRplMflXl4UxIq5w1JulgQ7Mbc2706"/>
    <hyperlink ref="I119" r:id="rId117"/>
    <hyperlink ref="I118" r:id="rId118"/>
    <hyperlink ref="I122" r:id="rId119"/>
    <hyperlink ref="I123" r:id="rId120"/>
    <hyperlink ref="I124" r:id="rId121"/>
    <hyperlink ref="I125" r:id="rId122"/>
    <hyperlink ref="I127" r:id="rId123"/>
    <hyperlink ref="I128" r:id="rId124"/>
    <hyperlink ref="I129" r:id="rId125"/>
    <hyperlink ref="I131" r:id="rId126"/>
    <hyperlink ref="I133" r:id="rId127"/>
    <hyperlink ref="I136" r:id="rId128"/>
    <hyperlink ref="I137" r:id="rId129"/>
    <hyperlink ref="I139" r:id="rId130"/>
    <hyperlink ref="I140" r:id="rId131"/>
    <hyperlink ref="I141" r:id="rId132" location="position=1&amp;search_layout=stack&amp;type=item&amp;tracking_id=688708a5-e42d-4ff5-9938-1ee3a70f6c44"/>
    <hyperlink ref="I142" r:id="rId133"/>
    <hyperlink ref="I143" r:id="rId134" location="position=5&amp;search_layout=stack&amp;type=item&amp;tracking_id=78294b9d-cafd-4586-9d8b-8bea49a452ea"/>
    <hyperlink ref="I145" r:id="rId135"/>
    <hyperlink ref="I146" r:id="rId136"/>
    <hyperlink ref="I147" r:id="rId137"/>
    <hyperlink ref="I148" r:id="rId138"/>
    <hyperlink ref="I149" r:id="rId139"/>
    <hyperlink ref="I153" r:id="rId140"/>
    <hyperlink ref="I154" r:id="rId141"/>
    <hyperlink ref="I155" r:id="rId142"/>
    <hyperlink ref="I11" r:id="rId143"/>
    <hyperlink ref="I14" r:id="rId144"/>
    <hyperlink ref="I19" r:id="rId145"/>
    <hyperlink ref="I18" display="https://www.insumosodontologicosweb.com.ar/productos/agujas-descartables-hipodermica-https://articulo.mercadolibre.com.ar/MLA-1112948889-aguja-descartable-408-21g-x-1-12-x-100-u-_JM#polycard_client=search-nordic&amp;position=7&amp;search_layout=stack&amp;type=item&amp;tr"/>
    <hyperlink ref="I16" r:id="rId146"/>
    <hyperlink ref="I12" r:id="rId147"/>
    <hyperlink ref="I163" r:id="rId148"/>
    <hyperlink ref="I165" r:id="rId149"/>
    <hyperlink ref="I167" r:id="rId150"/>
    <hyperlink ref="I168" r:id="rId151"/>
    <hyperlink ref="I169" r:id="rId152"/>
    <hyperlink ref="I170" r:id="rId153"/>
    <hyperlink ref="I171" r:id="rId154"/>
    <hyperlink ref="I172" r:id="rId155"/>
    <hyperlink ref="I173" r:id="rId156"/>
    <hyperlink ref="I174" display="https://www.icomsalud.com.ar/MLA-700196671-panal-juvenil-comodin-anatomico-chico-ch-por-10-unidades-_JM?searchVariation=174166741077#searchVariation%3D174166741077%26position%3D1%26search_layout%3Dstack%26type%3Ditem%26tracking_id%3Dfa910023-23ab-4c9c-89d"/>
    <hyperlink ref="I176" r:id="rId157"/>
    <hyperlink ref="I178" r:id="rId158"/>
    <hyperlink ref="I179" r:id="rId159"/>
    <hyperlink ref="I180" r:id="rId160"/>
    <hyperlink ref="I181" r:id="rId161" location="position=14&amp;search_layout=stack&amp;type=item&amp;tracking_id=a3333a02-bdfe-4512-872d-35e5a6e63887"/>
    <hyperlink ref="I183" r:id="rId162"/>
    <hyperlink ref="I184" r:id="rId163"/>
    <hyperlink ref="I186" r:id="rId164"/>
    <hyperlink ref="I188" r:id="rId165"/>
    <hyperlink ref="I190" r:id="rId166"/>
    <hyperlink ref="I191" r:id="rId167"/>
    <hyperlink ref="I193" r:id="rId168"/>
    <hyperlink ref="I194" r:id="rId169"/>
    <hyperlink ref="I195" r:id="rId170"/>
    <hyperlink ref="I197" r:id="rId171"/>
    <hyperlink ref="I198" r:id="rId172"/>
    <hyperlink ref="I199" r:id="rId173"/>
    <hyperlink ref="I203" r:id="rId174"/>
    <hyperlink ref="I204" r:id="rId175"/>
    <hyperlink ref="I206" r:id="rId176"/>
    <hyperlink ref="I207" r:id="rId177"/>
    <hyperlink ref="I208" r:id="rId178"/>
    <hyperlink ref="I209" r:id="rId179"/>
    <hyperlink ref="I210" r:id="rId180"/>
    <hyperlink ref="I214" r:id="rId181"/>
    <hyperlink ref="I216" r:id="rId182"/>
    <hyperlink ref="I222" r:id="rId183"/>
    <hyperlink ref="I224" r:id="rId184"/>
    <hyperlink ref="I225" r:id="rId185"/>
    <hyperlink ref="I227" r:id="rId186"/>
    <hyperlink ref="I228" r:id="rId187"/>
    <hyperlink ref="I229" r:id="rId188"/>
    <hyperlink ref="I230" r:id="rId189" location="position%3D2%26search_layout%3Dstack%26type%3Ditem%26tracking_id%3Da57e4dda-8c30-4157-815d-d135c11accb8"/>
    <hyperlink ref="I231" r:id="rId190" location="position%3D1%26search_layout%3Dstack%26type%3Ditem%26tracking_id%3Da57e4dda-8c30-4157-815d-d135c11accb8"/>
    <hyperlink ref="I233" r:id="rId191" location="position%3D1%26search_layout%3Dstack%26type%3Ditem%26tracking_id%3Da57e4dda-8c30-4157-815d-d135c11accb8"/>
    <hyperlink ref="I234" r:id="rId192" location="position%3D2%26search_layout%3Dstack%26type%3Ditem%26tracking_id%3D63571608-77c2-499b-99e3-9a6d6aeb585b"/>
    <hyperlink ref="I235" r:id="rId193"/>
    <hyperlink ref="I236" r:id="rId194"/>
    <hyperlink ref="I237" r:id="rId195"/>
    <hyperlink ref="I238" r:id="rId196"/>
    <hyperlink ref="I239" r:id="rId197"/>
    <hyperlink ref="I240" r:id="rId198"/>
    <hyperlink ref="I242" r:id="rId199"/>
    <hyperlink ref="I244" r:id="rId200"/>
    <hyperlink ref="I245" r:id="rId201"/>
    <hyperlink ref="I246" r:id="rId202"/>
    <hyperlink ref="I247" r:id="rId203"/>
    <hyperlink ref="I248" r:id="rId204"/>
    <hyperlink ref="I251" r:id="rId205"/>
    <hyperlink ref="I252" r:id="rId206"/>
    <hyperlink ref="I253" r:id="rId207"/>
    <hyperlink ref="I254" r:id="rId208"/>
    <hyperlink ref="I255" r:id="rId209"/>
    <hyperlink ref="I256" r:id="rId210"/>
    <hyperlink ref="I257" r:id="rId211"/>
    <hyperlink ref="I259" r:id="rId212"/>
    <hyperlink ref="I261" r:id="rId213"/>
    <hyperlink ref="I262" r:id="rId214"/>
    <hyperlink ref="I263" r:id="rId215"/>
    <hyperlink ref="I269" r:id="rId216"/>
    <hyperlink ref="I274" r:id="rId217"/>
    <hyperlink ref="I275" r:id="rId218"/>
    <hyperlink ref="I276" r:id="rId219"/>
    <hyperlink ref="I277" r:id="rId220"/>
    <hyperlink ref="I278" r:id="rId221"/>
    <hyperlink ref="I279" r:id="rId222"/>
    <hyperlink ref="I280" r:id="rId223"/>
    <hyperlink ref="I282" r:id="rId224"/>
    <hyperlink ref="I283" r:id="rId225"/>
    <hyperlink ref="I286" r:id="rId226" location="attr=7565"/>
    <hyperlink ref="I287" r:id="rId227" location="attr=1335"/>
    <hyperlink ref="I288" r:id="rId228"/>
    <hyperlink ref="I289" r:id="rId229"/>
    <hyperlink ref="I290" r:id="rId230"/>
    <hyperlink ref="I291" r:id="rId231"/>
    <hyperlink ref="I292" r:id="rId232"/>
    <hyperlink ref="I294" r:id="rId233"/>
    <hyperlink ref="I296" r:id="rId234"/>
    <hyperlink ref="I297" r:id="rId235"/>
    <hyperlink ref="I303" r:id="rId236"/>
    <hyperlink ref="I306" r:id="rId237"/>
    <hyperlink ref="I307" r:id="rId238"/>
    <hyperlink ref="I308" r:id="rId239"/>
    <hyperlink ref="I311" r:id="rId240" location="polycard_client=search-nordic&amp;position=6&amp;search_layout=stack&amp;type=item&amp;tracking_id=2d7e9542-ca68-45f4-86d1-1ec4dbdf7d45"/>
    <hyperlink ref="I312" r:id="rId241"/>
    <hyperlink ref="I316" r:id="rId242"/>
    <hyperlink ref="I318" r:id="rId243"/>
  </hyperlinks>
  <pageMargins left="0.7" right="0.7" top="0.75" bottom="0.75" header="0.3" footer="0.3"/>
  <pageSetup orientation="portrait" r:id="rId24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Precio 06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Candela Vollmer</dc:creator>
  <cp:lastModifiedBy>Roberto Cabaña</cp:lastModifiedBy>
  <dcterms:created xsi:type="dcterms:W3CDTF">2024-05-21T13:17:04Z</dcterms:created>
  <dcterms:modified xsi:type="dcterms:W3CDTF">2025-02-25T12:07:43Z</dcterms:modified>
</cp:coreProperties>
</file>